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7560" windowHeight="8925" activeTab="2"/>
  </bookViews>
  <sheets>
    <sheet name="E-learning Data" sheetId="1" r:id="rId1"/>
    <sheet name="FTE Pivot Table" sheetId="2" r:id="rId2"/>
    <sheet name="Overview tables" sheetId="3" r:id="rId3"/>
    <sheet name="Tables by type" sheetId="4" r:id="rId4"/>
  </sheets>
  <externalReferences>
    <externalReference r:id="rId8"/>
  </externalReferences>
  <definedNames>
    <definedName name="__123Graph_D" hidden="1">'[1]Surveys In'!$AA$10:$AC$10</definedName>
    <definedName name="__123Graph_LBL_D" hidden="1">'[1]Surveys In'!$AA$10:$AC$10</definedName>
    <definedName name="__123Graph_X" hidden="1">'[1]Surveys In'!$AA$8:$AC$8</definedName>
    <definedName name="CHART">'[1]Surveys In'!$A$1:$U$38</definedName>
    <definedName name="MEMO">'[1]Surveys In'!$A$1:$U$41</definedName>
    <definedName name="N">'[1]Surveys In'!$I$38</definedName>
    <definedName name="_xlnm.Print_Area" localSheetId="0">'E-learning Data'!#REF!</definedName>
    <definedName name="_xlnm.Print_Area" localSheetId="1">'FTE Pivot Table'!$A$1:$Q$469</definedName>
    <definedName name="_xlnm.Print_Area" localSheetId="2">'Overview tables'!$A$1:$M$117</definedName>
    <definedName name="_xlnm.Print_Area" localSheetId="3">'Tables by type'!$A$1:$P$455</definedName>
    <definedName name="_xlnm.Print_Titles" localSheetId="0">'E-learning Data'!$A:$D</definedName>
    <definedName name="_xlnm.Print_Titles" localSheetId="1">'FTE Pivot Table'!$A:$B,'FTE Pivot Table'!$4:$5</definedName>
    <definedName name="R_">'[1]Surveys In'!$D$38</definedName>
    <definedName name="RNG_DATA_A">'[1]Surveys In'!$AA$10:$AC$10</definedName>
    <definedName name="RNG_LABEL_Y">'[1]Surveys In'!$V$9</definedName>
  </definedNames>
  <calcPr fullCalcOnLoad="1"/>
  <pivotCaches>
    <pivotCache cacheId="2" r:id="rId5"/>
  </pivotCaches>
</workbook>
</file>

<file path=xl/comments1.xml><?xml version="1.0" encoding="utf-8"?>
<comments xmlns="http://schemas.openxmlformats.org/spreadsheetml/2006/main">
  <authors>
    <author>jmarks</author>
    <author>mloverde</author>
    <author>jennifer berg</author>
    <author>snoxel</author>
    <author>rnelson</author>
  </authors>
  <commentList>
    <comment ref="J2" authorId="0">
      <text>
        <r>
          <rPr>
            <b/>
            <sz val="8"/>
            <rFont val="Tahoma"/>
            <family val="0"/>
          </rPr>
          <t>jmarks:</t>
        </r>
        <r>
          <rPr>
            <sz val="8"/>
            <rFont val="Tahoma"/>
            <family val="0"/>
          </rPr>
          <t xml:space="preserve">
* Satellite, cable TV, broadcast TV/radio, closed-circuit, video tape, CD ROMS.</t>
        </r>
      </text>
    </comment>
    <comment ref="Q2" authorId="0">
      <text>
        <r>
          <rPr>
            <b/>
            <sz val="8"/>
            <rFont val="Tahoma"/>
            <family val="0"/>
          </rPr>
          <t>jmarks:</t>
        </r>
        <r>
          <rPr>
            <sz val="8"/>
            <rFont val="Tahoma"/>
            <family val="0"/>
          </rPr>
          <t xml:space="preserve">
* Satellite, cable TV, broadcast TV/radio, closed-circuit, video tape, CD ROMS.</t>
        </r>
      </text>
    </comment>
    <comment ref="K6"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K7" authorId="1">
      <text>
        <r>
          <rPr>
            <b/>
            <sz val="8"/>
            <rFont val="Tahoma"/>
            <family val="0"/>
          </rPr>
          <t>the Arkansas State University
 has formal college-level programs, but have yet to report via the State data system.  We have been encouraging the institutions to report but no results yet.</t>
        </r>
      </text>
    </comment>
    <comment ref="K9" authorId="1">
      <text>
        <r>
          <rPr>
            <b/>
            <sz val="8"/>
            <rFont val="Tahoma"/>
            <family val="0"/>
          </rPr>
          <t>the University of Central Arkansas has formal college-level programs, but have yet to report via the State data system.  We have been encouraging the institutions to report but no results yet.</t>
        </r>
      </text>
    </comment>
    <comment ref="B18" authorId="1">
      <text>
        <r>
          <rPr>
            <b/>
            <sz val="8"/>
            <color indexed="8"/>
            <rFont val="Tahoma"/>
            <family val="2"/>
          </rPr>
          <t>Formerly Westark College. Has been authorized to award bachelor's degrees.</t>
        </r>
        <r>
          <rPr>
            <sz val="8"/>
            <color indexed="8"/>
            <rFont val="Tahoma"/>
            <family val="0"/>
          </rPr>
          <t xml:space="preserve">
</t>
        </r>
      </text>
    </comment>
    <comment ref="F50" authorId="0">
      <text>
        <r>
          <rPr>
            <b/>
            <sz val="8"/>
            <rFont val="Tahoma"/>
            <family val="0"/>
          </rPr>
          <t>jmarks:</t>
        </r>
        <r>
          <rPr>
            <sz val="8"/>
            <rFont val="Tahoma"/>
            <family val="0"/>
          </rPr>
          <t xml:space="preserve">
Note: The FCCS does not have an "On-Campus"/"Off-Campus" breakdown available for this year - it will be available for next years report.</t>
        </r>
      </text>
    </comment>
    <comment ref="B84" authorId="2">
      <text>
        <r>
          <rPr>
            <b/>
            <sz val="8"/>
            <color indexed="8"/>
            <rFont val="Tahoma"/>
            <family val="0"/>
          </rPr>
          <t>Reclassified: met criteria for classification as a SREB- Four Year 4 institution in 00-01, 01-02 and 02-03</t>
        </r>
      </text>
    </comment>
    <comment ref="B88" authorId="1">
      <text>
        <r>
          <rPr>
            <b/>
            <sz val="8"/>
            <color indexed="8"/>
            <rFont val="Tahoma"/>
            <family val="0"/>
          </rPr>
          <t>met criteria for classification as a SREB Four Year 4 in 02-03</t>
        </r>
      </text>
    </comment>
    <comment ref="B93" authorId="1">
      <text>
        <r>
          <rPr>
            <b/>
            <sz val="8"/>
            <color indexed="8"/>
            <rFont val="Tahoma"/>
            <family val="0"/>
          </rPr>
          <t>Reclassified: met criteria for classification as a SREB- Four Year 5 institution in 00-01, 01-02 and 02-03</t>
        </r>
      </text>
    </comment>
    <comment ref="B106" authorId="1">
      <text>
        <r>
          <rPr>
            <b/>
            <sz val="8"/>
            <color indexed="8"/>
            <rFont val="Tahoma"/>
            <family val="0"/>
          </rPr>
          <t>met the criteria for a SREB two-year 2 in 02-03</t>
        </r>
      </text>
    </comment>
    <comment ref="F110" authorId="0">
      <text>
        <r>
          <rPr>
            <b/>
            <sz val="8"/>
            <rFont val="Tahoma"/>
            <family val="0"/>
          </rPr>
          <t>jmarks:</t>
        </r>
        <r>
          <rPr>
            <sz val="8"/>
            <rFont val="Tahoma"/>
            <family val="0"/>
          </rPr>
          <t xml:space="preserve">
The DTAE does not have an "On-Campus"/"Off-Campus" breakdown not available for this year - it may be available in future years. Quarter SCH converted to semester SCH.</t>
        </r>
      </text>
    </comment>
    <comment ref="H110" authorId="0">
      <text>
        <r>
          <rPr>
            <b/>
            <sz val="8"/>
            <rFont val="Tahoma"/>
            <family val="0"/>
          </rPr>
          <t>jmarks:</t>
        </r>
        <r>
          <rPr>
            <sz val="8"/>
            <rFont val="Tahoma"/>
            <family val="0"/>
          </rPr>
          <t xml:space="preserve">
Contains site-to-site e-learning that cannot be separately identified at this time. Quarter SCH converted to semester SCH.</t>
        </r>
      </text>
    </comment>
    <comment ref="B149" authorId="1">
      <text>
        <r>
          <rPr>
            <b/>
            <sz val="8"/>
            <color indexed="8"/>
            <rFont val="Tahoma"/>
            <family val="0"/>
          </rPr>
          <t>Met the criteria for a SREB Four-Year 5 in 02-03.</t>
        </r>
      </text>
    </comment>
    <comment ref="B150" authorId="0">
      <text>
        <r>
          <rPr>
            <b/>
            <sz val="8"/>
            <color indexed="8"/>
            <rFont val="Tahoma"/>
            <family val="0"/>
          </rPr>
          <t>jmarks:</t>
        </r>
        <r>
          <rPr>
            <sz val="8"/>
            <color indexed="8"/>
            <rFont val="Tahoma"/>
            <family val="0"/>
          </rPr>
          <t xml:space="preserve">
Met criteria for Four-Year 5 in 2002-03.</t>
        </r>
      </text>
    </comment>
    <comment ref="B154" authorId="1">
      <text>
        <r>
          <rPr>
            <sz val="8"/>
            <color indexed="8"/>
            <rFont val="Tahoma"/>
            <family val="2"/>
          </rPr>
          <t>Consolidated with Hazard Technical College to become Hazard Community College. Also met criteria for a SREB Two-Year 2 in 01-02 and 02-03.</t>
        </r>
      </text>
    </comment>
    <comment ref="B155" authorId="1">
      <text>
        <r>
          <rPr>
            <sz val="8"/>
            <color indexed="8"/>
            <rFont val="Tahoma"/>
            <family val="2"/>
          </rPr>
          <t>Consolidated with Cumberland Valley Technical College (includes Harlan &amp; Middlesboro campuses) to become Southeast Community College.  Also met criteria for a SREB Two-Year 2 in 01-02 and 02-03.</t>
        </r>
      </text>
    </comment>
    <comment ref="B159" authorId="1">
      <text>
        <r>
          <rPr>
            <sz val="8"/>
            <color indexed="8"/>
            <rFont val="Tahoma"/>
            <family val="2"/>
          </rPr>
          <t>Includes Madisonville health extension; consolidated with Madisonville Technical College to become Madisonville Community College. Also met criteria for a SREB Two-Year 2 in 02-03.</t>
        </r>
      </text>
    </comment>
    <comment ref="B163" authorId="3">
      <text>
        <r>
          <rPr>
            <b/>
            <sz val="8"/>
            <rFont val="Tahoma"/>
            <family val="0"/>
          </rPr>
          <t>snoxel:</t>
        </r>
        <r>
          <rPr>
            <sz val="8"/>
            <rFont val="Tahoma"/>
            <family val="0"/>
          </rPr>
          <t xml:space="preserve">
snoxel:
Formerly Prestonsburg Community College</t>
        </r>
      </text>
    </comment>
    <comment ref="B164" authorId="4">
      <text>
        <r>
          <rPr>
            <sz val="8"/>
            <color indexed="8"/>
            <rFont val="Tahoma"/>
            <family val="2"/>
          </rPr>
          <t>rnelson:  included somerset &amp; somerset london cc - 2/10/03
Met criteria for a SREB Two-Year 2 in 02-03.</t>
        </r>
      </text>
    </comment>
    <comment ref="B165" authorId="2">
      <text>
        <r>
          <rPr>
            <b/>
            <sz val="8"/>
            <color indexed="8"/>
            <rFont val="Tahoma"/>
            <family val="0"/>
          </rPr>
          <t>includes Anderson &amp; Danville campuses</t>
        </r>
      </text>
    </comment>
    <comment ref="B167" authorId="1">
      <text>
        <r>
          <rPr>
            <sz val="8"/>
            <color indexed="8"/>
            <rFont val="Tahoma"/>
            <family val="2"/>
          </rPr>
          <t>Consolidated with Laurel Technical College to become Somerset Technical College. Reclassified: met criteria for Technical Institute or College 1 in 2001-02 (inaugural year) and in 2002-03.</t>
        </r>
      </text>
    </comment>
    <comment ref="B168" authorId="2">
      <text>
        <r>
          <rPr>
            <b/>
            <sz val="8"/>
            <color indexed="8"/>
            <rFont val="Tahoma"/>
            <family val="0"/>
          </rPr>
          <t>including Purchase Training Extension</t>
        </r>
      </text>
    </comment>
    <comment ref="B170" authorId="2">
      <text>
        <r>
          <rPr>
            <b/>
            <sz val="8"/>
            <color indexed="8"/>
            <rFont val="Tahoma"/>
            <family val="0"/>
          </rPr>
          <t>includes Bowling Green Technical College-Glasgow Campus and Kentucky Advanced Technical Institute (formerly listed as separate institutions)</t>
        </r>
      </text>
    </comment>
    <comment ref="B172" authorId="2">
      <text>
        <r>
          <rPr>
            <b/>
            <sz val="8"/>
            <color indexed="8"/>
            <rFont val="Tahoma"/>
            <family val="0"/>
          </rPr>
          <t>includes Edgewood and Highland Heights campuses; formerly Northern Kentucky Technical College</t>
        </r>
      </text>
    </comment>
    <comment ref="B173" authorId="3">
      <text>
        <r>
          <rPr>
            <b/>
            <sz val="8"/>
            <rFont val="Tahoma"/>
            <family val="0"/>
          </rPr>
          <t>snoxel:</t>
        </r>
        <r>
          <rPr>
            <sz val="8"/>
            <rFont val="Tahoma"/>
            <family val="0"/>
          </rPr>
          <t xml:space="preserve">
Formerly Mayo Technical College</t>
        </r>
      </text>
    </comment>
    <comment ref="B190" authorId="2">
      <text>
        <r>
          <rPr>
            <b/>
            <sz val="8"/>
            <color indexed="8"/>
            <rFont val="Tahoma"/>
            <family val="0"/>
          </rPr>
          <t>Catonsville (162098), Dundalk (162399), &amp; Essex (162478)</t>
        </r>
      </text>
    </comment>
    <comment ref="B191" authorId="2">
      <text>
        <r>
          <rPr>
            <b/>
            <sz val="8"/>
            <color indexed="8"/>
            <rFont val="Tahoma"/>
            <family val="0"/>
          </rPr>
          <t>Germantown, Rockville and Takoma Park</t>
        </r>
      </text>
    </comment>
    <comment ref="B213" authorId="2">
      <text>
        <r>
          <rPr>
            <b/>
            <sz val="8"/>
            <color indexed="8"/>
            <rFont val="Tahoma"/>
            <family val="0"/>
          </rPr>
          <t>includes Raymond campus (175786), Jackson campus (175777), Rankin campus (175795) and Vicksburg-Warren county (175801)</t>
        </r>
      </text>
    </comment>
    <comment ref="B215" authorId="2">
      <text>
        <r>
          <rPr>
            <b/>
            <sz val="8"/>
            <color indexed="8"/>
            <rFont val="Tahoma"/>
            <family val="0"/>
          </rPr>
          <t>includes Natchez campus (175564)</t>
        </r>
      </text>
    </comment>
    <comment ref="B224" authorId="2">
      <text>
        <r>
          <rPr>
            <b/>
            <sz val="8"/>
            <color indexed="8"/>
            <rFont val="Tahoma"/>
            <family val="0"/>
          </rPr>
          <t>includes Forrest county center (408127)</t>
        </r>
      </text>
    </comment>
    <comment ref="B226" authorId="1">
      <text>
        <r>
          <rPr>
            <b/>
            <sz val="8"/>
            <color indexed="8"/>
            <rFont val="Tahoma"/>
            <family val="0"/>
          </rPr>
          <t>met criteria for classification as a SREB Two-Year 2 institution in 2002-2003</t>
        </r>
      </text>
    </comment>
    <comment ref="B281" authorId="1">
      <text>
        <r>
          <rPr>
            <b/>
            <sz val="8"/>
            <color indexed="8"/>
            <rFont val="Tahoma"/>
            <family val="0"/>
          </rPr>
          <t>met criteria for classification as a SREB-Two-Year 2 in 2002-03</t>
        </r>
      </text>
    </comment>
    <comment ref="B288" authorId="1">
      <text>
        <r>
          <rPr>
            <b/>
            <sz val="8"/>
            <color indexed="8"/>
            <rFont val="Tahoma"/>
            <family val="0"/>
          </rPr>
          <t>met criteria for classification as a SREB-Two-Year 2 in 2002-03</t>
        </r>
      </text>
    </comment>
    <comment ref="B295" authorId="1">
      <text>
        <r>
          <rPr>
            <b/>
            <sz val="8"/>
            <color indexed="8"/>
            <rFont val="Tahoma"/>
            <family val="0"/>
          </rPr>
          <t>met criteria for classification as a SREB-Two-Year 2 in 2002-03</t>
        </r>
      </text>
    </comment>
    <comment ref="B309" authorId="2">
      <text>
        <r>
          <rPr>
            <b/>
            <sz val="8"/>
            <color indexed="8"/>
            <rFont val="Tahoma"/>
            <family val="0"/>
          </rPr>
          <t>Reclassified: met criteria for "5" in 99-00, 00-01, and 01-02</t>
        </r>
      </text>
    </comment>
    <comment ref="B313" authorId="2">
      <text>
        <r>
          <rPr>
            <b/>
            <sz val="8"/>
            <color indexed="8"/>
            <rFont val="Tahoma"/>
            <family val="0"/>
          </rPr>
          <t>Reclassified. Has  awarded Bachelor's degrees.</t>
        </r>
      </text>
    </comment>
    <comment ref="B339" authorId="1">
      <text>
        <r>
          <rPr>
            <b/>
            <sz val="8"/>
            <color indexed="8"/>
            <rFont val="Tahoma"/>
            <family val="0"/>
          </rPr>
          <t>Formerly Lamar University -- Beaumont.</t>
        </r>
      </text>
    </comment>
    <comment ref="B346" authorId="2">
      <text>
        <r>
          <rPr>
            <b/>
            <sz val="8"/>
            <color indexed="8"/>
            <rFont val="Tahoma"/>
            <family val="2"/>
          </rPr>
          <t>Reclassified: met criteria for classification as a SREB Four-Year 3 institution in 2000-01, 2001-02, and 2002-03.</t>
        </r>
      </text>
    </comment>
    <comment ref="B358" authorId="2">
      <text>
        <r>
          <rPr>
            <b/>
            <sz val="8"/>
            <color indexed="8"/>
            <rFont val="Tahoma"/>
            <family val="0"/>
          </rPr>
          <t>Reclassified: met criteria for classification as a SREB Four-Year 4 institution in 2000-01, 2001-02, and 2002-03.</t>
        </r>
      </text>
    </comment>
    <comment ref="B361" authorId="1">
      <text>
        <r>
          <rPr>
            <b/>
            <sz val="8"/>
            <color indexed="8"/>
            <rFont val="Tahoma"/>
            <family val="0"/>
          </rPr>
          <t>Met criteria for classification as a SREB Four-Year 6 in 2001-2002 and 2002-2003.</t>
        </r>
      </text>
    </comment>
    <comment ref="B397" authorId="1">
      <text>
        <r>
          <rPr>
            <b/>
            <sz val="8"/>
            <color indexed="8"/>
            <rFont val="Tahoma"/>
            <family val="0"/>
          </rPr>
          <t>Formerly listed as Lamar State College- Port Arthur Campus</t>
        </r>
      </text>
    </comment>
    <comment ref="B399" authorId="1">
      <text>
        <r>
          <rPr>
            <b/>
            <sz val="8"/>
            <color indexed="8"/>
            <rFont val="Tahoma"/>
            <family val="0"/>
          </rPr>
          <t>Met criteria for classification as a SREB Two-Year 8 in 2002-2003.</t>
        </r>
      </text>
    </comment>
    <comment ref="B417" authorId="1">
      <text>
        <r>
          <rPr>
            <b/>
            <sz val="8"/>
            <color indexed="8"/>
            <rFont val="Tahoma"/>
            <family val="0"/>
          </rPr>
          <t>Met criteria for classification as a SREB Two-Year 9 in 2002-2003.</t>
        </r>
      </text>
    </comment>
    <comment ref="B421" authorId="1">
      <text>
        <r>
          <rPr>
            <b/>
            <sz val="8"/>
            <color indexed="8"/>
            <rFont val="Tahoma"/>
            <family val="0"/>
          </rPr>
          <t>Met criteria for classification as a SREB Two-Year 9 in 2002-2003.</t>
        </r>
      </text>
    </comment>
    <comment ref="C422" authorId="0">
      <text>
        <r>
          <rPr>
            <b/>
            <sz val="8"/>
            <color indexed="8"/>
            <rFont val="Tahoma"/>
            <family val="0"/>
          </rPr>
          <t>jmarks:</t>
        </r>
        <r>
          <rPr>
            <sz val="8"/>
            <color indexed="8"/>
            <rFont val="Tahoma"/>
            <family val="0"/>
          </rPr>
          <t xml:space="preserve">
removed duplicate (bad) ID</t>
        </r>
      </text>
    </comment>
    <comment ref="B423" authorId="1">
      <text>
        <r>
          <rPr>
            <b/>
            <sz val="8"/>
            <color indexed="8"/>
            <rFont val="Tahoma"/>
            <family val="0"/>
          </rPr>
          <t>Formerly listed as Lamar State College- Orange Campus</t>
        </r>
      </text>
    </comment>
    <comment ref="B429" authorId="1">
      <text>
        <r>
          <rPr>
            <b/>
            <sz val="8"/>
            <color indexed="8"/>
            <rFont val="Tahoma"/>
            <family val="0"/>
          </rPr>
          <t>Formerly listed as Texas State Technical College-Sweetwater.</t>
        </r>
      </text>
    </comment>
    <comment ref="B430" authorId="1">
      <text>
        <r>
          <rPr>
            <b/>
            <sz val="8"/>
            <color indexed="8"/>
            <rFont val="Tahoma"/>
            <family val="0"/>
          </rPr>
          <t>Met criteria for classification as a SREB Two-Year 2 in 2002-2003. Formerly listed as Vernon Regional Junior College.</t>
        </r>
      </text>
    </comment>
    <comment ref="B186" authorId="0">
      <text>
        <r>
          <rPr>
            <b/>
            <sz val="8"/>
            <color indexed="8"/>
            <rFont val="Tahoma"/>
            <family val="0"/>
          </rPr>
          <t>jmarks:</t>
        </r>
        <r>
          <rPr>
            <sz val="8"/>
            <color indexed="8"/>
            <rFont val="Tahoma"/>
            <family val="0"/>
          </rPr>
          <t xml:space="preserve">
Met criteria for Four-Year 4 in 2002-03 and 2003-04. Formerly Coppin State College.</t>
        </r>
      </text>
    </comment>
  </commentList>
</comments>
</file>

<file path=xl/sharedStrings.xml><?xml version="1.0" encoding="utf-8"?>
<sst xmlns="http://schemas.openxmlformats.org/spreadsheetml/2006/main" count="2208" uniqueCount="644">
  <si>
    <t>Web</t>
  </si>
  <si>
    <t>Other*</t>
  </si>
  <si>
    <t xml:space="preserve"> </t>
  </si>
  <si>
    <t>State</t>
  </si>
  <si>
    <t>Institution</t>
  </si>
  <si>
    <t>IPEDS ID</t>
  </si>
  <si>
    <t>SREB Code</t>
  </si>
  <si>
    <t>WV</t>
  </si>
  <si>
    <t>West Virginia University</t>
  </si>
  <si>
    <t xml:space="preserve">Marshall University </t>
  </si>
  <si>
    <t xml:space="preserve">Bluefield State College </t>
  </si>
  <si>
    <t xml:space="preserve">Glenville State College </t>
  </si>
  <si>
    <t xml:space="preserve">West Liberty State College </t>
  </si>
  <si>
    <t>MS</t>
  </si>
  <si>
    <t>Mississippi State University</t>
  </si>
  <si>
    <t>University of Mississippi</t>
  </si>
  <si>
    <t>University of Southern Mississippi</t>
  </si>
  <si>
    <t xml:space="preserve">Jackson State University </t>
  </si>
  <si>
    <t>Alcorn State University</t>
  </si>
  <si>
    <t>Delta State University</t>
  </si>
  <si>
    <t>Mississippi University for Women</t>
  </si>
  <si>
    <t>Mississippi Valley State University</t>
  </si>
  <si>
    <t>Wilson Technical Community College</t>
  </si>
  <si>
    <t>NC</t>
  </si>
  <si>
    <t xml:space="preserve">Wilkes Community College </t>
  </si>
  <si>
    <t xml:space="preserve">Western Piedmont Community College </t>
  </si>
  <si>
    <t>Wayne Community College</t>
  </si>
  <si>
    <t>Wake Technical Community College</t>
  </si>
  <si>
    <t xml:space="preserve">Vance-Granville Community College </t>
  </si>
  <si>
    <t xml:space="preserve">Tri-County Community College </t>
  </si>
  <si>
    <t xml:space="preserve">Surry Community College </t>
  </si>
  <si>
    <t>Stanly Community College</t>
  </si>
  <si>
    <t xml:space="preserve">Southwestern Community College </t>
  </si>
  <si>
    <t xml:space="preserve">Southeastern Community College </t>
  </si>
  <si>
    <t>South Piedmont Community College</t>
  </si>
  <si>
    <t xml:space="preserve">Sandhills Community College </t>
  </si>
  <si>
    <t>Sampson Community College</t>
  </si>
  <si>
    <t>Rowan-Cabarrus Community College</t>
  </si>
  <si>
    <t xml:space="preserve">Rockingham Community College </t>
  </si>
  <si>
    <t>Robeson Community College</t>
  </si>
  <si>
    <t>Roanoke-Chowan Community College</t>
  </si>
  <si>
    <t>Richmond Community College</t>
  </si>
  <si>
    <t>Randolph Community College</t>
  </si>
  <si>
    <t>Pitt Community College</t>
  </si>
  <si>
    <t>Piedmont Community College</t>
  </si>
  <si>
    <t>Pamlico Community College</t>
  </si>
  <si>
    <t>Nash Community College</t>
  </si>
  <si>
    <t>Montgomery Community College</t>
  </si>
  <si>
    <t xml:space="preserve">Mitchell Community College </t>
  </si>
  <si>
    <t>McDowell Technical Community College</t>
  </si>
  <si>
    <t>Mayland Community College</t>
  </si>
  <si>
    <t xml:space="preserve">Martin Community College </t>
  </si>
  <si>
    <t xml:space="preserve">Lenoir Community College </t>
  </si>
  <si>
    <t>Johnston Community College</t>
  </si>
  <si>
    <t>James Sprunt Community College</t>
  </si>
  <si>
    <t xml:space="preserve">Isothermal Community College </t>
  </si>
  <si>
    <t>Haywood Community College</t>
  </si>
  <si>
    <t xml:space="preserve">Halifax Community College </t>
  </si>
  <si>
    <t>Guilford Technical Community College</t>
  </si>
  <si>
    <t xml:space="preserve">Gaston College </t>
  </si>
  <si>
    <t>Forsyth Technical Community College</t>
  </si>
  <si>
    <t>Fayetteville Technical Community College</t>
  </si>
  <si>
    <t>Edgecombe Community College</t>
  </si>
  <si>
    <t>Durham Technical Community College</t>
  </si>
  <si>
    <t xml:space="preserve">Davidson County Community College </t>
  </si>
  <si>
    <t xml:space="preserve">Craven Community College </t>
  </si>
  <si>
    <t>College of the Albemarle</t>
  </si>
  <si>
    <t xml:space="preserve">Coastal Carolina Community College </t>
  </si>
  <si>
    <t>Cleveland Community College</t>
  </si>
  <si>
    <t xml:space="preserve">Central Piedmont Community College </t>
  </si>
  <si>
    <t>Central Carolina Commuity College</t>
  </si>
  <si>
    <t>Catawba Valley Community College</t>
  </si>
  <si>
    <t>Carteret Community College</t>
  </si>
  <si>
    <t>Cape Fear Community College</t>
  </si>
  <si>
    <t>Brunswick Community College</t>
  </si>
  <si>
    <t>Blue Ridge Community College</t>
  </si>
  <si>
    <t>Bladen Community College</t>
  </si>
  <si>
    <t xml:space="preserve">Beaufort County Community College </t>
  </si>
  <si>
    <t>Asheville-Buncombe Technical Community College</t>
  </si>
  <si>
    <t>Alamance Community College</t>
  </si>
  <si>
    <t xml:space="preserve">Western Oklahoma State College </t>
  </si>
  <si>
    <t>OK</t>
  </si>
  <si>
    <t>207740</t>
  </si>
  <si>
    <t xml:space="preserve">Seminole State College </t>
  </si>
  <si>
    <t>207661</t>
  </si>
  <si>
    <t>Rogers State University</t>
  </si>
  <si>
    <t>207069</t>
  </si>
  <si>
    <t>Redlands Community College</t>
  </si>
  <si>
    <t>207290</t>
  </si>
  <si>
    <t xml:space="preserve">Northeastern Oklahoma A &amp; M College </t>
  </si>
  <si>
    <t>207236</t>
  </si>
  <si>
    <t xml:space="preserve">Murray State College </t>
  </si>
  <si>
    <t>207050</t>
  </si>
  <si>
    <t xml:space="preserve">Eastern Oklahoma State College </t>
  </si>
  <si>
    <t>206996</t>
  </si>
  <si>
    <t xml:space="preserve">Connors State College </t>
  </si>
  <si>
    <t>206923</t>
  </si>
  <si>
    <t>Carl Albert State College</t>
  </si>
  <si>
    <t>207670</t>
  </si>
  <si>
    <t xml:space="preserve">Rose State College </t>
  </si>
  <si>
    <t>207564</t>
  </si>
  <si>
    <t xml:space="preserve">Oklahoma State University Technical Branch-Okmulgee </t>
  </si>
  <si>
    <t>207397</t>
  </si>
  <si>
    <t>207281</t>
  </si>
  <si>
    <t xml:space="preserve">Northern Oklahoma College </t>
  </si>
  <si>
    <t>207935</t>
  </si>
  <si>
    <t xml:space="preserve">Tulsa Community College </t>
  </si>
  <si>
    <t>207449</t>
  </si>
  <si>
    <t xml:space="preserve">Oklahoma City Community College </t>
  </si>
  <si>
    <t>207722</t>
  </si>
  <si>
    <t>University of Science and Arts of Oklahoma</t>
  </si>
  <si>
    <t>207351</t>
  </si>
  <si>
    <t xml:space="preserve">Oklahoma Panhandle State University </t>
  </si>
  <si>
    <t>207209</t>
  </si>
  <si>
    <t>Langston University</t>
  </si>
  <si>
    <t>207865</t>
  </si>
  <si>
    <t>Southwestern Oklahoma State University</t>
  </si>
  <si>
    <t>207847</t>
  </si>
  <si>
    <t xml:space="preserve">Southeastern Oklahoma State University </t>
  </si>
  <si>
    <t>207306</t>
  </si>
  <si>
    <t xml:space="preserve">Northwestern Oklahoma State University </t>
  </si>
  <si>
    <t>207041</t>
  </si>
  <si>
    <t xml:space="preserve">East Central University </t>
  </si>
  <si>
    <t>206914</t>
  </si>
  <si>
    <t xml:space="preserve">Cameron University </t>
  </si>
  <si>
    <t>207263</t>
  </si>
  <si>
    <t>Northeastern State University</t>
  </si>
  <si>
    <t>206941</t>
  </si>
  <si>
    <t>University of Central Oklahoma</t>
  </si>
  <si>
    <t>207500</t>
  </si>
  <si>
    <t>University of Oklahoma Norman Campus</t>
  </si>
  <si>
    <t>Oklahoma State University Main Campus</t>
  </si>
  <si>
    <t>ID</t>
  </si>
  <si>
    <t>Type</t>
  </si>
  <si>
    <t>UG EL Web</t>
  </si>
  <si>
    <t>UG OnC Trad</t>
  </si>
  <si>
    <t>UG OffC Trad</t>
  </si>
  <si>
    <t>UG EL O</t>
  </si>
  <si>
    <t>UG Cor</t>
  </si>
  <si>
    <t>G OnC Trad</t>
  </si>
  <si>
    <t>G OffC Trad</t>
  </si>
  <si>
    <t>G EL Web</t>
  </si>
  <si>
    <t>G EL O</t>
  </si>
  <si>
    <t>G Cor</t>
  </si>
  <si>
    <t>Tot UG SCH Calc</t>
  </si>
  <si>
    <t>Tot G SCH Calc</t>
  </si>
  <si>
    <t>Data</t>
  </si>
  <si>
    <t xml:space="preserve"> %UG OnC Trad</t>
  </si>
  <si>
    <t>Total  %UG OnC Trad</t>
  </si>
  <si>
    <t xml:space="preserve"> %UG OffC Trad</t>
  </si>
  <si>
    <t>Total  %UG OffC Trad</t>
  </si>
  <si>
    <t xml:space="preserve"> %UG EL Web</t>
  </si>
  <si>
    <t>Total  %UG EL Web</t>
  </si>
  <si>
    <t xml:space="preserve"> %UG EL O</t>
  </si>
  <si>
    <t>Total  %UG EL O</t>
  </si>
  <si>
    <t xml:space="preserve"> %UG Cor</t>
  </si>
  <si>
    <t>Total  %UG Cor</t>
  </si>
  <si>
    <t xml:space="preserve"> %G OnC Trad</t>
  </si>
  <si>
    <t>Total  %G OnC Trad</t>
  </si>
  <si>
    <t xml:space="preserve"> %G OffC Trad</t>
  </si>
  <si>
    <t>Total  %G OffC Trad</t>
  </si>
  <si>
    <t xml:space="preserve"> %G EL Web</t>
  </si>
  <si>
    <t>Total  %G EL Web</t>
  </si>
  <si>
    <t xml:space="preserve"> %G EL O</t>
  </si>
  <si>
    <t>Total  %G EL O</t>
  </si>
  <si>
    <t xml:space="preserve"> %G Cor</t>
  </si>
  <si>
    <t>Total  %G Cor</t>
  </si>
  <si>
    <t>Four-Year</t>
  </si>
  <si>
    <t>Mississippi</t>
  </si>
  <si>
    <t>Oklahoma</t>
  </si>
  <si>
    <t>West Virginia</t>
  </si>
  <si>
    <t>Type2</t>
  </si>
  <si>
    <t>Two-Year</t>
  </si>
  <si>
    <t>Traditional</t>
  </si>
  <si>
    <t>2-Way Compressed Video</t>
  </si>
  <si>
    <t>check figs</t>
  </si>
  <si>
    <t>North Carolina</t>
  </si>
  <si>
    <t>TX</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</si>
  <si>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</si>
  <si>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</si>
  <si>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</si>
  <si>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</si>
  <si>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</si>
  <si>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</si>
  <si>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</si>
  <si>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</si>
  <si>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</si>
  <si>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</si>
  <si>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</si>
  <si>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</si>
  <si>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</si>
  <si>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</si>
  <si>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</si>
  <si>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</si>
  <si>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 Commerce</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</si>
  <si>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</si>
  <si>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</si>
  <si>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</si>
  <si>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</si>
  <si>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</si>
  <si>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</si>
  <si>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</si>
  <si>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</si>
  <si>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</si>
  <si>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</si>
  <si>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</si>
  <si>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</si>
  <si>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</si>
  <si>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</si>
  <si>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</si>
  <si>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</si>
  <si>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</si>
  <si>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</si>
  <si>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</si>
  <si>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</si>
  <si>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</si>
  <si>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</si>
  <si>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</si>
  <si>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</si>
  <si>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</si>
  <si>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</si>
  <si>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</si>
  <si>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</si>
  <si>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North Harris Montgomery Community College District</t>
  </si>
  <si>
    <t>North Lake College (DCCCD)</t>
  </si>
  <si>
    <t>Richland College (DCCCD)</t>
  </si>
  <si>
    <t>San Antonio College (ACCD)</t>
  </si>
  <si>
    <t xml:space="preserve">South Plains College </t>
  </si>
  <si>
    <t>South Texas Community College</t>
  </si>
  <si>
    <t>St. Philip's College (ACCD)</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</si>
  <si>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</si>
  <si>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</si>
  <si>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</si>
  <si>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</si>
  <si>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</si>
  <si>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</si>
  <si>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Coastal Bend College</t>
  </si>
  <si>
    <t>College of the Mainland</t>
  </si>
  <si>
    <t>El Centro College (DCCCD)</t>
  </si>
  <si>
    <t xml:space="preserve">Grayson County College </t>
  </si>
  <si>
    <t>Howard College (HCJCD)</t>
  </si>
  <si>
    <t xml:space="preserve">Kilgore College </t>
  </si>
  <si>
    <t>Lamar State College-Port Arthur</t>
  </si>
  <si>
    <t xml:space="preserve">Lee College </t>
  </si>
  <si>
    <t xml:space="preserve">McLennan Community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</si>
  <si>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</si>
  <si>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</si>
  <si>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</si>
  <si>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</si>
  <si>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</si>
  <si>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</si>
  <si>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</si>
  <si>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</si>
  <si>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</si>
  <si>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</si>
  <si>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</si>
  <si>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</si>
  <si>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</si>
  <si>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</si>
  <si>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Victoria College </t>
  </si>
  <si>
    <t xml:space="preserve">Weatherford College </t>
  </si>
  <si>
    <t xml:space="preserve">Wharton County Junior College </t>
  </si>
  <si>
    <t xml:space="preserve">Cisco Junior College </t>
  </si>
  <si>
    <t xml:space="preserve">Clarendon College </t>
  </si>
  <si>
    <t xml:space="preserve">Frank Phillips College </t>
  </si>
  <si>
    <t xml:space="preserve">Galveston College </t>
  </si>
  <si>
    <t>Hill College</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</si>
  <si>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</si>
  <si>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</si>
  <si>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</si>
  <si>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</si>
  <si>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</si>
  <si>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</si>
  <si>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</si>
  <si>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</si>
  <si>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Vernon College </t>
  </si>
  <si>
    <t xml:space="preserve">Western Texas College </t>
  </si>
  <si>
    <t>Texas</t>
  </si>
  <si>
    <t>with bachs.</t>
  </si>
  <si>
    <t>Percent of Total</t>
  </si>
  <si>
    <t>AL</t>
  </si>
  <si>
    <t>AR</t>
  </si>
  <si>
    <t>University of Arkansas Fayetteville</t>
  </si>
  <si>
    <t>nr</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</si>
  <si>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</si>
  <si>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</si>
  <si>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</si>
  <si>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</si>
  <si>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</si>
  <si>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</si>
  <si>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</si>
  <si>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</si>
  <si>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University-Beebe</t>
  </si>
  <si>
    <t xml:space="preserve">Northwest Arkansas Community College </t>
  </si>
  <si>
    <t>Pulaski Technical College</t>
  </si>
  <si>
    <t>University of Arkansas--Fort Smith</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</si>
  <si>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</si>
  <si>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</si>
  <si>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</si>
  <si>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</si>
  <si>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</si>
  <si>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</si>
  <si>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</si>
  <si>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</si>
  <si>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</si>
  <si>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</si>
  <si>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</si>
  <si>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</si>
  <si>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</si>
  <si>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</si>
  <si>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</si>
  <si>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</si>
  <si>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</si>
  <si>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</si>
  <si>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</si>
  <si>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DE</t>
  </si>
  <si>
    <t>FL</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</si>
  <si>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</si>
  <si>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</si>
  <si>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</si>
  <si>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</si>
  <si>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</si>
  <si>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</si>
  <si>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</si>
  <si>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</si>
  <si>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</si>
  <si>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</si>
  <si>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</si>
  <si>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Brevard Community College </t>
  </si>
  <si>
    <t xml:space="preserve">Broward Community College </t>
  </si>
  <si>
    <t xml:space="preserve">Daytona Beach Community College </t>
  </si>
  <si>
    <t xml:space="preserve">Edison Community College </t>
  </si>
  <si>
    <t>Florida Community College at Jacksonville</t>
  </si>
  <si>
    <t xml:space="preserve">Hillsborough Community College </t>
  </si>
  <si>
    <t xml:space="preserve">Indian River Community College </t>
  </si>
  <si>
    <t xml:space="preserve">Manatee Community College </t>
  </si>
  <si>
    <t xml:space="preserve">Miami-Dade College </t>
  </si>
  <si>
    <t xml:space="preserve">Palm Beach Community College </t>
  </si>
  <si>
    <t xml:space="preserve">Pensacola Junior College </t>
  </si>
  <si>
    <t xml:space="preserve">Santa Fe Community College </t>
  </si>
  <si>
    <t xml:space="preserve">Seminole Community College </t>
  </si>
  <si>
    <t xml:space="preserve">St. Petersburg College </t>
  </si>
  <si>
    <t xml:space="preserve">Tallahassee Community College </t>
  </si>
  <si>
    <t xml:space="preserve">Valencia Community College </t>
  </si>
  <si>
    <t xml:space="preserve">Central Florida Community College </t>
  </si>
  <si>
    <t xml:space="preserve">Gulf Coast Community College </t>
  </si>
  <si>
    <t xml:space="preserve">Okaloosa-Walton College </t>
  </si>
  <si>
    <t xml:space="preserve">Pasco-Hernando Community College </t>
  </si>
  <si>
    <t xml:space="preserve">Polk Community College </t>
  </si>
  <si>
    <t xml:space="preserve">South Florida Community College </t>
  </si>
  <si>
    <t xml:space="preserve">St. Johns River Community College </t>
  </si>
  <si>
    <t xml:space="preserve">Chipola College </t>
  </si>
  <si>
    <t xml:space="preserve">Florida Keys Community College </t>
  </si>
  <si>
    <t xml:space="preserve">Lake City Community College </t>
  </si>
  <si>
    <t xml:space="preserve">Lake-Sumter Community College </t>
  </si>
  <si>
    <t xml:space="preserve">North Florida Community College </t>
  </si>
  <si>
    <t>GA</t>
  </si>
  <si>
    <t xml:space="preserve">Georgia State University </t>
  </si>
  <si>
    <t>University of Georgia</t>
  </si>
  <si>
    <t>Georgia Institute of Technology</t>
  </si>
  <si>
    <t>Georgia Southern University</t>
  </si>
  <si>
    <t>State University of West Georgia</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</si>
  <si>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</si>
  <si>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</si>
  <si>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</si>
  <si>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</si>
  <si>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</si>
  <si>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</si>
  <si>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</si>
  <si>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</si>
  <si>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</si>
  <si>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</si>
  <si>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</si>
  <si>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Clayton College and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</si>
  <si>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</si>
  <si>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</si>
  <si>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</si>
  <si>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</si>
  <si>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</si>
  <si>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Gainesville College </t>
  </si>
  <si>
    <t xml:space="preserve">Gordon College </t>
  </si>
  <si>
    <t>Atlanta Metropolitan College</t>
  </si>
  <si>
    <t xml:space="preserve">Bainbridge College </t>
  </si>
  <si>
    <t>Coastal Georgia College</t>
  </si>
  <si>
    <t>East Georgia College</t>
  </si>
  <si>
    <t xml:space="preserve">Floyd College </t>
  </si>
  <si>
    <t xml:space="preserve">Middle Georgia College </t>
  </si>
  <si>
    <t xml:space="preserve">South Georgia College </t>
  </si>
  <si>
    <t xml:space="preserve">Waycross College </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</si>
  <si>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</si>
  <si>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</si>
  <si>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</si>
  <si>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</si>
  <si>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</si>
  <si>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</si>
  <si>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</si>
  <si>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</si>
  <si>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</si>
  <si>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</si>
  <si>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</si>
  <si>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</si>
  <si>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</si>
  <si>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</si>
  <si>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</si>
  <si>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</si>
  <si>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</si>
  <si>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</si>
  <si>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</si>
  <si>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</si>
  <si>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</si>
  <si>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</si>
  <si>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</si>
  <si>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</si>
  <si>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</si>
  <si>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</si>
  <si>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</si>
  <si>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</si>
  <si>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</si>
  <si>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</si>
  <si>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</si>
  <si>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</si>
  <si>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</si>
  <si>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</si>
  <si>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</si>
  <si>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</si>
  <si>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</si>
  <si>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</si>
  <si>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</si>
  <si>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</si>
  <si>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</si>
  <si>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</si>
  <si>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Jefferson Community College </t>
  </si>
  <si>
    <t xml:space="preserve">       . </t>
  </si>
  <si>
    <t xml:space="preserve">Lexington Community College </t>
  </si>
  <si>
    <t xml:space="preserve">Elizabethtown Community College </t>
  </si>
  <si>
    <t>Hazard Community College (CTC)</t>
  </si>
  <si>
    <t>Southeast Community College (CTC)</t>
  </si>
  <si>
    <t xml:space="preserve">Ashland Community College </t>
  </si>
  <si>
    <t xml:space="preserve">Henderson Community College </t>
  </si>
  <si>
    <t xml:space="preserve">Hopkinsville Community College </t>
  </si>
  <si>
    <t>Madisonville Community College (CTC)</t>
  </si>
  <si>
    <t xml:space="preserve">Maysville Community College </t>
  </si>
  <si>
    <t xml:space="preserve">Owensboro Community College </t>
  </si>
  <si>
    <t xml:space="preserve">Paducah Community College </t>
  </si>
  <si>
    <t>Big Sandy Community and Technical College</t>
  </si>
  <si>
    <t xml:space="preserve">Somerset Community College </t>
  </si>
  <si>
    <t>Central Kentucky Technical College</t>
  </si>
  <si>
    <t>Jefferson Technical College</t>
  </si>
  <si>
    <t>Somerset Technical College</t>
  </si>
  <si>
    <t>West Kentucky Technical College</t>
  </si>
  <si>
    <t>Ashland Technical College</t>
  </si>
  <si>
    <t>Bowling Green Technical College</t>
  </si>
  <si>
    <t>Elizabethtown Technical College</t>
  </si>
  <si>
    <t>Gateway Community and Technical College</t>
  </si>
  <si>
    <t>Big Sandy Community and Technical College Mayo Campus</t>
  </si>
  <si>
    <t>Owensboro Technical College</t>
  </si>
  <si>
    <t>Rowan Technical College</t>
  </si>
  <si>
    <t>LA</t>
  </si>
  <si>
    <t>MD</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</si>
  <si>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</si>
  <si>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</si>
  <si>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</si>
  <si>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</si>
  <si>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</si>
  <si>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</si>
  <si>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</si>
  <si>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</si>
  <si>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</si>
  <si>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</si>
  <si>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</si>
  <si>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Community College of Baltimore County (all campuses)</t>
  </si>
  <si>
    <t>na</t>
  </si>
  <si>
    <t>Montgomery College (all campuses)</t>
  </si>
  <si>
    <t xml:space="preserve">Prince George's Community College </t>
  </si>
  <si>
    <t>Baltimore City Community College</t>
  </si>
  <si>
    <t>College of Southern Maryland</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</si>
  <si>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</si>
  <si>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</si>
  <si>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</si>
  <si>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</si>
  <si>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</si>
  <si>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</si>
  <si>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</si>
  <si>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Garrett College </t>
  </si>
  <si>
    <t xml:space="preserve">Hagerstown Community College </t>
  </si>
  <si>
    <t xml:space="preserve">Wor-Wic Community College </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</si>
  <si>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</si>
  <si>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</si>
  <si>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</si>
  <si>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</si>
  <si>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</si>
  <si>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</si>
  <si>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</si>
  <si>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</si>
  <si>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</si>
  <si>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</si>
  <si>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Northwest Mississippi Community College </t>
  </si>
  <si>
    <t xml:space="preserve">Pearl River Community College </t>
  </si>
  <si>
    <t xml:space="preserve">Coahoma Community College </t>
  </si>
  <si>
    <t xml:space="preserve">East Central Community College </t>
  </si>
  <si>
    <t>Southwest Mississippi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</si>
  <si>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</si>
  <si>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</si>
  <si>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</si>
  <si>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</si>
  <si>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</si>
  <si>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</si>
  <si>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</si>
  <si>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</si>
  <si>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</si>
  <si>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</si>
  <si>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</si>
  <si>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</si>
  <si>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</si>
  <si>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</si>
  <si>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</si>
  <si>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Caldwell Community College &amp; Technical Institute</t>
  </si>
  <si>
    <t xml:space="preserve">Oklahoma State University-Oklahoma City </t>
  </si>
  <si>
    <t>SC</t>
  </si>
  <si>
    <t>TN</t>
  </si>
  <si>
    <t xml:space="preserve">Texas State University - San Marcos </t>
  </si>
  <si>
    <t>228501B</t>
  </si>
  <si>
    <t>San Jacinto College</t>
  </si>
  <si>
    <t>Tarrant County College</t>
  </si>
  <si>
    <t>VA</t>
  </si>
  <si>
    <t>West Virginia University Institute of Technology</t>
  </si>
  <si>
    <t>.</t>
  </si>
  <si>
    <t>West Virginia University at Parkersburg</t>
  </si>
  <si>
    <t>Fairmont State Community &amp; Technical College</t>
  </si>
  <si>
    <t>Eastern West Virginia Community &amp; Technical College</t>
  </si>
  <si>
    <t>Potomac State College of West Virginia University</t>
  </si>
  <si>
    <t xml:space="preserve">Southern West Virginia Community &amp; Technical College </t>
  </si>
  <si>
    <t>West Virginia Northern Community College</t>
  </si>
  <si>
    <t>Technical</t>
  </si>
  <si>
    <t>Alabama</t>
  </si>
  <si>
    <t>Arkansas</t>
  </si>
  <si>
    <t>Delaware</t>
  </si>
  <si>
    <t>Florida</t>
  </si>
  <si>
    <t>Georgia</t>
  </si>
  <si>
    <t>Kentucky</t>
  </si>
  <si>
    <t>Louisiana</t>
  </si>
  <si>
    <t>Maryland</t>
  </si>
  <si>
    <t>South Carolina</t>
  </si>
  <si>
    <t>Tennessee</t>
  </si>
  <si>
    <t>Virginia</t>
  </si>
  <si>
    <t>by Type of Institution, 2003-04</t>
  </si>
  <si>
    <t>Public Four-Year Institutions, 2003-04</t>
  </si>
  <si>
    <t>Public Four-Year 1 Institutions, 2003-04</t>
  </si>
  <si>
    <t>Public Four-Year 2 Institutions, 2003-04</t>
  </si>
  <si>
    <t>Public Four-Year 3 Institutions, 2003-04</t>
  </si>
  <si>
    <t>Public Four-Year 4 Institutions, 2003-04</t>
  </si>
  <si>
    <t>Public Four-Year 5 Institutions, 2003-04</t>
  </si>
  <si>
    <t>Public Four-Year 6 Institutions, 2003-04</t>
  </si>
  <si>
    <t>Public Two-Year, 2003-04</t>
  </si>
  <si>
    <t>Public Two-Year with Bachelor's Institutions, 2003-04</t>
  </si>
  <si>
    <t>Public Two-Year 1 Institutions, 2003-04</t>
  </si>
  <si>
    <t>Public Two-Year 2 Institutions, 2003-04</t>
  </si>
  <si>
    <t>Public Two-Year 3 Institutions, 2003-04</t>
  </si>
  <si>
    <t>no data for type 14's</t>
  </si>
  <si>
    <t>Table XX</t>
  </si>
  <si>
    <t>Grand Total</t>
  </si>
  <si>
    <t>Coppin State University</t>
  </si>
  <si>
    <t>University of Maryland University College</t>
  </si>
  <si>
    <t>Four-Year Total</t>
  </si>
  <si>
    <t>Two-Year Total</t>
  </si>
  <si>
    <t>Technical Total</t>
  </si>
  <si>
    <t>Maryland*</t>
  </si>
  <si>
    <t>Community &amp; Technical College of West Virginia University Tech</t>
  </si>
  <si>
    <t>Marshall Community &amp; Technical College</t>
  </si>
  <si>
    <t xml:space="preserve">Concord University </t>
  </si>
  <si>
    <t xml:space="preserve">Fairmont State University </t>
  </si>
  <si>
    <t xml:space="preserve">Shepherd University </t>
  </si>
  <si>
    <t xml:space="preserve">West Virginia State University </t>
  </si>
  <si>
    <t>Table 52</t>
  </si>
  <si>
    <t>Table 53</t>
  </si>
  <si>
    <t>Table 54</t>
  </si>
  <si>
    <t>Table 55</t>
  </si>
  <si>
    <t>Table 56</t>
  </si>
  <si>
    <t>Table 57</t>
  </si>
  <si>
    <t>Table 58</t>
  </si>
  <si>
    <t>Table 59</t>
  </si>
  <si>
    <t>Table 60</t>
  </si>
  <si>
    <t>Table 61</t>
  </si>
  <si>
    <t>Table 62</t>
  </si>
  <si>
    <t>Table 63</t>
  </si>
  <si>
    <t>Table 64</t>
  </si>
  <si>
    <t>Table 65</t>
  </si>
  <si>
    <t>Table 66</t>
  </si>
  <si>
    <t>Public Technical Institutes or Colleges Size Unknown, 2003-04</t>
  </si>
  <si>
    <t>Table 67</t>
  </si>
  <si>
    <t>Table 68</t>
  </si>
  <si>
    <t>Table 69</t>
  </si>
  <si>
    <t>Table 70</t>
  </si>
  <si>
    <t>Table 71</t>
  </si>
  <si>
    <t>Table 72</t>
  </si>
  <si>
    <t>Table 73</t>
  </si>
  <si>
    <t>Table 74</t>
  </si>
  <si>
    <t>All</t>
  </si>
  <si>
    <t>Public Technical Institutes or Colleges, 2003-04</t>
  </si>
  <si>
    <t>Public Technical Institutes or Colleges 1, 2003-04</t>
  </si>
  <si>
    <t>Public Technical Institutes or Colleges 2, 2003-04</t>
  </si>
  <si>
    <t>Table 75</t>
  </si>
  <si>
    <t>UG EL CV</t>
  </si>
  <si>
    <t>G EL CV</t>
  </si>
  <si>
    <r>
      <t xml:space="preserve">Off-Campus (in-state or out-of-state sites) "Traditional" Instruction </t>
    </r>
    <r>
      <rPr>
        <sz val="10"/>
        <color indexed="12"/>
        <rFont val="Arial"/>
        <family val="0"/>
      </rPr>
      <t>(significant site attendance required--50% or less of course content is electronically delivered)</t>
    </r>
  </si>
  <si>
    <r>
      <t xml:space="preserve">E-learning </t>
    </r>
    <r>
      <rPr>
        <sz val="10"/>
        <color indexed="12"/>
        <rFont val="Arial"/>
        <family val="0"/>
      </rPr>
      <t>(more than 50% of course content is electronically delivered)</t>
    </r>
  </si>
  <si>
    <r>
      <t>Total Under- graduate SCH</t>
    </r>
    <r>
      <rPr>
        <sz val="10"/>
        <rFont val="Arial"/>
        <family val="0"/>
      </rPr>
      <t xml:space="preserve"> </t>
    </r>
    <r>
      <rPr>
        <sz val="10"/>
        <color indexed="12"/>
        <rFont val="Arial"/>
        <family val="0"/>
      </rPr>
      <t>(a sum of columns --should match totals from Data Exchange Part 3)</t>
    </r>
  </si>
  <si>
    <r>
      <t xml:space="preserve">On-Campus "Traditional" Instruction </t>
    </r>
    <r>
      <rPr>
        <sz val="10"/>
        <color indexed="12"/>
        <rFont val="Arial"/>
        <family val="0"/>
      </rPr>
      <t>(significant site attendance required--50% or less of course content is electronically delivered)</t>
    </r>
  </si>
  <si>
    <r>
      <t xml:space="preserve">Site-to-Site, 2-Way, Audio/Video </t>
    </r>
    <r>
      <rPr>
        <sz val="10"/>
        <rFont val="Arial"/>
        <family val="0"/>
      </rPr>
      <t>(compressed video)</t>
    </r>
  </si>
  <si>
    <r>
      <t xml:space="preserve">Correspondence </t>
    </r>
    <r>
      <rPr>
        <sz val="10"/>
        <color indexed="12"/>
        <rFont val="Arial"/>
        <family val="0"/>
      </rPr>
      <t>(no significant site attendance required--less than 50% of the course content is electronically delivered)</t>
    </r>
  </si>
  <si>
    <r>
      <t>Total Graduate SCH</t>
    </r>
    <r>
      <rPr>
        <sz val="10"/>
        <rFont val="Arial"/>
        <family val="0"/>
      </rPr>
      <t xml:space="preserve"> </t>
    </r>
    <r>
      <rPr>
        <sz val="10"/>
        <color indexed="12"/>
        <rFont val="Arial"/>
        <family val="0"/>
      </rPr>
      <t>(a sum of columns --should match totals from Data Exchange Part 3)</t>
    </r>
  </si>
  <si>
    <t>Off-Campus</t>
  </si>
  <si>
    <t>On-Campus</t>
  </si>
  <si>
    <t xml:space="preserve"> % UG EL CV</t>
  </si>
  <si>
    <t>Total  % UG EL CV</t>
  </si>
  <si>
    <t xml:space="preserve"> % G EL CV</t>
  </si>
  <si>
    <t>Total  % G EL CV</t>
  </si>
  <si>
    <t>Undergraduate Instructional Activity by Type of Instruction</t>
  </si>
  <si>
    <t>Graduate Instructional Activity by Type of Instruction</t>
  </si>
  <si>
    <t>Percent of Undergraduate Instructional Activity in Traditional Classroom Instruction</t>
  </si>
  <si>
    <t>Percent of Graduate Instructional Activity</t>
  </si>
  <si>
    <t xml:space="preserve"> in Traditional Classroom Instruction</t>
  </si>
  <si>
    <t>*The "all four-year" figure includes University of Maryland University College.</t>
  </si>
  <si>
    <t>West Virginia*</t>
  </si>
  <si>
    <t>Table 76</t>
  </si>
  <si>
    <t>Table 77</t>
  </si>
  <si>
    <t>Subtotal</t>
  </si>
  <si>
    <t>Percent of Undergraduate Instructional Activity in e-Learning</t>
  </si>
  <si>
    <t>Percent of Graduate Instructional Activity in e-Learning</t>
  </si>
  <si>
    <t>e-Learning</t>
  </si>
  <si>
    <t>Corre- spondence</t>
  </si>
  <si>
    <r>
      <t>Other</t>
    </r>
    <r>
      <rPr>
        <b/>
        <vertAlign val="superscript"/>
        <sz val="9"/>
        <rFont val="Arial"/>
        <family val="2"/>
      </rPr>
      <t>1</t>
    </r>
  </si>
  <si>
    <r>
      <t>Maryland</t>
    </r>
    <r>
      <rPr>
        <vertAlign val="superscript"/>
        <sz val="10"/>
        <rFont val="Arial"/>
        <family val="2"/>
      </rPr>
      <t>2</t>
    </r>
  </si>
  <si>
    <r>
      <t>West Virginia</t>
    </r>
    <r>
      <rPr>
        <vertAlign val="superscript"/>
        <sz val="10"/>
        <rFont val="Arial"/>
        <family val="2"/>
      </rPr>
      <t>3</t>
    </r>
  </si>
  <si>
    <r>
      <t>1</t>
    </r>
    <r>
      <rPr>
        <sz val="8"/>
        <rFont val="Arial"/>
        <family val="2"/>
      </rPr>
      <t>Courses delivered via satellite, cable TV, broadcast TV/radio, closed-circuit TV, video tape, CD-ROMS, e-mail, etc.</t>
    </r>
  </si>
  <si>
    <r>
      <t>2</t>
    </r>
    <r>
      <rPr>
        <sz val="8"/>
        <rFont val="Arial"/>
        <family val="2"/>
      </rPr>
      <t>This "all four-year" table includes the University of Maryland University College.</t>
    </r>
  </si>
  <si>
    <r>
      <t>Other</t>
    </r>
    <r>
      <rPr>
        <vertAlign val="superscript"/>
        <sz val="9"/>
        <rFont val="Arial"/>
        <family val="2"/>
      </rPr>
      <t>1</t>
    </r>
  </si>
  <si>
    <r>
      <t>West Virginia</t>
    </r>
    <r>
      <rPr>
        <vertAlign val="superscript"/>
        <sz val="10"/>
        <rFont val="Arial"/>
        <family val="2"/>
      </rPr>
      <t>2</t>
    </r>
  </si>
  <si>
    <r>
      <t>2</t>
    </r>
    <r>
      <rPr>
        <sz val="8"/>
        <rFont val="Arial"/>
        <family val="2"/>
      </rPr>
      <t>West Virginia defines e-learning when 80 percent of course content is delivered electronically.</t>
    </r>
  </si>
  <si>
    <r>
      <t>3</t>
    </r>
    <r>
      <rPr>
        <sz val="8"/>
        <rFont val="Arial"/>
        <family val="2"/>
      </rPr>
      <t>West Virginia defines e-learning when 80 percent of course content is delivered electronically.</t>
    </r>
  </si>
  <si>
    <r>
      <t>Mississippi</t>
    </r>
    <r>
      <rPr>
        <vertAlign val="superscript"/>
        <sz val="10"/>
        <rFont val="Arial"/>
        <family val="2"/>
      </rPr>
      <t>2</t>
    </r>
  </si>
  <si>
    <r>
      <t>2</t>
    </r>
    <r>
      <rPr>
        <sz val="8"/>
        <rFont val="Arial"/>
        <family val="2"/>
      </rPr>
      <t>Mississippi Community Colleges define e-learning when 75 percent of course content is delivered electronically.</t>
    </r>
  </si>
  <si>
    <t>November 2004</t>
  </si>
  <si>
    <t>December 2005</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</si>
</sst>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_)"/>
    <numFmt numFmtId="166" formatCode="0.0%"/>
    <numFmt numFmtId="167" formatCode="mm/dd/yy_)"/>
    <numFmt numFmtId="168" formatCode=";;;"/>
    <numFmt numFmtId="169" formatCode="0.000000_)"/>
    <numFmt numFmtId="170" formatCode="0.000000000000000_)"/>
    <numFmt numFmtId="171" formatCode="0.00000_)"/>
    <numFmt numFmtId="172" formatCode="0.0"/>
    <numFmt numFmtId="173" formatCode="0.000000000000000"/>
    <numFmt numFmtId="174" formatCode="_(* #,##0_);_(* \(#,##0\);_(* &quot;-&quot;??_);_(@_)"/>
    <numFmt numFmtId="175" formatCode="mmmm\ d\,\ yyyy"/>
    <numFmt numFmtId="176" formatCode="0.0000_)"/>
    <numFmt numFmtId="177" formatCode="0.000_)"/>
    <numFmt numFmtId="178" formatCode="0.00_)"/>
    <numFmt numFmtId="179" formatCode="0_)"/>
    <numFmt numFmtId="180" formatCode="0.000"/>
    <numFmt numFmtId="181" formatCode="_(* #,##0.000_);_(* \(#,##0.000\);_(* &quot;-&quot;??_);_(@_)"/>
    <numFmt numFmtId="182" formatCode="_(* #,##0.0_);_(* \(#,##0.0\);_(* &quot;-&quot;?_);_(@_)"/>
    <numFmt numFmtId="183" formatCode="0.0000"/>
    <numFmt numFmtId="184" formatCode="0.00000"/>
    <numFmt numFmtId="185" formatCode="#,##0.0_);\(#,##0.0\)"/>
    <numFmt numFmtId="186" formatCode="#,##0.0"/>
    <numFmt numFmtId="187" formatCode="0.000%"/>
    <numFmt numFmtId="188" formatCode="0.0000%"/>
    <numFmt numFmtId="189" formatCode="_(* #,##0.0000_);_(* \(#,##0.0000\);_(* &quot;-&quot;??_);_(@_)"/>
    <numFmt numFmtId="190" formatCode="_(* #,##0.00000_);_(* \(#,##0.00000\);_(* &quot;-&quot;??_);_(@_)"/>
    <numFmt numFmtId="191" formatCode="#,##0.000"/>
  </numFmts>
  <fonts count="29">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8"/>
      <name val="Tahoma"/>
      <family val="0"/>
    </font>
    <font>
      <sz val="10"/>
      <name val="ARIAL"/>
      <family val="2"/>
    </font>
    <font>
      <b/>
      <sz val="14"/>
      <name val="Arial"/>
      <family val="2"/>
    </font>
    <font>
      <sz val="14"/>
      <name val="Arial"/>
      <family val="2"/>
    </font>
    <font>
      <b/>
      <sz val="12"/>
      <color indexed="8"/>
      <name val="Arial"/>
      <family val="2"/>
    </font>
    <font>
      <b/>
      <sz val="10"/>
      <color indexed="8"/>
      <name val="Arial"/>
      <family val="2"/>
    </font>
    <font>
      <sz val="10"/>
      <color indexed="8"/>
      <name val="Arial"/>
      <family val="2"/>
    </font>
    <font>
      <sz val="12"/>
      <name val="AGaramond"/>
      <family val="0"/>
    </font>
    <font>
      <sz val="10"/>
      <color indexed="10"/>
      <name val="ARIAL"/>
      <family val="2"/>
    </font>
    <font>
      <b/>
      <sz val="8"/>
      <color indexed="8"/>
      <name val="Tahoma"/>
      <family val="2"/>
    </font>
    <font>
      <sz val="8"/>
      <color indexed="8"/>
      <name val="Tahoma"/>
      <family val="0"/>
    </font>
    <font>
      <b/>
      <sz val="12"/>
      <name val="Arial"/>
      <family val="2"/>
    </font>
    <font>
      <b/>
      <sz val="10"/>
      <name val="Arial"/>
      <family val="2"/>
    </font>
    <font>
      <sz val="10"/>
      <color indexed="12"/>
      <name val="Arial"/>
      <family val="0"/>
    </font>
    <font>
      <sz val="10"/>
      <name val="AGaramond"/>
      <family val="0"/>
    </font>
    <font>
      <b/>
      <sz val="10"/>
      <name val="AGaramond"/>
      <family val="0"/>
    </font>
    <font>
      <b/>
      <sz val="9"/>
      <name val="Arial"/>
      <family val="2"/>
    </font>
    <font>
      <b/>
      <vertAlign val="superscript"/>
      <sz val="9"/>
      <name val="Arial"/>
      <family val="2"/>
    </font>
    <font>
      <vertAlign val="superscript"/>
      <sz val="10"/>
      <name val="Arial"/>
      <family val="2"/>
    </font>
    <font>
      <vertAlign val="superscript"/>
      <sz val="8"/>
      <name val="Arial"/>
      <family val="2"/>
    </font>
    <font>
      <sz val="9"/>
      <name val="Arial"/>
      <family val="2"/>
    </font>
    <font>
      <vertAlign val="superscript"/>
      <sz val="9"/>
      <name val="Arial"/>
      <family val="2"/>
    </font>
    <font>
      <b/>
      <sz val="10"/>
      <color indexed="10"/>
      <name val="Arial"/>
      <family val="2"/>
    </font>
    <font>
      <b/>
      <sz val="8"/>
      <name val="Arial"/>
      <family val="2"/>
    </font>
  </fonts>
  <fills count="13">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46">
    <border>
      <left/>
      <right/>
      <top/>
      <bottom/>
      <diagonal/>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style="thin"/>
      <bottom style="thin"/>
    </border>
    <border>
      <left style="thin"/>
      <right style="thin">
        <color indexed="8"/>
      </right>
      <top style="thin">
        <color indexed="8"/>
      </top>
      <bottom>
        <color indexed="63"/>
      </bottom>
    </border>
    <border>
      <left style="thin">
        <color indexed="8"/>
      </left>
      <right style="thin">
        <color indexed="8"/>
      </right>
      <top style="thin"/>
      <bottom>
        <color indexed="63"/>
      </bottom>
    </border>
    <border>
      <left style="double"/>
      <right style="double"/>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double"/>
      <right style="double"/>
      <top style="thin"/>
      <bottom>
        <color indexed="63"/>
      </bottom>
    </border>
    <border>
      <left style="double"/>
      <right>
        <color indexed="63"/>
      </right>
      <top style="thin"/>
      <bottom style="thin"/>
    </border>
    <border>
      <left>
        <color indexed="63"/>
      </left>
      <right style="double"/>
      <top style="thin"/>
      <bottom style="thin"/>
    </border>
    <border>
      <left style="double"/>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double"/>
      <right style="double"/>
      <top>
        <color indexed="63"/>
      </top>
      <bottom style="thin"/>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79" fontId="12" fillId="0" borderId="0">
      <alignment/>
      <protection/>
    </xf>
    <xf numFmtId="179" fontId="12" fillId="0" borderId="0">
      <alignment/>
      <protection/>
    </xf>
    <xf numFmtId="0" fontId="0" fillId="0" borderId="0">
      <alignment/>
      <protection/>
    </xf>
    <xf numFmtId="179" fontId="12" fillId="0" borderId="0">
      <alignment/>
      <protection/>
    </xf>
    <xf numFmtId="9" fontId="0" fillId="0" borderId="0" applyFont="0" applyFill="0" applyBorder="0" applyAlignment="0" applyProtection="0"/>
  </cellStyleXfs>
  <cellXfs count="374">
    <xf numFmtId="0" fontId="0" fillId="0" borderId="0" xfId="0" applyAlignment="1">
      <alignment/>
    </xf>
    <xf numFmtId="0" fontId="0" fillId="0" borderId="0" xfId="0" applyBorder="1" applyAlignment="1">
      <alignment/>
    </xf>
    <xf numFmtId="0" fontId="0" fillId="0" borderId="1" xfId="0" applyBorder="1" applyAlignment="1">
      <alignment/>
    </xf>
    <xf numFmtId="3" fontId="0" fillId="0" borderId="0" xfId="0" applyNumberForma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9" fontId="0" fillId="0" borderId="0" xfId="0" applyNumberFormat="1" applyAlignment="1">
      <alignment/>
    </xf>
    <xf numFmtId="0" fontId="8" fillId="0" borderId="0" xfId="0" applyFont="1" applyAlignment="1">
      <alignment horizontal="centerContinuous"/>
    </xf>
    <xf numFmtId="37" fontId="9" fillId="0" borderId="0" xfId="0" applyNumberFormat="1" applyFont="1" applyAlignment="1" applyProtection="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1" xfId="0" applyFont="1" applyBorder="1" applyAlignment="1">
      <alignment/>
    </xf>
    <xf numFmtId="166" fontId="0" fillId="0" borderId="2" xfId="0" applyNumberFormat="1" applyBorder="1" applyAlignment="1">
      <alignment/>
    </xf>
    <xf numFmtId="166" fontId="0" fillId="0" borderId="5" xfId="0" applyNumberFormat="1" applyBorder="1" applyAlignment="1">
      <alignment/>
    </xf>
    <xf numFmtId="166" fontId="0" fillId="0" borderId="6" xfId="0" applyNumberFormat="1" applyBorder="1" applyAlignment="1">
      <alignment/>
    </xf>
    <xf numFmtId="166" fontId="0" fillId="0" borderId="4" xfId="0" applyNumberFormat="1" applyBorder="1" applyAlignment="1">
      <alignment/>
    </xf>
    <xf numFmtId="166" fontId="0" fillId="0" borderId="0" xfId="0" applyNumberFormat="1" applyAlignment="1">
      <alignment/>
    </xf>
    <xf numFmtId="166" fontId="0" fillId="0" borderId="7" xfId="0" applyNumberFormat="1" applyBorder="1" applyAlignment="1">
      <alignment/>
    </xf>
    <xf numFmtId="0" fontId="0" fillId="0" borderId="0" xfId="0" applyAlignment="1">
      <alignment horizontal="centerContinuous"/>
    </xf>
    <xf numFmtId="37" fontId="10" fillId="0" borderId="1" xfId="0" applyNumberFormat="1" applyFont="1" applyBorder="1" applyAlignment="1" applyProtection="1">
      <alignment/>
      <protection/>
    </xf>
    <xf numFmtId="37" fontId="10" fillId="0" borderId="8" xfId="0" applyNumberFormat="1" applyFont="1" applyBorder="1" applyAlignment="1" applyProtection="1">
      <alignment/>
      <protection/>
    </xf>
    <xf numFmtId="37" fontId="10" fillId="0" borderId="8" xfId="0" applyNumberFormat="1" applyFont="1" applyBorder="1" applyAlignment="1" applyProtection="1">
      <alignment horizontal="center"/>
      <protection/>
    </xf>
    <xf numFmtId="3" fontId="0" fillId="0" borderId="5" xfId="0" applyNumberFormat="1" applyBorder="1" applyAlignment="1">
      <alignment/>
    </xf>
    <xf numFmtId="179" fontId="11" fillId="2" borderId="0" xfId="21" applyFont="1" applyFill="1" applyBorder="1">
      <alignment/>
      <protection/>
    </xf>
    <xf numFmtId="1" fontId="11" fillId="2" borderId="0" xfId="21" applyNumberFormat="1" applyFont="1" applyFill="1" applyBorder="1" applyAlignment="1">
      <alignment horizontal="right"/>
      <protection/>
    </xf>
    <xf numFmtId="179" fontId="11" fillId="2" borderId="0" xfId="21" applyFont="1" applyFill="1" applyBorder="1" applyAlignment="1">
      <alignment horizontal="center"/>
      <protection/>
    </xf>
    <xf numFmtId="179" fontId="11" fillId="3" borderId="0" xfId="21" applyFont="1" applyFill="1" applyBorder="1">
      <alignment/>
      <protection/>
    </xf>
    <xf numFmtId="1" fontId="11" fillId="3" borderId="0" xfId="21" applyNumberFormat="1" applyFont="1" applyFill="1" applyBorder="1" applyAlignment="1">
      <alignment horizontal="right"/>
      <protection/>
    </xf>
    <xf numFmtId="179" fontId="11" fillId="3" borderId="0" xfId="21" applyFont="1" applyFill="1" applyBorder="1" applyAlignment="1">
      <alignment horizontal="center"/>
      <protection/>
    </xf>
    <xf numFmtId="179" fontId="11" fillId="4" borderId="8" xfId="21" applyFont="1" applyFill="1" applyBorder="1">
      <alignment/>
      <protection/>
    </xf>
    <xf numFmtId="1" fontId="11" fillId="4" borderId="8" xfId="21" applyNumberFormat="1" applyFont="1" applyFill="1" applyBorder="1" applyAlignment="1">
      <alignment horizontal="right"/>
      <protection/>
    </xf>
    <xf numFmtId="179" fontId="11" fillId="4" borderId="8" xfId="21" applyFont="1" applyFill="1" applyBorder="1" applyAlignment="1">
      <alignment horizontal="center"/>
      <protection/>
    </xf>
    <xf numFmtId="179" fontId="11" fillId="5" borderId="0" xfId="21" applyFont="1" applyFill="1" applyBorder="1">
      <alignment/>
      <protection/>
    </xf>
    <xf numFmtId="1" fontId="11" fillId="5" borderId="0" xfId="21" applyNumberFormat="1" applyFont="1" applyFill="1" applyBorder="1" applyAlignment="1">
      <alignment horizontal="right"/>
      <protection/>
    </xf>
    <xf numFmtId="179" fontId="11" fillId="5" borderId="0" xfId="21" applyFont="1" applyFill="1" applyBorder="1" applyAlignment="1">
      <alignment horizontal="center"/>
      <protection/>
    </xf>
    <xf numFmtId="179" fontId="6" fillId="5" borderId="1" xfId="21" applyFont="1" applyFill="1" applyBorder="1">
      <alignment/>
      <protection/>
    </xf>
    <xf numFmtId="1" fontId="6" fillId="5" borderId="1" xfId="21" applyNumberFormat="1" applyFont="1" applyFill="1" applyBorder="1" applyAlignment="1">
      <alignment horizontal="right"/>
      <protection/>
    </xf>
    <xf numFmtId="179" fontId="11" fillId="5" borderId="1" xfId="21" applyFont="1" applyFill="1" applyBorder="1" applyAlignment="1">
      <alignment horizontal="center"/>
      <protection/>
    </xf>
    <xf numFmtId="179" fontId="11" fillId="6" borderId="0" xfId="21" applyFont="1" applyFill="1" applyBorder="1">
      <alignment/>
      <protection/>
    </xf>
    <xf numFmtId="1" fontId="11" fillId="6" borderId="0" xfId="21" applyNumberFormat="1" applyFont="1" applyFill="1" applyBorder="1" applyAlignment="1">
      <alignment horizontal="right"/>
      <protection/>
    </xf>
    <xf numFmtId="179" fontId="11" fillId="6" borderId="0" xfId="21" applyFont="1" applyFill="1" applyBorder="1" applyAlignment="1">
      <alignment horizontal="center"/>
      <protection/>
    </xf>
    <xf numFmtId="179" fontId="11" fillId="6" borderId="1" xfId="21" applyFont="1" applyFill="1" applyBorder="1">
      <alignment/>
      <protection/>
    </xf>
    <xf numFmtId="1" fontId="11" fillId="6" borderId="1" xfId="21" applyNumberFormat="1" applyFont="1" applyFill="1" applyBorder="1" applyAlignment="1">
      <alignment horizontal="right"/>
      <protection/>
    </xf>
    <xf numFmtId="179" fontId="11" fillId="6" borderId="1" xfId="21" applyFont="1" applyFill="1" applyBorder="1" applyAlignment="1">
      <alignment horizontal="center"/>
      <protection/>
    </xf>
    <xf numFmtId="179" fontId="11" fillId="7" borderId="0" xfId="21" applyFont="1" applyFill="1" applyBorder="1">
      <alignment/>
      <protection/>
    </xf>
    <xf numFmtId="1" fontId="11" fillId="7" borderId="0" xfId="21" applyNumberFormat="1" applyFont="1" applyFill="1" applyBorder="1" applyAlignment="1">
      <alignment horizontal="right"/>
      <protection/>
    </xf>
    <xf numFmtId="179" fontId="11" fillId="7" borderId="0" xfId="21" applyFont="1" applyFill="1" applyBorder="1" applyAlignment="1">
      <alignment horizontal="center"/>
      <protection/>
    </xf>
    <xf numFmtId="179" fontId="11" fillId="8" borderId="0" xfId="21" applyFont="1" applyFill="1" applyBorder="1">
      <alignment/>
      <protection/>
    </xf>
    <xf numFmtId="1" fontId="11" fillId="8" borderId="0" xfId="21" applyNumberFormat="1" applyFont="1" applyFill="1" applyBorder="1" applyAlignment="1">
      <alignment horizontal="right"/>
      <protection/>
    </xf>
    <xf numFmtId="179" fontId="11" fillId="8" borderId="9" xfId="21" applyFont="1" applyFill="1" applyBorder="1" applyAlignment="1">
      <alignment horizontal="center"/>
      <protection/>
    </xf>
    <xf numFmtId="179" fontId="11" fillId="8" borderId="1" xfId="21" applyFont="1" applyFill="1" applyBorder="1">
      <alignment/>
      <protection/>
    </xf>
    <xf numFmtId="1" fontId="11" fillId="8" borderId="1" xfId="21" applyNumberFormat="1" applyFont="1" applyFill="1" applyBorder="1" applyAlignment="1">
      <alignment horizontal="right"/>
      <protection/>
    </xf>
    <xf numFmtId="179" fontId="11" fillId="8" borderId="10" xfId="21" applyFont="1" applyFill="1" applyBorder="1" applyAlignment="1">
      <alignment horizontal="center"/>
      <protection/>
    </xf>
    <xf numFmtId="179" fontId="11" fillId="9" borderId="0" xfId="22" applyFont="1" applyFill="1" applyBorder="1">
      <alignment/>
      <protection/>
    </xf>
    <xf numFmtId="1" fontId="11" fillId="9" borderId="0" xfId="22" applyNumberFormat="1" applyFont="1" applyFill="1" applyBorder="1" applyAlignment="1">
      <alignment horizontal="right"/>
      <protection/>
    </xf>
    <xf numFmtId="179" fontId="11" fillId="9" borderId="0" xfId="21" applyFont="1" applyFill="1" applyBorder="1" applyAlignment="1">
      <alignment horizontal="center"/>
      <protection/>
    </xf>
    <xf numFmtId="179" fontId="6" fillId="9" borderId="0" xfId="22" applyFont="1" applyFill="1" applyBorder="1">
      <alignment/>
      <protection/>
    </xf>
    <xf numFmtId="179" fontId="11" fillId="9" borderId="1" xfId="22" applyFont="1" applyFill="1" applyBorder="1">
      <alignment/>
      <protection/>
    </xf>
    <xf numFmtId="1" fontId="11" fillId="9" borderId="1" xfId="22" applyNumberFormat="1" applyFont="1" applyFill="1" applyBorder="1" applyAlignment="1">
      <alignment horizontal="right"/>
      <protection/>
    </xf>
    <xf numFmtId="179" fontId="11" fillId="9" borderId="1" xfId="21" applyFont="1" applyFill="1" applyBorder="1" applyAlignment="1">
      <alignment horizontal="center"/>
      <protection/>
    </xf>
    <xf numFmtId="179" fontId="11" fillId="2" borderId="0" xfId="22" applyFont="1" applyFill="1" applyBorder="1">
      <alignment/>
      <protection/>
    </xf>
    <xf numFmtId="1" fontId="11" fillId="2" borderId="0" xfId="22" applyNumberFormat="1" applyFont="1" applyFill="1" applyBorder="1" applyAlignment="1">
      <alignment horizontal="right"/>
      <protection/>
    </xf>
    <xf numFmtId="179" fontId="11" fillId="10" borderId="0" xfId="22" applyFont="1" applyFill="1" applyBorder="1">
      <alignment/>
      <protection/>
    </xf>
    <xf numFmtId="1" fontId="11" fillId="10" borderId="0" xfId="22" applyNumberFormat="1" applyFont="1" applyFill="1" applyBorder="1" applyAlignment="1">
      <alignment horizontal="right"/>
      <protection/>
    </xf>
    <xf numFmtId="179" fontId="11" fillId="10" borderId="0" xfId="21" applyFont="1" applyFill="1" applyBorder="1" applyAlignment="1">
      <alignment horizontal="center"/>
      <protection/>
    </xf>
    <xf numFmtId="174" fontId="6" fillId="0" borderId="11" xfId="15" applyNumberFormat="1" applyFont="1" applyFill="1" applyBorder="1" applyAlignment="1">
      <alignment/>
    </xf>
    <xf numFmtId="174" fontId="6" fillId="0" borderId="0" xfId="15" applyNumberFormat="1" applyFont="1" applyFill="1" applyAlignment="1">
      <alignment/>
    </xf>
    <xf numFmtId="174" fontId="6" fillId="0" borderId="11" xfId="15" applyNumberFormat="1" applyFont="1" applyBorder="1" applyAlignment="1">
      <alignment/>
    </xf>
    <xf numFmtId="174" fontId="6" fillId="0" borderId="0" xfId="15" applyNumberFormat="1" applyFont="1" applyAlignment="1">
      <alignment/>
    </xf>
    <xf numFmtId="174" fontId="6" fillId="0" borderId="9" xfId="15" applyNumberFormat="1" applyFont="1" applyFill="1" applyBorder="1" applyAlignment="1">
      <alignment/>
    </xf>
    <xf numFmtId="174" fontId="6" fillId="0" borderId="0" xfId="15" applyNumberFormat="1" applyFont="1" applyFill="1" applyBorder="1" applyAlignment="1">
      <alignment/>
    </xf>
    <xf numFmtId="179" fontId="11" fillId="10" borderId="0" xfId="22" applyFont="1" applyFill="1" applyBorder="1" applyAlignment="1">
      <alignment horizontal="right"/>
      <protection/>
    </xf>
    <xf numFmtId="179" fontId="11" fillId="10" borderId="1" xfId="22" applyFont="1" applyFill="1" applyBorder="1">
      <alignment/>
      <protection/>
    </xf>
    <xf numFmtId="1" fontId="11" fillId="10" borderId="1" xfId="22" applyNumberFormat="1" applyFont="1" applyFill="1" applyBorder="1" applyAlignment="1">
      <alignment horizontal="right"/>
      <protection/>
    </xf>
    <xf numFmtId="179" fontId="11" fillId="10" borderId="1" xfId="21" applyFont="1" applyFill="1" applyBorder="1" applyAlignment="1">
      <alignment horizontal="center"/>
      <protection/>
    </xf>
    <xf numFmtId="179" fontId="13" fillId="2" borderId="0" xfId="22" applyFont="1" applyFill="1" applyBorder="1">
      <alignment/>
      <protection/>
    </xf>
    <xf numFmtId="1" fontId="13" fillId="2" borderId="0" xfId="22" applyNumberFormat="1" applyFont="1" applyFill="1" applyBorder="1" applyAlignment="1">
      <alignment horizontal="right"/>
      <protection/>
    </xf>
    <xf numFmtId="179" fontId="13" fillId="2" borderId="0" xfId="21" applyFont="1" applyFill="1" applyBorder="1" applyAlignment="1">
      <alignment horizontal="center"/>
      <protection/>
    </xf>
    <xf numFmtId="174" fontId="13" fillId="0" borderId="11" xfId="15" applyNumberFormat="1" applyFont="1" applyBorder="1" applyAlignment="1">
      <alignment horizontal="center"/>
    </xf>
    <xf numFmtId="174" fontId="13" fillId="0" borderId="0" xfId="15" applyNumberFormat="1" applyFont="1" applyAlignment="1">
      <alignment horizontal="center"/>
    </xf>
    <xf numFmtId="0" fontId="13" fillId="0" borderId="0" xfId="23" applyFont="1">
      <alignment/>
      <protection/>
    </xf>
    <xf numFmtId="179" fontId="11" fillId="2" borderId="1" xfId="22" applyFont="1" applyFill="1" applyBorder="1">
      <alignment/>
      <protection/>
    </xf>
    <xf numFmtId="1" fontId="11" fillId="2" borderId="1" xfId="22" applyNumberFormat="1" applyFont="1" applyFill="1" applyBorder="1" applyAlignment="1">
      <alignment horizontal="right"/>
      <protection/>
    </xf>
    <xf numFmtId="179" fontId="11" fillId="2" borderId="1" xfId="21" applyFont="1" applyFill="1" applyBorder="1" applyAlignment="1">
      <alignment horizontal="center"/>
      <protection/>
    </xf>
    <xf numFmtId="179" fontId="11" fillId="11" borderId="0" xfId="22" applyFont="1" applyFill="1" applyBorder="1">
      <alignment/>
      <protection/>
    </xf>
    <xf numFmtId="1" fontId="11" fillId="11" borderId="0" xfId="22" applyNumberFormat="1" applyFont="1" applyFill="1" applyBorder="1" applyAlignment="1">
      <alignment horizontal="right"/>
      <protection/>
    </xf>
    <xf numFmtId="179" fontId="11" fillId="11" borderId="0" xfId="21" applyFont="1" applyFill="1" applyBorder="1" applyAlignment="1">
      <alignment horizontal="center"/>
      <protection/>
    </xf>
    <xf numFmtId="179" fontId="11" fillId="11" borderId="1" xfId="22" applyFont="1" applyFill="1" applyBorder="1">
      <alignment/>
      <protection/>
    </xf>
    <xf numFmtId="1" fontId="11" fillId="11" borderId="1" xfId="22" applyNumberFormat="1" applyFont="1" applyFill="1" applyBorder="1" applyAlignment="1">
      <alignment horizontal="right"/>
      <protection/>
    </xf>
    <xf numFmtId="179" fontId="11" fillId="11" borderId="1" xfId="21" applyFont="1" applyFill="1" applyBorder="1" applyAlignment="1">
      <alignment horizontal="center"/>
      <protection/>
    </xf>
    <xf numFmtId="179" fontId="11" fillId="5" borderId="0" xfId="22" applyFont="1" applyFill="1" applyBorder="1">
      <alignment/>
      <protection/>
    </xf>
    <xf numFmtId="1" fontId="11" fillId="5" borderId="0" xfId="22" applyNumberFormat="1" applyFont="1" applyFill="1" applyBorder="1" applyAlignment="1">
      <alignment horizontal="center"/>
      <protection/>
    </xf>
    <xf numFmtId="179" fontId="13" fillId="5" borderId="0" xfId="21" applyFont="1" applyFill="1" applyBorder="1" applyAlignment="1">
      <alignment horizontal="center"/>
      <protection/>
    </xf>
    <xf numFmtId="179" fontId="11" fillId="5" borderId="1" xfId="22" applyFont="1" applyFill="1" applyBorder="1">
      <alignment/>
      <protection/>
    </xf>
    <xf numFmtId="1" fontId="11" fillId="5" borderId="1" xfId="22" applyNumberFormat="1" applyFont="1" applyFill="1" applyBorder="1" applyAlignment="1">
      <alignment horizontal="center"/>
      <protection/>
    </xf>
    <xf numFmtId="179" fontId="11" fillId="6" borderId="0" xfId="22" applyFont="1" applyFill="1" applyBorder="1">
      <alignment/>
      <protection/>
    </xf>
    <xf numFmtId="1" fontId="11" fillId="6" borderId="0" xfId="22" applyNumberFormat="1" applyFont="1" applyFill="1" applyBorder="1" applyAlignment="1">
      <alignment horizontal="right"/>
      <protection/>
    </xf>
    <xf numFmtId="179" fontId="11" fillId="7" borderId="0" xfId="22" applyFont="1" applyFill="1" applyBorder="1">
      <alignment/>
      <protection/>
    </xf>
    <xf numFmtId="1" fontId="11" fillId="7" borderId="0" xfId="22" applyNumberFormat="1" applyFont="1" applyFill="1" applyBorder="1" applyAlignment="1">
      <alignment horizontal="right"/>
      <protection/>
    </xf>
    <xf numFmtId="179" fontId="11" fillId="4" borderId="0" xfId="22" applyFont="1" applyFill="1" applyBorder="1">
      <alignment/>
      <protection/>
    </xf>
    <xf numFmtId="179" fontId="11" fillId="7" borderId="1" xfId="22" applyFont="1" applyFill="1" applyBorder="1">
      <alignment/>
      <protection/>
    </xf>
    <xf numFmtId="1" fontId="11" fillId="7" borderId="1" xfId="22" applyNumberFormat="1" applyFont="1" applyFill="1" applyBorder="1" applyAlignment="1">
      <alignment horizontal="right"/>
      <protection/>
    </xf>
    <xf numFmtId="179" fontId="11" fillId="7" borderId="1" xfId="21" applyFont="1" applyFill="1" applyBorder="1" applyAlignment="1">
      <alignment horizontal="center"/>
      <protection/>
    </xf>
    <xf numFmtId="179" fontId="11" fillId="2" borderId="0" xfId="22" applyFont="1" applyFill="1" applyBorder="1" applyAlignment="1">
      <alignment horizontal="left"/>
      <protection/>
    </xf>
    <xf numFmtId="1" fontId="11" fillId="5" borderId="0" xfId="22" applyNumberFormat="1" applyFont="1" applyFill="1" applyBorder="1" applyAlignment="1">
      <alignment horizontal="right"/>
      <protection/>
    </xf>
    <xf numFmtId="179" fontId="11" fillId="10" borderId="0" xfId="24" applyFont="1" applyFill="1" applyBorder="1" applyAlignment="1" applyProtection="1">
      <alignment/>
      <protection/>
    </xf>
    <xf numFmtId="179" fontId="11" fillId="3" borderId="0" xfId="22" applyFont="1" applyFill="1" applyBorder="1">
      <alignment/>
      <protection/>
    </xf>
    <xf numFmtId="0" fontId="11" fillId="3" borderId="0" xfId="22" applyNumberFormat="1" applyFont="1" applyFill="1" applyBorder="1" applyAlignment="1">
      <alignment horizontal="right"/>
      <protection/>
    </xf>
    <xf numFmtId="1" fontId="11" fillId="3" borderId="0" xfId="22" applyNumberFormat="1" applyFont="1" applyFill="1" applyBorder="1" applyAlignment="1">
      <alignment horizontal="right"/>
      <protection/>
    </xf>
    <xf numFmtId="179" fontId="11" fillId="5" borderId="8" xfId="22" applyFont="1" applyFill="1" applyBorder="1">
      <alignment/>
      <protection/>
    </xf>
    <xf numFmtId="1" fontId="11" fillId="5" borderId="8" xfId="22" applyNumberFormat="1" applyFont="1" applyFill="1" applyBorder="1" applyAlignment="1">
      <alignment horizontal="right"/>
      <protection/>
    </xf>
    <xf numFmtId="179" fontId="11" fillId="5" borderId="8" xfId="21" applyFont="1" applyFill="1" applyBorder="1" applyAlignment="1">
      <alignment horizontal="center"/>
      <protection/>
    </xf>
    <xf numFmtId="37" fontId="7" fillId="0" borderId="0" xfId="0" applyNumberFormat="1" applyFont="1" applyFill="1" applyAlignment="1" applyProtection="1">
      <alignment horizontal="centerContinuous"/>
      <protection/>
    </xf>
    <xf numFmtId="0" fontId="8" fillId="0" borderId="0" xfId="0" applyFont="1" applyFill="1" applyAlignment="1">
      <alignment horizontal="centerContinuous"/>
    </xf>
    <xf numFmtId="0" fontId="6" fillId="0" borderId="0" xfId="0" applyFont="1" applyFill="1" applyAlignment="1">
      <alignment horizontal="centerContinuous"/>
    </xf>
    <xf numFmtId="0" fontId="6" fillId="0" borderId="1" xfId="0" applyFont="1" applyFill="1" applyBorder="1" applyAlignment="1">
      <alignment/>
    </xf>
    <xf numFmtId="3" fontId="6" fillId="0" borderId="1" xfId="0" applyNumberFormat="1" applyFont="1" applyFill="1" applyBorder="1" applyAlignment="1">
      <alignment/>
    </xf>
    <xf numFmtId="0" fontId="6" fillId="0" borderId="1" xfId="0" applyFont="1" applyFill="1" applyBorder="1" applyAlignment="1">
      <alignment horizontal="left"/>
    </xf>
    <xf numFmtId="3" fontId="6" fillId="0" borderId="0" xfId="0" applyNumberFormat="1" applyFont="1" applyFill="1" applyBorder="1" applyAlignment="1">
      <alignment/>
    </xf>
    <xf numFmtId="0" fontId="6" fillId="0" borderId="0" xfId="0" applyFont="1" applyFill="1" applyAlignment="1">
      <alignment/>
    </xf>
    <xf numFmtId="164" fontId="6" fillId="0" borderId="0" xfId="15" applyNumberFormat="1" applyFont="1" applyFill="1" applyBorder="1" applyAlignment="1">
      <alignment horizontal="right"/>
    </xf>
    <xf numFmtId="0" fontId="6" fillId="0" borderId="0" xfId="0" applyFont="1" applyFill="1" applyBorder="1" applyAlignment="1">
      <alignment/>
    </xf>
    <xf numFmtId="0" fontId="6" fillId="0" borderId="12" xfId="0" applyFont="1" applyFill="1" applyBorder="1" applyAlignment="1">
      <alignment/>
    </xf>
    <xf numFmtId="37" fontId="16" fillId="0" borderId="0" xfId="0" applyNumberFormat="1" applyFont="1" applyFill="1" applyAlignment="1" applyProtection="1">
      <alignment horizontal="centerContinuous"/>
      <protection/>
    </xf>
    <xf numFmtId="37" fontId="17" fillId="0" borderId="0" xfId="0" applyNumberFormat="1" applyFont="1" applyFill="1" applyBorder="1" applyAlignment="1" applyProtection="1">
      <alignment/>
      <protection/>
    </xf>
    <xf numFmtId="0" fontId="6" fillId="0" borderId="8" xfId="0" applyFont="1" applyFill="1" applyBorder="1" applyAlignment="1">
      <alignment horizontal="centerContinuous"/>
    </xf>
    <xf numFmtId="0" fontId="6" fillId="0" borderId="0" xfId="0" applyFont="1" applyFill="1" applyBorder="1" applyAlignment="1">
      <alignment horizontal="centerContinuous"/>
    </xf>
    <xf numFmtId="0" fontId="6" fillId="0" borderId="13" xfId="0" applyFont="1" applyFill="1" applyBorder="1" applyAlignment="1">
      <alignment horizontal="centerContinuous"/>
    </xf>
    <xf numFmtId="0" fontId="6" fillId="0" borderId="14" xfId="0" applyFont="1" applyFill="1" applyBorder="1" applyAlignment="1">
      <alignment horizontal="center" wrapText="1"/>
    </xf>
    <xf numFmtId="0" fontId="6" fillId="0" borderId="0" xfId="0" applyFont="1" applyFill="1" applyAlignment="1">
      <alignment horizontal="left"/>
    </xf>
    <xf numFmtId="0" fontId="6" fillId="0" borderId="0" xfId="0" applyFont="1" applyFill="1" applyBorder="1" applyAlignment="1">
      <alignment horizontal="left"/>
    </xf>
    <xf numFmtId="0" fontId="8" fillId="0" borderId="0" xfId="0" applyFont="1" applyFill="1" applyBorder="1" applyAlignment="1">
      <alignment horizontal="centerContinuous"/>
    </xf>
    <xf numFmtId="0" fontId="6" fillId="0" borderId="8" xfId="0" applyFont="1" applyFill="1" applyBorder="1" applyAlignment="1">
      <alignment horizontal="center" wrapText="1"/>
    </xf>
    <xf numFmtId="172" fontId="6" fillId="0" borderId="0" xfId="0" applyNumberFormat="1" applyFont="1" applyFill="1" applyAlignment="1">
      <alignment/>
    </xf>
    <xf numFmtId="0" fontId="0" fillId="0" borderId="4" xfId="0" applyBorder="1" applyAlignment="1">
      <alignment horizontal="right"/>
    </xf>
    <xf numFmtId="0" fontId="0" fillId="0" borderId="4" xfId="0" applyFont="1" applyBorder="1" applyAlignment="1">
      <alignment horizontal="right"/>
    </xf>
    <xf numFmtId="0" fontId="0" fillId="0" borderId="15" xfId="0" applyFont="1" applyBorder="1" applyAlignment="1">
      <alignment horizontal="right"/>
    </xf>
    <xf numFmtId="166" fontId="0" fillId="0" borderId="15" xfId="0" applyNumberFormat="1" applyBorder="1" applyAlignment="1">
      <alignment/>
    </xf>
    <xf numFmtId="166" fontId="0" fillId="0" borderId="1" xfId="0" applyNumberFormat="1" applyBorder="1" applyAlignment="1">
      <alignment/>
    </xf>
    <xf numFmtId="166" fontId="0" fillId="0" borderId="16" xfId="0" applyNumberFormat="1" applyBorder="1" applyAlignment="1">
      <alignment/>
    </xf>
    <xf numFmtId="0" fontId="0" fillId="0" borderId="0" xfId="0" applyFill="1" applyAlignment="1">
      <alignment/>
    </xf>
    <xf numFmtId="179" fontId="11" fillId="7" borderId="1" xfId="21" applyFont="1" applyFill="1" applyBorder="1">
      <alignment/>
      <protection/>
    </xf>
    <xf numFmtId="1" fontId="11" fillId="7" borderId="1" xfId="21" applyNumberFormat="1" applyFont="1" applyFill="1" applyBorder="1" applyAlignment="1">
      <alignment horizontal="right"/>
      <protection/>
    </xf>
    <xf numFmtId="0" fontId="0" fillId="0" borderId="5" xfId="0" applyBorder="1" applyAlignment="1">
      <alignment/>
    </xf>
    <xf numFmtId="0" fontId="17" fillId="0" borderId="0" xfId="0" applyFont="1" applyAlignment="1">
      <alignment/>
    </xf>
    <xf numFmtId="0" fontId="6" fillId="0" borderId="5" xfId="0" applyFont="1" applyBorder="1" applyAlignment="1">
      <alignment/>
    </xf>
    <xf numFmtId="0" fontId="0" fillId="0" borderId="17" xfId="0" applyBorder="1" applyAlignment="1">
      <alignment horizontal="right"/>
    </xf>
    <xf numFmtId="0" fontId="0" fillId="0" borderId="17" xfId="0" applyBorder="1" applyAlignment="1">
      <alignment/>
    </xf>
    <xf numFmtId="3" fontId="0" fillId="0" borderId="17" xfId="0" applyNumberFormat="1" applyBorder="1" applyAlignment="1">
      <alignment/>
    </xf>
    <xf numFmtId="9" fontId="6" fillId="0" borderId="0" xfId="0" applyNumberFormat="1" applyFont="1" applyAlignment="1">
      <alignment/>
    </xf>
    <xf numFmtId="166" fontId="6" fillId="0" borderId="0" xfId="0" applyNumberFormat="1" applyFont="1"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17" fillId="0" borderId="2" xfId="0" applyFont="1" applyBorder="1" applyAlignment="1">
      <alignment/>
    </xf>
    <xf numFmtId="0" fontId="17" fillId="0" borderId="20" xfId="0" applyFont="1" applyBorder="1" applyAlignment="1">
      <alignment/>
    </xf>
    <xf numFmtId="0" fontId="17" fillId="0" borderId="2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2" xfId="0" applyFont="1" applyBorder="1" applyAlignment="1">
      <alignment/>
    </xf>
    <xf numFmtId="9" fontId="0" fillId="0" borderId="3" xfId="0" applyNumberFormat="1" applyFont="1" applyBorder="1" applyAlignment="1">
      <alignment/>
    </xf>
    <xf numFmtId="9" fontId="0" fillId="0" borderId="3" xfId="0" applyNumberFormat="1" applyFont="1" applyBorder="1" applyAlignment="1">
      <alignment/>
    </xf>
    <xf numFmtId="9" fontId="0" fillId="0" borderId="22" xfId="0" applyNumberFormat="1" applyFont="1" applyBorder="1" applyAlignment="1">
      <alignment/>
    </xf>
    <xf numFmtId="9" fontId="0" fillId="0" borderId="6" xfId="0" applyNumberFormat="1" applyBorder="1" applyAlignment="1">
      <alignment/>
    </xf>
    <xf numFmtId="9" fontId="0" fillId="0" borderId="23" xfId="0" applyNumberFormat="1" applyBorder="1" applyAlignment="1">
      <alignment/>
    </xf>
    <xf numFmtId="0" fontId="17" fillId="0" borderId="20" xfId="0" applyFont="1" applyFill="1" applyBorder="1" applyAlignment="1">
      <alignment/>
    </xf>
    <xf numFmtId="0" fontId="0" fillId="0" borderId="4" xfId="0" applyFill="1" applyBorder="1" applyAlignment="1">
      <alignment/>
    </xf>
    <xf numFmtId="166" fontId="0" fillId="0" borderId="4" xfId="0" applyNumberFormat="1" applyFill="1" applyBorder="1" applyAlignment="1">
      <alignment/>
    </xf>
    <xf numFmtId="166" fontId="0" fillId="0" borderId="0" xfId="0" applyNumberFormat="1" applyFill="1" applyAlignment="1">
      <alignment/>
    </xf>
    <xf numFmtId="166" fontId="0" fillId="0" borderId="7" xfId="0" applyNumberFormat="1" applyFill="1" applyBorder="1" applyAlignment="1">
      <alignment/>
    </xf>
    <xf numFmtId="3" fontId="6" fillId="0" borderId="0" xfId="23" applyNumberFormat="1" applyFont="1">
      <alignment/>
      <protection/>
    </xf>
    <xf numFmtId="3" fontId="6" fillId="0" borderId="24" xfId="23" applyNumberFormat="1" applyFont="1" applyBorder="1">
      <alignment/>
      <protection/>
    </xf>
    <xf numFmtId="3" fontId="6" fillId="0" borderId="25" xfId="23" applyNumberFormat="1" applyFont="1" applyBorder="1">
      <alignment/>
      <protection/>
    </xf>
    <xf numFmtId="3" fontId="6" fillId="0" borderId="26" xfId="23" applyNumberFormat="1" applyFont="1" applyBorder="1">
      <alignment/>
      <protection/>
    </xf>
    <xf numFmtId="0" fontId="0" fillId="0" borderId="2" xfId="0" applyBorder="1" applyAlignment="1">
      <alignment/>
    </xf>
    <xf numFmtId="0" fontId="0" fillId="0" borderId="20" xfId="0" applyBorder="1" applyAlignment="1">
      <alignment/>
    </xf>
    <xf numFmtId="174" fontId="0" fillId="0" borderId="2" xfId="0" applyNumberFormat="1" applyBorder="1" applyAlignment="1">
      <alignment/>
    </xf>
    <xf numFmtId="174" fontId="0" fillId="0" borderId="5" xfId="0" applyNumberFormat="1" applyBorder="1" applyAlignment="1">
      <alignment/>
    </xf>
    <xf numFmtId="0" fontId="0" fillId="0" borderId="0" xfId="0" applyBorder="1" applyAlignment="1">
      <alignment horizontal="centerContinuous"/>
    </xf>
    <xf numFmtId="166" fontId="0" fillId="0" borderId="18" xfId="0" applyNumberFormat="1" applyBorder="1" applyAlignment="1">
      <alignment/>
    </xf>
    <xf numFmtId="166" fontId="0" fillId="0" borderId="27" xfId="0" applyNumberFormat="1" applyBorder="1" applyAlignment="1">
      <alignment/>
    </xf>
    <xf numFmtId="166" fontId="0" fillId="0" borderId="28" xfId="0" applyNumberFormat="1" applyBorder="1" applyAlignment="1">
      <alignment/>
    </xf>
    <xf numFmtId="0" fontId="0" fillId="0" borderId="2" xfId="0" applyBorder="1" applyAlignment="1">
      <alignment horizontal="right"/>
    </xf>
    <xf numFmtId="0" fontId="17" fillId="0" borderId="21" xfId="0" applyFont="1" applyFill="1" applyBorder="1" applyAlignment="1">
      <alignment/>
    </xf>
    <xf numFmtId="0" fontId="0" fillId="0" borderId="2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30" xfId="0" applyFont="1" applyBorder="1" applyAlignment="1">
      <alignment/>
    </xf>
    <xf numFmtId="0" fontId="17" fillId="0" borderId="31" xfId="0" applyFont="1" applyBorder="1" applyAlignment="1">
      <alignment horizontal="centerContinuous" wrapText="1"/>
    </xf>
    <xf numFmtId="0" fontId="17" fillId="0" borderId="8" xfId="0" applyFont="1" applyBorder="1" applyAlignment="1">
      <alignment horizontal="centerContinuous" wrapText="1"/>
    </xf>
    <xf numFmtId="0" fontId="17" fillId="0" borderId="32" xfId="0" applyFont="1" applyBorder="1" applyAlignment="1">
      <alignment horizontal="centerContinuous" wrapText="1"/>
    </xf>
    <xf numFmtId="0" fontId="0" fillId="0" borderId="33" xfId="0" applyFont="1" applyBorder="1" applyAlignment="1">
      <alignment/>
    </xf>
    <xf numFmtId="0" fontId="0" fillId="0" borderId="34" xfId="0" applyFont="1" applyBorder="1" applyAlignment="1">
      <alignment/>
    </xf>
    <xf numFmtId="0" fontId="0" fillId="0" borderId="30"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0" xfId="0" applyFont="1" applyBorder="1" applyAlignment="1">
      <alignment/>
    </xf>
    <xf numFmtId="0" fontId="0" fillId="0" borderId="29" xfId="0" applyFont="1" applyBorder="1" applyAlignment="1">
      <alignment/>
    </xf>
    <xf numFmtId="0" fontId="0" fillId="0" borderId="0" xfId="0" applyFont="1" applyAlignment="1">
      <alignment/>
    </xf>
    <xf numFmtId="0" fontId="0" fillId="0" borderId="0" xfId="0" applyFont="1" applyFill="1" applyBorder="1" applyAlignment="1">
      <alignment wrapText="1"/>
    </xf>
    <xf numFmtId="0" fontId="0" fillId="4" borderId="29" xfId="0" applyFont="1" applyFill="1" applyBorder="1" applyAlignment="1">
      <alignment/>
    </xf>
    <xf numFmtId="0" fontId="0" fillId="4" borderId="0" xfId="0" applyFont="1" applyFill="1" applyAlignment="1">
      <alignment/>
    </xf>
    <xf numFmtId="0" fontId="0" fillId="4" borderId="0" xfId="0" applyFont="1" applyFill="1" applyBorder="1" applyAlignment="1">
      <alignment wrapText="1"/>
    </xf>
    <xf numFmtId="0" fontId="0" fillId="4" borderId="1" xfId="0" applyFont="1" applyFill="1" applyBorder="1" applyAlignment="1">
      <alignment horizontal="center" wrapText="1"/>
    </xf>
    <xf numFmtId="0" fontId="0" fillId="4" borderId="35" xfId="0" applyFont="1" applyFill="1" applyBorder="1" applyAlignment="1">
      <alignment horizontal="center" wrapText="1"/>
    </xf>
    <xf numFmtId="0" fontId="0" fillId="4" borderId="36" xfId="0" applyFont="1" applyFill="1" applyBorder="1" applyAlignment="1">
      <alignment/>
    </xf>
    <xf numFmtId="0" fontId="0" fillId="4" borderId="0" xfId="0" applyFont="1" applyFill="1" applyBorder="1" applyAlignment="1">
      <alignment horizontal="center" wrapText="1"/>
    </xf>
    <xf numFmtId="0" fontId="0" fillId="4" borderId="37" xfId="0" applyFont="1" applyFill="1" applyBorder="1" applyAlignment="1">
      <alignment horizontal="center" wrapText="1"/>
    </xf>
    <xf numFmtId="174" fontId="0" fillId="12" borderId="11" xfId="15" applyNumberFormat="1" applyFont="1" applyFill="1" applyBorder="1" applyAlignment="1">
      <alignment/>
    </xf>
    <xf numFmtId="174" fontId="0" fillId="0" borderId="11" xfId="15" applyNumberFormat="1" applyFont="1" applyBorder="1" applyAlignment="1">
      <alignment/>
    </xf>
    <xf numFmtId="174" fontId="0" fillId="0" borderId="0" xfId="15" applyNumberFormat="1" applyFont="1" applyAlignment="1">
      <alignment/>
    </xf>
    <xf numFmtId="174" fontId="0" fillId="12" borderId="26" xfId="15" applyNumberFormat="1" applyFont="1" applyFill="1" applyBorder="1" applyAlignment="1">
      <alignment/>
    </xf>
    <xf numFmtId="0" fontId="0" fillId="0" borderId="0" xfId="23" applyFont="1">
      <alignment/>
      <protection/>
    </xf>
    <xf numFmtId="174" fontId="0" fillId="0" borderId="0" xfId="15" applyNumberFormat="1" applyFont="1" applyAlignment="1">
      <alignment horizontal="center"/>
    </xf>
    <xf numFmtId="174" fontId="0" fillId="4" borderId="14" xfId="15" applyNumberFormat="1" applyFont="1" applyFill="1" applyBorder="1" applyAlignment="1">
      <alignment/>
    </xf>
    <xf numFmtId="174" fontId="0" fillId="4" borderId="8" xfId="15" applyNumberFormat="1" applyFont="1" applyFill="1" applyBorder="1" applyAlignment="1">
      <alignment/>
    </xf>
    <xf numFmtId="174" fontId="0" fillId="4" borderId="8" xfId="15" applyNumberFormat="1" applyFont="1" applyFill="1" applyBorder="1" applyAlignment="1">
      <alignment horizontal="center"/>
    </xf>
    <xf numFmtId="0" fontId="0" fillId="4" borderId="8" xfId="23" applyFont="1" applyFill="1" applyBorder="1">
      <alignment/>
      <protection/>
    </xf>
    <xf numFmtId="174" fontId="0" fillId="12" borderId="38" xfId="15" applyNumberFormat="1" applyFont="1" applyFill="1" applyBorder="1" applyAlignment="1">
      <alignment/>
    </xf>
    <xf numFmtId="174" fontId="0" fillId="0" borderId="38" xfId="15" applyNumberFormat="1" applyFont="1" applyBorder="1" applyAlignment="1">
      <alignment/>
    </xf>
    <xf numFmtId="174" fontId="0" fillId="0" borderId="1" xfId="15" applyNumberFormat="1" applyFont="1" applyBorder="1" applyAlignment="1">
      <alignment/>
    </xf>
    <xf numFmtId="174" fontId="0" fillId="12" borderId="37" xfId="15" applyNumberFormat="1" applyFont="1" applyFill="1" applyBorder="1" applyAlignment="1">
      <alignment/>
    </xf>
    <xf numFmtId="0" fontId="0" fillId="0" borderId="1" xfId="23" applyFont="1" applyBorder="1">
      <alignment/>
      <protection/>
    </xf>
    <xf numFmtId="174" fontId="0" fillId="0" borderId="11" xfId="15" applyNumberFormat="1" applyFont="1" applyFill="1" applyBorder="1" applyAlignment="1">
      <alignment/>
    </xf>
    <xf numFmtId="174" fontId="0" fillId="2" borderId="11" xfId="15" applyNumberFormat="1" applyFont="1" applyFill="1" applyBorder="1" applyAlignment="1">
      <alignment/>
    </xf>
    <xf numFmtId="174" fontId="0" fillId="2" borderId="0" xfId="15" applyNumberFormat="1" applyFont="1" applyFill="1" applyAlignment="1">
      <alignment/>
    </xf>
    <xf numFmtId="0" fontId="0" fillId="2" borderId="0" xfId="23" applyFont="1" applyFill="1">
      <alignment/>
      <protection/>
    </xf>
    <xf numFmtId="0" fontId="0" fillId="0" borderId="29" xfId="23" applyFont="1" applyBorder="1">
      <alignment/>
      <protection/>
    </xf>
    <xf numFmtId="0" fontId="0" fillId="12" borderId="25" xfId="23" applyFont="1" applyFill="1" applyBorder="1">
      <alignment/>
      <protection/>
    </xf>
    <xf numFmtId="174" fontId="0" fillId="0" borderId="9" xfId="15" applyNumberFormat="1" applyFont="1" applyBorder="1" applyAlignment="1">
      <alignment/>
    </xf>
    <xf numFmtId="174" fontId="0" fillId="0" borderId="0" xfId="15" applyNumberFormat="1" applyFont="1" applyBorder="1" applyAlignment="1">
      <alignment/>
    </xf>
    <xf numFmtId="174" fontId="0" fillId="0" borderId="11" xfId="15" applyNumberFormat="1" applyFont="1" applyBorder="1" applyAlignment="1">
      <alignment horizontal="centerContinuous" wrapText="1"/>
    </xf>
    <xf numFmtId="174" fontId="0" fillId="0" borderId="0" xfId="15" applyNumberFormat="1" applyFont="1" applyBorder="1" applyAlignment="1">
      <alignment horizontal="centerContinuous" wrapText="1"/>
    </xf>
    <xf numFmtId="174" fontId="0" fillId="0" borderId="11" xfId="15" applyNumberFormat="1" applyFont="1" applyBorder="1" applyAlignment="1">
      <alignment horizontal="center"/>
    </xf>
    <xf numFmtId="174" fontId="0" fillId="0" borderId="38" xfId="15" applyNumberFormat="1" applyFont="1" applyBorder="1" applyAlignment="1">
      <alignment horizontal="center"/>
    </xf>
    <xf numFmtId="174" fontId="0" fillId="0" borderId="1" xfId="15" applyNumberFormat="1" applyFont="1" applyBorder="1" applyAlignment="1">
      <alignment horizontal="center"/>
    </xf>
    <xf numFmtId="174" fontId="19" fillId="0" borderId="0" xfId="15" applyNumberFormat="1" applyFont="1" applyAlignment="1">
      <alignment/>
    </xf>
    <xf numFmtId="174" fontId="0" fillId="12" borderId="26" xfId="15" applyNumberFormat="1" applyFont="1" applyFill="1" applyBorder="1" applyAlignment="1">
      <alignment/>
    </xf>
    <xf numFmtId="0" fontId="0" fillId="0" borderId="0" xfId="23" applyFont="1">
      <alignment/>
      <protection/>
    </xf>
    <xf numFmtId="174" fontId="0" fillId="2" borderId="9" xfId="15" applyNumberFormat="1" applyFont="1" applyFill="1" applyBorder="1" applyAlignment="1">
      <alignment/>
    </xf>
    <xf numFmtId="174" fontId="0" fillId="5" borderId="11" xfId="15" applyNumberFormat="1" applyFont="1" applyFill="1" applyBorder="1" applyAlignment="1">
      <alignment/>
    </xf>
    <xf numFmtId="174" fontId="0" fillId="5" borderId="0" xfId="15" applyNumberFormat="1" applyFont="1" applyFill="1" applyAlignment="1">
      <alignment/>
    </xf>
    <xf numFmtId="174" fontId="0" fillId="5" borderId="9" xfId="15" applyNumberFormat="1" applyFont="1" applyFill="1" applyBorder="1" applyAlignment="1">
      <alignment/>
    </xf>
    <xf numFmtId="0" fontId="0" fillId="5" borderId="0" xfId="23" applyFont="1" applyFill="1">
      <alignment/>
      <protection/>
    </xf>
    <xf numFmtId="174" fontId="19" fillId="0" borderId="11" xfId="15" applyNumberFormat="1" applyFont="1" applyBorder="1" applyAlignment="1">
      <alignment/>
    </xf>
    <xf numFmtId="174" fontId="0" fillId="0" borderId="0" xfId="15" applyNumberFormat="1" applyFont="1" applyAlignment="1">
      <alignment/>
    </xf>
    <xf numFmtId="174" fontId="19" fillId="0" borderId="9" xfId="15" applyNumberFormat="1" applyFont="1" applyBorder="1" applyAlignment="1">
      <alignment/>
    </xf>
    <xf numFmtId="174" fontId="19" fillId="0" borderId="38" xfId="15" applyNumberFormat="1" applyFont="1" applyBorder="1" applyAlignment="1">
      <alignment/>
    </xf>
    <xf numFmtId="174" fontId="19" fillId="0" borderId="1" xfId="15" applyNumberFormat="1" applyFont="1" applyBorder="1" applyAlignment="1">
      <alignment/>
    </xf>
    <xf numFmtId="174" fontId="19" fillId="0" borderId="10" xfId="15" applyNumberFormat="1" applyFont="1" applyBorder="1" applyAlignment="1">
      <alignment/>
    </xf>
    <xf numFmtId="174" fontId="0" fillId="0" borderId="1" xfId="15" applyNumberFormat="1" applyFont="1" applyBorder="1" applyAlignment="1">
      <alignment/>
    </xf>
    <xf numFmtId="174" fontId="0" fillId="12" borderId="37" xfId="15" applyNumberFormat="1" applyFont="1" applyFill="1" applyBorder="1" applyAlignment="1">
      <alignment/>
    </xf>
    <xf numFmtId="0" fontId="0" fillId="0" borderId="1" xfId="23" applyFont="1" applyBorder="1">
      <alignment/>
      <protection/>
    </xf>
    <xf numFmtId="174" fontId="0" fillId="12" borderId="14" xfId="15" applyNumberFormat="1" applyFont="1" applyFill="1" applyBorder="1" applyAlignment="1">
      <alignment/>
    </xf>
    <xf numFmtId="174" fontId="0" fillId="5" borderId="14" xfId="15" applyNumberFormat="1" applyFont="1" applyFill="1" applyBorder="1" applyAlignment="1">
      <alignment/>
    </xf>
    <xf numFmtId="174" fontId="0" fillId="5" borderId="8" xfId="15" applyNumberFormat="1" applyFont="1" applyFill="1" applyBorder="1" applyAlignment="1">
      <alignment/>
    </xf>
    <xf numFmtId="174" fontId="0" fillId="12" borderId="39" xfId="15" applyNumberFormat="1" applyFont="1" applyFill="1" applyBorder="1" applyAlignment="1">
      <alignment/>
    </xf>
    <xf numFmtId="0" fontId="0" fillId="5" borderId="8" xfId="23" applyFont="1" applyFill="1" applyBorder="1">
      <alignment/>
      <protection/>
    </xf>
    <xf numFmtId="1" fontId="6" fillId="0" borderId="0" xfId="0" applyNumberFormat="1"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xf>
    <xf numFmtId="0" fontId="19" fillId="0" borderId="0" xfId="0" applyFont="1" applyFill="1" applyBorder="1" applyAlignment="1">
      <alignment horizontal="center"/>
    </xf>
    <xf numFmtId="0" fontId="20" fillId="0" borderId="0" xfId="0" applyFont="1" applyFill="1" applyBorder="1" applyAlignment="1">
      <alignment horizontal="center"/>
    </xf>
    <xf numFmtId="0" fontId="0" fillId="0" borderId="0" xfId="0" applyFont="1" applyAlignment="1">
      <alignment/>
    </xf>
    <xf numFmtId="0" fontId="17" fillId="0" borderId="15" xfId="0" applyFont="1" applyBorder="1" applyAlignment="1">
      <alignment/>
    </xf>
    <xf numFmtId="0" fontId="6" fillId="0" borderId="40" xfId="0" applyFont="1" applyFill="1" applyBorder="1" applyAlignment="1">
      <alignment horizontal="centerContinuous"/>
    </xf>
    <xf numFmtId="0" fontId="6" fillId="0" borderId="41" xfId="0" applyFont="1" applyFill="1" applyBorder="1" applyAlignment="1">
      <alignment horizontal="center" wrapText="1"/>
    </xf>
    <xf numFmtId="0" fontId="6" fillId="0" borderId="42" xfId="0" applyFont="1" applyFill="1" applyBorder="1" applyAlignment="1">
      <alignment horizontal="center" wrapText="1"/>
    </xf>
    <xf numFmtId="172" fontId="0" fillId="0" borderId="0" xfId="0" applyNumberFormat="1" applyBorder="1" applyAlignment="1">
      <alignment/>
    </xf>
    <xf numFmtId="174" fontId="8" fillId="0" borderId="0" xfId="15" applyNumberFormat="1" applyFont="1" applyFill="1" applyBorder="1" applyAlignment="1">
      <alignment horizontal="left"/>
    </xf>
    <xf numFmtId="174" fontId="8" fillId="0" borderId="0" xfId="15" applyNumberFormat="1" applyFont="1" applyFill="1" applyBorder="1" applyAlignment="1">
      <alignment horizontal="centerContinuous"/>
    </xf>
    <xf numFmtId="174" fontId="6" fillId="0" borderId="0" xfId="15" applyNumberFormat="1" applyFont="1" applyFill="1" applyBorder="1" applyAlignment="1">
      <alignment horizontal="left"/>
    </xf>
    <xf numFmtId="174" fontId="6" fillId="0" borderId="0" xfId="15" applyNumberFormat="1" applyFont="1" applyFill="1" applyBorder="1" applyAlignment="1">
      <alignment horizontal="centerContinuous"/>
    </xf>
    <xf numFmtId="3" fontId="6" fillId="0" borderId="0" xfId="0" applyNumberFormat="1" applyFont="1" applyFill="1" applyAlignment="1">
      <alignment/>
    </xf>
    <xf numFmtId="0" fontId="1" fillId="0" borderId="0" xfId="0" applyFont="1" applyAlignment="1">
      <alignment/>
    </xf>
    <xf numFmtId="0" fontId="1" fillId="0" borderId="0" xfId="0" applyFont="1" applyAlignment="1">
      <alignment/>
    </xf>
    <xf numFmtId="0" fontId="1" fillId="0" borderId="0" xfId="0" applyFont="1" applyFill="1" applyBorder="1" applyAlignment="1">
      <alignment/>
    </xf>
    <xf numFmtId="164"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174" fontId="1" fillId="0" borderId="0" xfId="15" applyNumberFormat="1" applyFont="1" applyFill="1" applyBorder="1" applyAlignment="1">
      <alignment horizontal="left"/>
    </xf>
    <xf numFmtId="174" fontId="1" fillId="0" borderId="0" xfId="15" applyNumberFormat="1" applyFont="1" applyFill="1" applyBorder="1" applyAlignment="1">
      <alignment/>
    </xf>
    <xf numFmtId="164" fontId="1" fillId="0" borderId="0" xfId="15" applyNumberFormat="1" applyFont="1" applyFill="1" applyBorder="1" applyAlignment="1">
      <alignment horizontal="right"/>
    </xf>
    <xf numFmtId="164" fontId="1" fillId="0" borderId="0" xfId="15" applyNumberFormat="1" applyFont="1" applyFill="1" applyBorder="1" applyAlignment="1">
      <alignment horizontal="right" indent="1"/>
    </xf>
    <xf numFmtId="172" fontId="1" fillId="0" borderId="0" xfId="0" applyNumberFormat="1" applyFont="1" applyFill="1" applyAlignment="1">
      <alignment/>
    </xf>
    <xf numFmtId="0" fontId="1" fillId="0" borderId="0" xfId="0" applyFont="1" applyFill="1" applyBorder="1" applyAlignment="1">
      <alignment horizontal="left"/>
    </xf>
    <xf numFmtId="0" fontId="1" fillId="0" borderId="0" xfId="0" applyFont="1" applyBorder="1" applyAlignment="1">
      <alignment/>
    </xf>
    <xf numFmtId="172" fontId="1" fillId="0" borderId="0" xfId="0" applyNumberFormat="1" applyFont="1" applyBorder="1" applyAlignment="1">
      <alignment/>
    </xf>
    <xf numFmtId="0" fontId="1" fillId="0" borderId="0" xfId="0" applyFont="1" applyBorder="1" applyAlignment="1">
      <alignment/>
    </xf>
    <xf numFmtId="0" fontId="1" fillId="0" borderId="0" xfId="0" applyFont="1" applyFill="1" applyBorder="1" applyAlignment="1">
      <alignment/>
    </xf>
    <xf numFmtId="37" fontId="10" fillId="0" borderId="0" xfId="0" applyNumberFormat="1" applyFont="1" applyAlignment="1" applyProtection="1">
      <alignment horizontal="centerContinuous"/>
      <protection/>
    </xf>
    <xf numFmtId="0" fontId="6" fillId="0" borderId="0" xfId="0" applyFont="1" applyBorder="1" applyAlignment="1">
      <alignment horizontal="centerContinuous"/>
    </xf>
    <xf numFmtId="37" fontId="17" fillId="0" borderId="0" xfId="0" applyNumberFormat="1" applyFont="1" applyFill="1" applyAlignment="1" applyProtection="1">
      <alignment horizontal="centerContinuous"/>
      <protection/>
    </xf>
    <xf numFmtId="0" fontId="17" fillId="0" borderId="8"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0" xfId="0" applyFont="1" applyBorder="1" applyAlignment="1">
      <alignment horizontal="centerContinuous"/>
    </xf>
    <xf numFmtId="37" fontId="21" fillId="0" borderId="0" xfId="0" applyNumberFormat="1" applyFont="1" applyFill="1" applyBorder="1" applyAlignment="1" applyProtection="1">
      <alignment/>
      <protection/>
    </xf>
    <xf numFmtId="0" fontId="21" fillId="0" borderId="8" xfId="0" applyFont="1" applyFill="1" applyBorder="1" applyAlignment="1">
      <alignment horizontal="centerContinuous"/>
    </xf>
    <xf numFmtId="0" fontId="21" fillId="0" borderId="0" xfId="0" applyFont="1" applyFill="1" applyBorder="1" applyAlignment="1">
      <alignment horizontal="centerContinuous"/>
    </xf>
    <xf numFmtId="174" fontId="21" fillId="0" borderId="0" xfId="15" applyNumberFormat="1" applyFont="1" applyFill="1" applyBorder="1" applyAlignment="1">
      <alignment horizontal="left"/>
    </xf>
    <xf numFmtId="174" fontId="21" fillId="0" borderId="0" xfId="15" applyNumberFormat="1" applyFont="1" applyFill="1" applyBorder="1" applyAlignment="1">
      <alignment horizontal="centerContinuous"/>
    </xf>
    <xf numFmtId="0" fontId="21" fillId="0" borderId="0" xfId="0" applyFont="1" applyFill="1" applyAlignment="1">
      <alignment/>
    </xf>
    <xf numFmtId="0" fontId="21" fillId="0" borderId="40" xfId="0" applyFont="1" applyFill="1" applyBorder="1" applyAlignment="1">
      <alignment horizontal="centerContinuous"/>
    </xf>
    <xf numFmtId="0" fontId="21" fillId="0" borderId="8" xfId="0" applyFont="1" applyFill="1" applyBorder="1" applyAlignment="1">
      <alignment horizontal="center" wrapText="1"/>
    </xf>
    <xf numFmtId="0" fontId="21" fillId="0" borderId="41" xfId="0" applyFont="1" applyFill="1" applyBorder="1" applyAlignment="1">
      <alignment horizontal="center" wrapText="1"/>
    </xf>
    <xf numFmtId="0" fontId="21" fillId="0" borderId="14" xfId="0" applyFont="1" applyFill="1" applyBorder="1" applyAlignment="1">
      <alignment horizontal="center" wrapText="1"/>
    </xf>
    <xf numFmtId="0" fontId="21" fillId="0" borderId="13" xfId="0" applyFont="1" applyFill="1" applyBorder="1" applyAlignment="1">
      <alignment horizontal="centerContinuous"/>
    </xf>
    <xf numFmtId="0" fontId="21" fillId="0" borderId="41" xfId="0" applyFont="1" applyFill="1" applyBorder="1" applyAlignment="1">
      <alignment horizontal="centerContinuous"/>
    </xf>
    <xf numFmtId="0" fontId="21" fillId="0" borderId="42" xfId="0" applyFont="1" applyFill="1" applyBorder="1" applyAlignment="1">
      <alignment horizontal="center" wrapText="1"/>
    </xf>
    <xf numFmtId="174" fontId="21" fillId="0" borderId="0" xfId="15" applyNumberFormat="1" applyFont="1" applyFill="1" applyBorder="1" applyAlignment="1">
      <alignment horizontal="right"/>
    </xf>
    <xf numFmtId="174" fontId="21" fillId="0" borderId="0" xfId="15" applyNumberFormat="1" applyFont="1" applyFill="1" applyBorder="1" applyAlignment="1">
      <alignment/>
    </xf>
    <xf numFmtId="3" fontId="21" fillId="0" borderId="0" xfId="0" applyNumberFormat="1" applyFont="1" applyFill="1" applyAlignment="1">
      <alignment/>
    </xf>
    <xf numFmtId="172" fontId="6" fillId="0" borderId="0" xfId="15" applyNumberFormat="1" applyFont="1" applyFill="1" applyBorder="1" applyAlignment="1">
      <alignment horizontal="right" indent="1"/>
    </xf>
    <xf numFmtId="172" fontId="6" fillId="0" borderId="1" xfId="15" applyNumberFormat="1" applyFont="1" applyFill="1" applyBorder="1" applyAlignment="1">
      <alignment horizontal="right"/>
    </xf>
    <xf numFmtId="172" fontId="6" fillId="0" borderId="0" xfId="15" applyNumberFormat="1" applyFont="1" applyFill="1" applyBorder="1" applyAlignment="1">
      <alignment horizontal="right"/>
    </xf>
    <xf numFmtId="172" fontId="6" fillId="0" borderId="9" xfId="15" applyNumberFormat="1" applyFont="1" applyFill="1" applyBorder="1" applyAlignment="1">
      <alignment horizontal="right"/>
    </xf>
    <xf numFmtId="172" fontId="6" fillId="0" borderId="10" xfId="15" applyNumberFormat="1" applyFont="1" applyFill="1" applyBorder="1" applyAlignment="1">
      <alignment horizontal="right"/>
    </xf>
    <xf numFmtId="2" fontId="6" fillId="0" borderId="0" xfId="15" applyNumberFormat="1" applyFont="1" applyFill="1" applyBorder="1" applyAlignment="1">
      <alignment horizontal="right"/>
    </xf>
    <xf numFmtId="180" fontId="6" fillId="0" borderId="0" xfId="15" applyNumberFormat="1" applyFont="1" applyFill="1" applyBorder="1" applyAlignment="1">
      <alignment horizontal="right"/>
    </xf>
    <xf numFmtId="172" fontId="0" fillId="0" borderId="0" xfId="0" applyNumberFormat="1" applyAlignment="1">
      <alignment horizontal="center"/>
    </xf>
    <xf numFmtId="172" fontId="0" fillId="0" borderId="11" xfId="0" applyNumberFormat="1" applyBorder="1" applyAlignment="1">
      <alignment horizontal="center"/>
    </xf>
    <xf numFmtId="172" fontId="0" fillId="0" borderId="29" xfId="0" applyNumberFormat="1" applyBorder="1" applyAlignment="1">
      <alignment horizontal="center"/>
    </xf>
    <xf numFmtId="1" fontId="0" fillId="0" borderId="0" xfId="0" applyNumberFormat="1" applyAlignment="1">
      <alignment horizontal="center"/>
    </xf>
    <xf numFmtId="172" fontId="0" fillId="0" borderId="1" xfId="0" applyNumberFormat="1" applyBorder="1" applyAlignment="1">
      <alignment horizontal="center"/>
    </xf>
    <xf numFmtId="1" fontId="0" fillId="0" borderId="1" xfId="0" applyNumberFormat="1" applyBorder="1" applyAlignment="1">
      <alignment horizontal="center"/>
    </xf>
    <xf numFmtId="172" fontId="0" fillId="0" borderId="42" xfId="0" applyNumberFormat="1" applyBorder="1" applyAlignment="1">
      <alignment horizontal="center"/>
    </xf>
    <xf numFmtId="172" fontId="0" fillId="0" borderId="10" xfId="0" applyNumberFormat="1" applyBorder="1" applyAlignment="1">
      <alignment horizontal="center"/>
    </xf>
    <xf numFmtId="172" fontId="6" fillId="0" borderId="0" xfId="15" applyNumberFormat="1" applyFont="1" applyFill="1" applyBorder="1" applyAlignment="1">
      <alignment/>
    </xf>
    <xf numFmtId="172" fontId="6" fillId="0" borderId="9" xfId="15" applyNumberFormat="1" applyFont="1" applyFill="1" applyBorder="1" applyAlignment="1">
      <alignment/>
    </xf>
    <xf numFmtId="172" fontId="6" fillId="0" borderId="11" xfId="15" applyNumberFormat="1" applyFont="1" applyFill="1" applyBorder="1" applyAlignment="1">
      <alignment/>
    </xf>
    <xf numFmtId="172" fontId="6" fillId="0" borderId="12" xfId="15" applyNumberFormat="1" applyFont="1" applyFill="1" applyBorder="1" applyAlignment="1">
      <alignment/>
    </xf>
    <xf numFmtId="2" fontId="6" fillId="0" borderId="0" xfId="15" applyNumberFormat="1" applyFont="1" applyFill="1" applyBorder="1" applyAlignment="1">
      <alignment/>
    </xf>
    <xf numFmtId="2" fontId="6" fillId="0" borderId="9" xfId="15" applyNumberFormat="1" applyFont="1" applyFill="1" applyBorder="1" applyAlignment="1">
      <alignment/>
    </xf>
    <xf numFmtId="172" fontId="6" fillId="0" borderId="1" xfId="15" applyNumberFormat="1" applyFont="1" applyFill="1" applyBorder="1" applyAlignment="1">
      <alignment/>
    </xf>
    <xf numFmtId="172" fontId="6" fillId="0" borderId="10" xfId="15" applyNumberFormat="1" applyFont="1" applyFill="1" applyBorder="1" applyAlignment="1">
      <alignment/>
    </xf>
    <xf numFmtId="172" fontId="6" fillId="0" borderId="38" xfId="15" applyNumberFormat="1" applyFont="1" applyFill="1" applyBorder="1" applyAlignment="1">
      <alignment/>
    </xf>
    <xf numFmtId="172" fontId="6" fillId="0" borderId="11" xfId="15" applyNumberFormat="1" applyFont="1" applyFill="1" applyBorder="1" applyAlignment="1">
      <alignment horizontal="right"/>
    </xf>
    <xf numFmtId="172" fontId="6" fillId="0" borderId="12" xfId="15" applyNumberFormat="1" applyFont="1" applyFill="1" applyBorder="1" applyAlignment="1">
      <alignment horizontal="right"/>
    </xf>
    <xf numFmtId="172" fontId="6" fillId="0" borderId="38" xfId="15" applyNumberFormat="1" applyFont="1" applyFill="1" applyBorder="1" applyAlignment="1">
      <alignment horizontal="right"/>
    </xf>
    <xf numFmtId="2" fontId="6" fillId="0" borderId="9" xfId="15" applyNumberFormat="1" applyFont="1" applyFill="1" applyBorder="1" applyAlignment="1">
      <alignment horizontal="right"/>
    </xf>
    <xf numFmtId="180" fontId="6" fillId="0" borderId="9" xfId="15" applyNumberFormat="1" applyFont="1" applyFill="1" applyBorder="1" applyAlignment="1">
      <alignment horizontal="right"/>
    </xf>
    <xf numFmtId="180" fontId="6" fillId="0" borderId="0" xfId="15" applyNumberFormat="1" applyFont="1" applyFill="1" applyBorder="1" applyAlignment="1">
      <alignment/>
    </xf>
    <xf numFmtId="180" fontId="6" fillId="0" borderId="9" xfId="15" applyNumberFormat="1" applyFont="1" applyFill="1" applyBorder="1" applyAlignment="1">
      <alignment/>
    </xf>
    <xf numFmtId="0" fontId="24" fillId="0" borderId="0" xfId="0" applyFont="1" applyFill="1" applyBorder="1" applyAlignment="1">
      <alignment/>
    </xf>
    <xf numFmtId="0" fontId="24" fillId="0" borderId="0" xfId="0" applyFont="1" applyFill="1" applyAlignment="1">
      <alignment/>
    </xf>
    <xf numFmtId="0" fontId="25" fillId="0" borderId="41" xfId="0" applyFont="1" applyFill="1" applyBorder="1" applyAlignment="1">
      <alignment horizontal="centerContinuous"/>
    </xf>
    <xf numFmtId="172" fontId="6" fillId="0" borderId="0" xfId="0" applyNumberFormat="1" applyFont="1" applyFill="1" applyBorder="1" applyAlignment="1">
      <alignment/>
    </xf>
    <xf numFmtId="49" fontId="1" fillId="0" borderId="0" xfId="0" applyNumberFormat="1" applyFont="1" applyBorder="1" applyAlignment="1">
      <alignment horizontal="right"/>
    </xf>
    <xf numFmtId="174" fontId="27" fillId="3" borderId="11" xfId="15" applyNumberFormat="1" applyFont="1" applyFill="1" applyBorder="1" applyAlignment="1">
      <alignment/>
    </xf>
    <xf numFmtId="174" fontId="27" fillId="0" borderId="11" xfId="15" applyNumberFormat="1" applyFont="1" applyBorder="1" applyAlignment="1">
      <alignment/>
    </xf>
    <xf numFmtId="172" fontId="0" fillId="0" borderId="38" xfId="0" applyNumberFormat="1" applyBorder="1" applyAlignment="1">
      <alignment horizontal="center"/>
    </xf>
    <xf numFmtId="0" fontId="17" fillId="0" borderId="24" xfId="0" applyFont="1" applyBorder="1" applyAlignment="1">
      <alignment horizontal="center" wrapText="1"/>
    </xf>
    <xf numFmtId="0" fontId="0" fillId="0" borderId="36" xfId="0" applyFont="1" applyBorder="1" applyAlignment="1">
      <alignment horizontal="center" wrapText="1"/>
    </xf>
    <xf numFmtId="0" fontId="17" fillId="0" borderId="43" xfId="0" applyFont="1" applyBorder="1" applyAlignment="1">
      <alignment horizontal="center" wrapText="1"/>
    </xf>
    <xf numFmtId="0" fontId="0" fillId="0" borderId="35" xfId="0" applyFont="1" applyBorder="1" applyAlignment="1">
      <alignment horizontal="center" wrapText="1"/>
    </xf>
    <xf numFmtId="0" fontId="17" fillId="0" borderId="44" xfId="0" applyFont="1" applyBorder="1" applyAlignment="1">
      <alignment horizontal="center" wrapText="1"/>
    </xf>
    <xf numFmtId="0" fontId="0" fillId="0" borderId="45" xfId="0" applyFont="1" applyBorder="1" applyAlignment="1">
      <alignment horizontal="center" wrapText="1"/>
    </xf>
    <xf numFmtId="0" fontId="17" fillId="0" borderId="26" xfId="0" applyFont="1" applyBorder="1" applyAlignment="1">
      <alignment horizontal="center" wrapText="1"/>
    </xf>
    <xf numFmtId="0" fontId="0" fillId="0" borderId="37" xfId="0" applyFont="1" applyBorder="1" applyAlignment="1">
      <alignment horizontal="center" wrapText="1"/>
    </xf>
    <xf numFmtId="0" fontId="17" fillId="0" borderId="30" xfId="0" applyFont="1" applyBorder="1" applyAlignment="1">
      <alignment horizontal="center" wrapText="1"/>
    </xf>
    <xf numFmtId="0" fontId="0" fillId="0" borderId="24" xfId="0" applyFont="1" applyBorder="1" applyAlignment="1">
      <alignment/>
    </xf>
    <xf numFmtId="0" fontId="0" fillId="0" borderId="36" xfId="0" applyFont="1" applyBorder="1" applyAlignment="1">
      <alignment/>
    </xf>
    <xf numFmtId="0" fontId="17" fillId="0" borderId="0" xfId="0" applyFont="1" applyBorder="1" applyAlignment="1">
      <alignment horizontal="center"/>
    </xf>
    <xf numFmtId="0" fontId="17" fillId="0" borderId="8" xfId="0" applyFont="1" applyBorder="1" applyAlignment="1">
      <alignment horizontal="center"/>
    </xf>
    <xf numFmtId="0" fontId="17" fillId="0" borderId="41" xfId="0" applyFont="1" applyBorder="1" applyAlignment="1">
      <alignment horizontal="center"/>
    </xf>
    <xf numFmtId="0" fontId="17" fillId="0" borderId="13" xfId="0" applyFont="1" applyBorder="1" applyAlignment="1">
      <alignment horizontal="center"/>
    </xf>
    <xf numFmtId="0" fontId="21" fillId="0" borderId="13" xfId="0" applyFont="1" applyFill="1" applyBorder="1" applyAlignment="1">
      <alignment horizontal="center"/>
    </xf>
    <xf numFmtId="0" fontId="21" fillId="0" borderId="8" xfId="0" applyFont="1" applyFill="1" applyBorder="1" applyAlignment="1">
      <alignment horizontal="center"/>
    </xf>
    <xf numFmtId="0" fontId="6" fillId="0" borderId="13" xfId="0" applyFont="1" applyFill="1" applyBorder="1" applyAlignment="1">
      <alignment horizontal="center"/>
    </xf>
    <xf numFmtId="0" fontId="6" fillId="0" borderId="8" xfId="0" applyFont="1" applyFill="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Degree02 Form" xfId="21"/>
    <cellStyle name="Normal_Degrees02 Form" xfId="22"/>
    <cellStyle name="Normal_E-learning04 Form" xfId="23"/>
    <cellStyle name="Normal_StProg01B" xfId="24"/>
    <cellStyle name="Percent" xfId="25"/>
  </cellStyles>
  <dxfs count="16">
    <dxf>
      <numFmt numFmtId="13" formatCode="# ??/??"/>
      <border/>
    </dxf>
    <dxf>
      <numFmt numFmtId="174" formatCode="_(* #,##0_);_(* \(#,##0\);_(* &quot;-&quot;??_);_(@_)"/>
      <border/>
    </dxf>
    <dxf>
      <numFmt numFmtId="166" formatCode="0.0%"/>
      <border/>
    </dxf>
    <dxf>
      <alignment horizontal="right" readingOrder="0"/>
      <border/>
    </dxf>
    <dxf>
      <alignment horizontal="right" readingOrder="1"/>
      <border/>
    </dxf>
    <dxf>
      <border>
        <bottom style="thin"/>
      </border>
    </dxf>
    <dxf>
      <border>
        <top style="thin">
          <color rgb="FF000000"/>
        </top>
      </border>
    </dxf>
    <dxf>
      <font>
        <b/>
      </font>
      <border/>
    </dxf>
    <dxf>
      <border>
        <top style="thin">
          <color rgb="FF000000"/>
        </top>
        <bottom>
          <color rgb="FF000000"/>
        </bottom>
      </border>
    </dxf>
    <dxf>
      <font>
        <b val="0"/>
      </font>
      <border/>
    </dxf>
    <dxf>
      <fill>
        <patternFill patternType="solid">
          <bgColor rgb="FFFFCC99"/>
        </patternFill>
      </fill>
      <border/>
    </dxf>
    <dxf>
      <fill>
        <patternFill patternType="solid">
          <bgColor rgb="FFFF99CC"/>
        </patternFill>
      </fill>
      <border/>
    </dxf>
    <dxf>
      <fill>
        <patternFill patternType="solid">
          <bgColor rgb="FFFFCC00"/>
        </patternFill>
      </fill>
      <border/>
    </dxf>
    <dxf>
      <fill>
        <patternFill patternType="solid">
          <bgColor rgb="FFFFFF99"/>
        </patternFill>
      </fill>
      <border/>
    </dxf>
    <dxf>
      <fill>
        <patternFill patternType="none"/>
      </fill>
      <border/>
    </dxf>
    <dxf>
      <border>
        <top>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Exchange\DE2001-02\Check%20Lists%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R450" sheet="E-learning Data"/>
  </cacheSource>
  <cacheFields count="31">
    <cacheField name="State">
      <sharedItems containsMixedTypes="0" count="16">
        <s v="AL"/>
        <s v="AR"/>
        <s v="DE"/>
        <s v="FL"/>
        <s v="GA"/>
        <s v="KY"/>
        <s v="LA"/>
        <s v="MD"/>
        <s v="MS"/>
        <s v="NC"/>
        <s v="OK"/>
        <s v="SC"/>
        <s v="TN"/>
        <s v="TX"/>
        <s v="VA"/>
        <s v="WV"/>
      </sharedItems>
    </cacheField>
    <cacheField name="Institution">
      <sharedItems containsMixedTypes="0"/>
    </cacheField>
    <cacheField name="ID">
      <sharedItems containsMixedTypes="1" containsNumber="1" containsInteger="1"/>
    </cacheField>
    <cacheField name="Type">
      <sharedItems containsSemiMixedTypes="0" containsString="0" containsMixedTypes="0" containsNumber="1" containsInteger="1" count="14">
        <n v="1"/>
        <n v="2"/>
        <n v="3"/>
        <n v="5"/>
        <n v="6"/>
        <n v="9"/>
        <n v="7"/>
        <n v="10"/>
        <n v="8"/>
        <n v="4"/>
        <n v="12"/>
        <n v="13"/>
        <n v="15"/>
        <n v="16"/>
      </sharedItems>
    </cacheField>
    <cacheField name="Tot UG SCH Calc">
      <sharedItems containsSemiMixedTypes="0" containsString="0" containsMixedTypes="0" containsNumber="1"/>
    </cacheField>
    <cacheField name="UG OnC Trad">
      <sharedItems containsMixedTypes="1" containsNumber="1"/>
    </cacheField>
    <cacheField name="UG OffC Trad">
      <sharedItems containsMixedTypes="1" containsNumber="1"/>
    </cacheField>
    <cacheField name="UG EL Web">
      <sharedItems containsMixedTypes="1" containsNumber="1"/>
    </cacheField>
    <cacheField name="UG EL CV">
      <sharedItems containsSemiMixedTypes="0" containsString="0" containsMixedTypes="0" containsNumber="1"/>
    </cacheField>
    <cacheField name="UG EL O">
      <sharedItems containsMixedTypes="1" containsNumber="1"/>
    </cacheField>
    <cacheField name="UG Cor">
      <sharedItems containsBlank="1" containsMixedTypes="1" containsNumber="1" count="28">
        <m/>
        <s v="nr"/>
        <n v="8976"/>
        <n v="0"/>
        <n v="3456"/>
        <n v="512"/>
        <n v="252"/>
        <n v="14214"/>
        <n v="2701"/>
        <n v="10"/>
        <n v="742"/>
        <n v="345"/>
        <n v="11137"/>
        <n v="1298"/>
        <n v="501"/>
        <n v="153"/>
        <n v="320.3"/>
        <n v="686.4"/>
        <s v="na"/>
        <n v="126"/>
        <n v="134"/>
        <n v="1165"/>
        <n v="3298"/>
        <n v="1999"/>
        <n v="372"/>
        <n v="1610"/>
        <n v="1168"/>
        <n v="5205"/>
      </sharedItems>
    </cacheField>
    <cacheField name="Tot G SCH Calc">
      <sharedItems containsSemiMixedTypes="0" containsString="0" containsMixedTypes="0" containsNumber="1"/>
    </cacheField>
    <cacheField name="G OnC Trad">
      <sharedItems containsMixedTypes="1" containsNumber="1"/>
    </cacheField>
    <cacheField name="G OffC Trad">
      <sharedItems containsMixedTypes="1" containsNumber="1"/>
    </cacheField>
    <cacheField name="G EL Web">
      <sharedItems containsMixedTypes="1" containsNumber="1"/>
    </cacheField>
    <cacheField name="G EL CV">
      <sharedItems containsSemiMixedTypes="0" containsString="0" containsMixedTypes="0" containsNumber="1"/>
    </cacheField>
    <cacheField name="G EL O">
      <sharedItems containsMixedTypes="1" containsNumber="1"/>
    </cacheField>
    <cacheField name="G Cor">
      <sharedItems containsBlank="1" containsMixedTypes="1" containsNumber="1" count="9">
        <m/>
        <s v="nr"/>
        <n v="21"/>
        <n v="0"/>
        <n v="161.25"/>
        <s v="na"/>
        <n v="4"/>
        <n v="18"/>
        <n v="56"/>
      </sharedItems>
    </cacheField>
    <cacheField name="%G EL Web" formula="IF('Tot G SCH Calc'&gt;0,'G EL Web'/'Tot G SCH Calc',)" databaseField="0"/>
    <cacheField name="%G EL O" formula="IF('Tot G SCH Calc'&gt;0,'G EL O'/'Tot G SCH Calc',)" databaseField="0"/>
    <cacheField name="%G Cor" formula="IF('Tot G SCH Calc'&gt;0,'G Cor'/'Tot G SCH Calc',)" databaseField="0"/>
    <cacheField name="%UG EL Web" formula="IF('Tot UG SCH Calc'&gt;0,'UG EL Web'/'Tot UG SCH Calc',)" databaseField="0"/>
    <cacheField name="%UG OffC Trad" formula="IF('Tot UG SCH Calc'&gt;0,'UG OffC Trad'/'Tot UG SCH Calc',)" databaseField="0"/>
    <cacheField name="%UG OnC Trad" formula="IF('Tot UG SCH Calc'&gt;0,'UG OnC Trad'/'Tot UG SCH Calc',)" databaseField="0"/>
    <cacheField name="%UG EL O" formula="IF('Tot UG SCH Calc'&gt;0,'UG EL O'/'Tot UG SCH Calc',)" databaseField="0"/>
    <cacheField name="Type2">
      <sharedItems containsMixedTypes="0" count="4">
        <n v="16"/>
        <s v="Group1"/>
        <s v="Group2"/>
        <s v="Group3"/>
      </sharedItems>
    </cacheField>
    <cacheField name="%G OffC Trad" formula="IF('Tot G SCH Calc'&gt;0,'G OffC Trad'/'Tot G SCH Calc',0)" databaseField="0"/>
    <cacheField name="%G OnC Trad" formula="IF('Tot G SCH Calc'&gt;0,'G OnC Trad'/'Tot G SCH Calc',)" databaseField="0"/>
    <cacheField name="%UG Cor" formula="IF('Tot UG SCH Calc'&gt;0,'UG Cor'/'Tot UG SCH Calc',)" databaseField="0"/>
    <cacheField name="% UG EL CV" formula="IF('Tot UG SCH Calc'&gt;0,'UG EL CV'/'Tot UG SCH Calc',)" databaseField="0"/>
    <cacheField name="% G EL CV" formula="IF('Tot G SCH Calc'&gt;0,'G EL CV'/'Tot G SCH Calc',)"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S209" firstHeaderRow="1" firstDataRow="3" firstDataCol="2"/>
  <pivotFields count="31">
    <pivotField axis="axisRow" compact="0" outline="0" subtotalTop="0" showAll="0" sortType="ascending">
      <items count="17">
        <item x="0"/>
        <item x="1"/>
        <item x="2"/>
        <item x="3"/>
        <item x="4"/>
        <item x="5"/>
        <item x="6"/>
        <item x="7"/>
        <item x="8"/>
        <item x="9"/>
        <item x="10"/>
        <item x="11"/>
        <item x="12"/>
        <item x="13"/>
        <item x="14"/>
        <item x="15"/>
        <item t="default"/>
      </items>
    </pivotField>
    <pivotField compact="0" outline="0" subtotalTop="0" showAll="0"/>
    <pivotField compact="0" outline="0" subtotalTop="0" showAll="0"/>
    <pivotField axis="axisCol" compact="0" outline="0" subtotalTop="0" showAll="0" defaultSubtotal="0">
      <items count="14">
        <item x="0"/>
        <item x="1"/>
        <item x="2"/>
        <item x="9"/>
        <item x="3"/>
        <item x="4"/>
        <item x="6"/>
        <item x="8"/>
        <item x="5"/>
        <item x="7"/>
        <item x="10"/>
        <item x="11"/>
        <item x="12"/>
        <item m="1" x="13"/>
      </items>
    </pivotField>
    <pivotField compact="0" outline="0" subtotalTop="0" showAll="0" numFmtId="174"/>
    <pivotField compact="0" outline="0" subtotalTop="0" showAll="0" numFmtId="17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74"/>
    <pivotField compact="0" outline="0" subtotalTop="0" showAll="0"/>
    <pivotField compact="0" outline="0" subtotalTop="0" showAll="0"/>
    <pivotField compact="0" outline="0" subtotalTop="0" showAll="0"/>
    <pivotField compact="0" outline="0" subtotalTop="0" showAll="0" numFmtId="174"/>
    <pivotField compact="0" outline="0" subtotalTop="0" showAll="0"/>
    <pivotField compact="0" outline="0" subtotalTop="0" showAl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axis="axisCol" compact="0" outline="0" subtotalTop="0" showAll="0">
      <items count="5">
        <item n="Four-Year" x="1"/>
        <item n="Two-Year" x="2"/>
        <item n="Technical" x="3"/>
        <item x="0"/>
        <item t="default"/>
      </items>
    </pivotField>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2">
    <field x="0"/>
    <field x="-2"/>
  </rowFields>
  <rowItems count="204">
    <i>
      <x/>
      <x/>
    </i>
    <i i="1" r="1">
      <x v="1"/>
    </i>
    <i i="2" r="1">
      <x v="2"/>
    </i>
    <i i="3" r="1">
      <x v="3"/>
    </i>
    <i i="4" r="1">
      <x v="4"/>
    </i>
    <i i="5" r="1">
      <x v="5"/>
    </i>
    <i i="6" r="1">
      <x v="6"/>
    </i>
    <i i="7" r="1">
      <x v="7"/>
    </i>
    <i i="8" r="1">
      <x v="8"/>
    </i>
    <i i="9" r="1">
      <x v="9"/>
    </i>
    <i i="10" r="1">
      <x v="10"/>
    </i>
    <i i="11" r="1">
      <x v="11"/>
    </i>
    <i>
      <x v="1"/>
      <x/>
    </i>
    <i i="1" r="1">
      <x v="1"/>
    </i>
    <i i="2" r="1">
      <x v="2"/>
    </i>
    <i i="3" r="1">
      <x v="3"/>
    </i>
    <i i="4" r="1">
      <x v="4"/>
    </i>
    <i i="5" r="1">
      <x v="5"/>
    </i>
    <i i="6" r="1">
      <x v="6"/>
    </i>
    <i i="7" r="1">
      <x v="7"/>
    </i>
    <i i="8" r="1">
      <x v="8"/>
    </i>
    <i i="9" r="1">
      <x v="9"/>
    </i>
    <i i="10" r="1">
      <x v="10"/>
    </i>
    <i i="11" r="1">
      <x v="11"/>
    </i>
    <i>
      <x v="2"/>
      <x/>
    </i>
    <i i="1" r="1">
      <x v="1"/>
    </i>
    <i i="2" r="1">
      <x v="2"/>
    </i>
    <i i="3" r="1">
      <x v="3"/>
    </i>
    <i i="4" r="1">
      <x v="4"/>
    </i>
    <i i="5" r="1">
      <x v="5"/>
    </i>
    <i i="6" r="1">
      <x v="6"/>
    </i>
    <i i="7" r="1">
      <x v="7"/>
    </i>
    <i i="8" r="1">
      <x v="8"/>
    </i>
    <i i="9" r="1">
      <x v="9"/>
    </i>
    <i i="10" r="1">
      <x v="10"/>
    </i>
    <i i="11" r="1">
      <x v="11"/>
    </i>
    <i>
      <x v="3"/>
      <x/>
    </i>
    <i i="1" r="1">
      <x v="1"/>
    </i>
    <i i="2" r="1">
      <x v="2"/>
    </i>
    <i i="3" r="1">
      <x v="3"/>
    </i>
    <i i="4" r="1">
      <x v="4"/>
    </i>
    <i i="5" r="1">
      <x v="5"/>
    </i>
    <i i="6" r="1">
      <x v="6"/>
    </i>
    <i i="7" r="1">
      <x v="7"/>
    </i>
    <i i="8" r="1">
      <x v="8"/>
    </i>
    <i i="9" r="1">
      <x v="9"/>
    </i>
    <i i="10" r="1">
      <x v="10"/>
    </i>
    <i i="11" r="1">
      <x v="11"/>
    </i>
    <i>
      <x v="4"/>
      <x/>
    </i>
    <i i="1" r="1">
      <x v="1"/>
    </i>
    <i i="2" r="1">
      <x v="2"/>
    </i>
    <i i="3" r="1">
      <x v="3"/>
    </i>
    <i i="4" r="1">
      <x v="4"/>
    </i>
    <i i="5" r="1">
      <x v="5"/>
    </i>
    <i i="6" r="1">
      <x v="6"/>
    </i>
    <i i="7" r="1">
      <x v="7"/>
    </i>
    <i i="8" r="1">
      <x v="8"/>
    </i>
    <i i="9" r="1">
      <x v="9"/>
    </i>
    <i i="10" r="1">
      <x v="10"/>
    </i>
    <i i="11" r="1">
      <x v="11"/>
    </i>
    <i>
      <x v="5"/>
      <x/>
    </i>
    <i i="1" r="1">
      <x v="1"/>
    </i>
    <i i="2" r="1">
      <x v="2"/>
    </i>
    <i i="3" r="1">
      <x v="3"/>
    </i>
    <i i="4" r="1">
      <x v="4"/>
    </i>
    <i i="5" r="1">
      <x v="5"/>
    </i>
    <i i="6" r="1">
      <x v="6"/>
    </i>
    <i i="7" r="1">
      <x v="7"/>
    </i>
    <i i="8" r="1">
      <x v="8"/>
    </i>
    <i i="9" r="1">
      <x v="9"/>
    </i>
    <i i="10" r="1">
      <x v="10"/>
    </i>
    <i i="11" r="1">
      <x v="11"/>
    </i>
    <i>
      <x v="6"/>
      <x/>
    </i>
    <i i="1" r="1">
      <x v="1"/>
    </i>
    <i i="2" r="1">
      <x v="2"/>
    </i>
    <i i="3" r="1">
      <x v="3"/>
    </i>
    <i i="4" r="1">
      <x v="4"/>
    </i>
    <i i="5" r="1">
      <x v="5"/>
    </i>
    <i i="6" r="1">
      <x v="6"/>
    </i>
    <i i="7" r="1">
      <x v="7"/>
    </i>
    <i i="8" r="1">
      <x v="8"/>
    </i>
    <i i="9" r="1">
      <x v="9"/>
    </i>
    <i i="10" r="1">
      <x v="10"/>
    </i>
    <i i="11" r="1">
      <x v="11"/>
    </i>
    <i>
      <x v="7"/>
      <x/>
    </i>
    <i i="1" r="1">
      <x v="1"/>
    </i>
    <i i="2" r="1">
      <x v="2"/>
    </i>
    <i i="3" r="1">
      <x v="3"/>
    </i>
    <i i="4" r="1">
      <x v="4"/>
    </i>
    <i i="5" r="1">
      <x v="5"/>
    </i>
    <i i="6" r="1">
      <x v="6"/>
    </i>
    <i i="7" r="1">
      <x v="7"/>
    </i>
    <i i="8" r="1">
      <x v="8"/>
    </i>
    <i i="9" r="1">
      <x v="9"/>
    </i>
    <i i="10" r="1">
      <x v="10"/>
    </i>
    <i i="11" r="1">
      <x v="11"/>
    </i>
    <i>
      <x v="8"/>
      <x/>
    </i>
    <i i="1" r="1">
      <x v="1"/>
    </i>
    <i i="2" r="1">
      <x v="2"/>
    </i>
    <i i="3" r="1">
      <x v="3"/>
    </i>
    <i i="4" r="1">
      <x v="4"/>
    </i>
    <i i="5" r="1">
      <x v="5"/>
    </i>
    <i i="6" r="1">
      <x v="6"/>
    </i>
    <i i="7" r="1">
      <x v="7"/>
    </i>
    <i i="8" r="1">
      <x v="8"/>
    </i>
    <i i="9" r="1">
      <x v="9"/>
    </i>
    <i i="10" r="1">
      <x v="10"/>
    </i>
    <i i="11" r="1">
      <x v="11"/>
    </i>
    <i>
      <x v="9"/>
      <x/>
    </i>
    <i i="1" r="1">
      <x v="1"/>
    </i>
    <i i="2" r="1">
      <x v="2"/>
    </i>
    <i i="3" r="1">
      <x v="3"/>
    </i>
    <i i="4" r="1">
      <x v="4"/>
    </i>
    <i i="5" r="1">
      <x v="5"/>
    </i>
    <i i="6" r="1">
      <x v="6"/>
    </i>
    <i i="7" r="1">
      <x v="7"/>
    </i>
    <i i="8" r="1">
      <x v="8"/>
    </i>
    <i i="9" r="1">
      <x v="9"/>
    </i>
    <i i="10" r="1">
      <x v="10"/>
    </i>
    <i i="11" r="1">
      <x v="11"/>
    </i>
    <i>
      <x v="10"/>
      <x/>
    </i>
    <i i="1" r="1">
      <x v="1"/>
    </i>
    <i i="2" r="1">
      <x v="2"/>
    </i>
    <i i="3" r="1">
      <x v="3"/>
    </i>
    <i i="4" r="1">
      <x v="4"/>
    </i>
    <i i="5" r="1">
      <x v="5"/>
    </i>
    <i i="6" r="1">
      <x v="6"/>
    </i>
    <i i="7" r="1">
      <x v="7"/>
    </i>
    <i i="8" r="1">
      <x v="8"/>
    </i>
    <i i="9" r="1">
      <x v="9"/>
    </i>
    <i i="10" r="1">
      <x v="10"/>
    </i>
    <i i="11" r="1">
      <x v="11"/>
    </i>
    <i>
      <x v="11"/>
      <x/>
    </i>
    <i i="1" r="1">
      <x v="1"/>
    </i>
    <i i="2" r="1">
      <x v="2"/>
    </i>
    <i i="3" r="1">
      <x v="3"/>
    </i>
    <i i="4" r="1">
      <x v="4"/>
    </i>
    <i i="5" r="1">
      <x v="5"/>
    </i>
    <i i="6" r="1">
      <x v="6"/>
    </i>
    <i i="7" r="1">
      <x v="7"/>
    </i>
    <i i="8" r="1">
      <x v="8"/>
    </i>
    <i i="9" r="1">
      <x v="9"/>
    </i>
    <i i="10" r="1">
      <x v="10"/>
    </i>
    <i i="11" r="1">
      <x v="11"/>
    </i>
    <i>
      <x v="12"/>
      <x/>
    </i>
    <i i="1" r="1">
      <x v="1"/>
    </i>
    <i i="2" r="1">
      <x v="2"/>
    </i>
    <i i="3" r="1">
      <x v="3"/>
    </i>
    <i i="4" r="1">
      <x v="4"/>
    </i>
    <i i="5" r="1">
      <x v="5"/>
    </i>
    <i i="6" r="1">
      <x v="6"/>
    </i>
    <i i="7" r="1">
      <x v="7"/>
    </i>
    <i i="8" r="1">
      <x v="8"/>
    </i>
    <i i="9" r="1">
      <x v="9"/>
    </i>
    <i i="10" r="1">
      <x v="10"/>
    </i>
    <i i="11" r="1">
      <x v="11"/>
    </i>
    <i>
      <x v="13"/>
      <x/>
    </i>
    <i i="1" r="1">
      <x v="1"/>
    </i>
    <i i="2" r="1">
      <x v="2"/>
    </i>
    <i i="3" r="1">
      <x v="3"/>
    </i>
    <i i="4" r="1">
      <x v="4"/>
    </i>
    <i i="5" r="1">
      <x v="5"/>
    </i>
    <i i="6" r="1">
      <x v="6"/>
    </i>
    <i i="7" r="1">
      <x v="7"/>
    </i>
    <i i="8" r="1">
      <x v="8"/>
    </i>
    <i i="9" r="1">
      <x v="9"/>
    </i>
    <i i="10" r="1">
      <x v="10"/>
    </i>
    <i i="11" r="1">
      <x v="11"/>
    </i>
    <i>
      <x v="14"/>
      <x/>
    </i>
    <i i="1" r="1">
      <x v="1"/>
    </i>
    <i i="2" r="1">
      <x v="2"/>
    </i>
    <i i="3" r="1">
      <x v="3"/>
    </i>
    <i i="4" r="1">
      <x v="4"/>
    </i>
    <i i="5" r="1">
      <x v="5"/>
    </i>
    <i i="6" r="1">
      <x v="6"/>
    </i>
    <i i="7" r="1">
      <x v="7"/>
    </i>
    <i i="8" r="1">
      <x v="8"/>
    </i>
    <i i="9" r="1">
      <x v="9"/>
    </i>
    <i i="10" r="1">
      <x v="10"/>
    </i>
    <i i="11" r="1">
      <x v="11"/>
    </i>
    <i>
      <x v="15"/>
      <x/>
    </i>
    <i i="1" r="1">
      <x v="1"/>
    </i>
    <i i="2" r="1">
      <x v="2"/>
    </i>
    <i i="3" r="1">
      <x v="3"/>
    </i>
    <i i="4" r="1">
      <x v="4"/>
    </i>
    <i i="5" r="1">
      <x v="5"/>
    </i>
    <i i="6" r="1">
      <x v="6"/>
    </i>
    <i i="7" r="1">
      <x v="7"/>
    </i>
    <i i="8" r="1">
      <x v="8"/>
    </i>
    <i i="9" r="1">
      <x v="9"/>
    </i>
    <i i="10" r="1">
      <x v="10"/>
    </i>
    <i i="11" r="1">
      <x v="11"/>
    </i>
    <i t="grand">
      <x/>
    </i>
    <i t="grand" i="1">
      <x/>
    </i>
    <i t="grand" i="2">
      <x/>
    </i>
    <i t="grand" i="3">
      <x/>
    </i>
    <i t="grand" i="4">
      <x/>
    </i>
    <i t="grand" i="5">
      <x/>
    </i>
    <i t="grand" i="6">
      <x/>
    </i>
    <i t="grand" i="7">
      <x/>
    </i>
    <i t="grand" i="8">
      <x/>
    </i>
    <i t="grand" i="9">
      <x/>
    </i>
    <i t="grand" i="10">
      <x/>
    </i>
    <i t="grand" i="11">
      <x/>
    </i>
  </rowItems>
  <colFields count="2">
    <field x="25"/>
    <field x="3"/>
  </colFields>
  <colItems count="17">
    <i>
      <x/>
      <x/>
    </i>
    <i r="1">
      <x v="1"/>
    </i>
    <i r="1">
      <x v="2"/>
    </i>
    <i r="1">
      <x v="3"/>
    </i>
    <i r="1">
      <x v="4"/>
    </i>
    <i r="1">
      <x v="5"/>
    </i>
    <i r="1">
      <x v="12"/>
    </i>
    <i t="default">
      <x/>
    </i>
    <i>
      <x v="1"/>
      <x v="6"/>
    </i>
    <i r="1">
      <x v="7"/>
    </i>
    <i r="1">
      <x v="8"/>
    </i>
    <i r="1">
      <x v="9"/>
    </i>
    <i t="default">
      <x v="1"/>
    </i>
    <i>
      <x v="2"/>
      <x v="10"/>
    </i>
    <i r="1">
      <x v="11"/>
    </i>
    <i t="default">
      <x v="2"/>
    </i>
    <i t="grand">
      <x/>
    </i>
  </colItems>
  <dataFields count="12">
    <dataField name=" %UG OnC Trad" fld="23" baseField="0" baseItem="0" numFmtId="174"/>
    <dataField name=" %UG OffC Trad" fld="22" baseField="0" baseItem="0" numFmtId="174"/>
    <dataField name=" %UG EL Web" fld="21" baseField="0" baseItem="0" numFmtId="174"/>
    <dataField name=" % UG EL CV" fld="29" baseField="0" baseItem="0" numFmtId="174"/>
    <dataField name=" %UG EL O" fld="24" baseField="0" baseItem="0" numFmtId="174"/>
    <dataField name=" %UG Cor" fld="28" baseField="0" baseItem="0" numFmtId="174"/>
    <dataField name=" %G OnC Trad" fld="27" baseField="0" baseItem="0" numFmtId="174"/>
    <dataField name=" %G OffC Trad" fld="26" baseField="0" baseItem="0" numFmtId="174"/>
    <dataField name=" %G EL Web" fld="18" baseField="0" baseItem="0" numFmtId="174"/>
    <dataField name=" % G EL CV" fld="30" baseField="0" baseItem="0" numFmtId="174"/>
    <dataField name=" %G EL O" fld="19" baseField="0" baseItem="0" numFmtId="174"/>
    <dataField name=" %G Cor" fld="20" baseField="0" baseItem="0" numFmtId="174"/>
  </dataFields>
  <formats count="87">
    <format dxfId="0">
      <pivotArea outline="0" fieldPosition="1" axis="axisCol" dataOnly="0" field="3" labelOnly="1" type="button"/>
    </format>
    <format dxfId="0">
      <pivotArea outline="0" fieldPosition="0" dataOnly="0" labelOnly="1" type="topRight"/>
    </format>
    <format dxfId="0">
      <pivotArea outline="0" fieldPosition="0" dataOnly="0" grandCol="1" labelOnly="1"/>
    </format>
    <format dxfId="1">
      <pivotArea outline="0" fieldPosition="0" dataOnly="0" labelOnly="1">
        <references count="1">
          <reference field="3" count="0"/>
        </references>
      </pivotArea>
    </format>
    <format dxfId="2">
      <pivotArea outline="0" fieldPosition="0"/>
    </format>
    <format dxfId="0">
      <pivotArea outline="0" fieldPosition="0" axis="axisRow" field="0" grandCol="1">
        <references count="2">
          <reference field="4294967294" count="1">
            <x v="0"/>
          </reference>
          <reference field="0" count="1">
            <x v="0"/>
          </reference>
        </references>
      </pivotArea>
    </format>
    <format dxfId="3">
      <pivotArea outline="0" fieldPosition="0" dataOnly="0" labelOnly="1">
        <references count="2">
          <reference field="4294967294" count="1">
            <x v="4"/>
          </reference>
          <reference field="0" count="1">
            <x v="0"/>
          </reference>
        </references>
      </pivotArea>
    </format>
    <format dxfId="3">
      <pivotArea outline="0" fieldPosition="0" dataOnly="0" labelOnly="1">
        <references count="2">
          <reference field="4294967294" count="1">
            <x v="5"/>
          </reference>
          <reference field="0" count="1">
            <x v="0"/>
          </reference>
        </references>
      </pivotArea>
    </format>
    <format dxfId="3">
      <pivotArea outline="0" fieldPosition="0" dataOnly="0" labelOnly="1">
        <references count="2">
          <reference field="4294967294" count="1">
            <x v="6"/>
          </reference>
          <reference field="0" count="1">
            <x v="0"/>
          </reference>
        </references>
      </pivotArea>
    </format>
    <format dxfId="3">
      <pivotArea outline="0" fieldPosition="0" dataOnly="0" labelOnly="1">
        <references count="2">
          <reference field="4294967294" count="1">
            <x v="7"/>
          </reference>
          <reference field="0" count="1">
            <x v="0"/>
          </reference>
        </references>
      </pivotArea>
    </format>
    <format dxfId="3">
      <pivotArea outline="0" fieldPosition="0" dataOnly="0" labelOnly="1">
        <references count="2">
          <reference field="4294967294" count="1">
            <x v="8"/>
          </reference>
          <reference field="0" count="1">
            <x v="0"/>
          </reference>
        </references>
      </pivotArea>
    </format>
    <format dxfId="3">
      <pivotArea outline="0" fieldPosition="0" dataOnly="0" labelOnly="1">
        <references count="2">
          <reference field="4294967294" count="1">
            <x v="10"/>
          </reference>
          <reference field="0" count="1">
            <x v="0"/>
          </reference>
        </references>
      </pivotArea>
    </format>
    <format dxfId="3">
      <pivotArea outline="0" fieldPosition="0" dataOnly="0" labelOnly="1">
        <references count="2">
          <reference field="4294967294" count="1">
            <x v="11"/>
          </reference>
          <reference field="0" count="1">
            <x v="0"/>
          </reference>
        </references>
      </pivotArea>
    </format>
    <format dxfId="4">
      <pivotArea outline="0" fieldPosition="0" dataOnly="0" labelOnly="1">
        <references count="2">
          <reference field="4294967294" count="1">
            <x v="0"/>
          </reference>
          <reference field="0" count="1">
            <x v="0"/>
          </reference>
        </references>
      </pivotArea>
    </format>
    <format dxfId="4">
      <pivotArea outline="0" fieldPosition="0" dataOnly="0" labelOnly="1">
        <references count="2">
          <reference field="4294967294" count="1">
            <x v="1"/>
          </reference>
          <reference field="0" count="1">
            <x v="0"/>
          </reference>
        </references>
      </pivotArea>
    </format>
    <format dxfId="4">
      <pivotArea outline="0" fieldPosition="0" dataOnly="0" labelOnly="1">
        <references count="2">
          <reference field="4294967294" count="1">
            <x v="2"/>
          </reference>
          <reference field="0" count="1">
            <x v="0"/>
          </reference>
        </references>
      </pivotArea>
    </format>
    <format dxfId="5">
      <pivotArea outline="0" fieldPosition="0">
        <references count="2">
          <reference field="4294967294" count="1">
            <x v="11"/>
          </reference>
          <reference field="0" count="1">
            <x v="0"/>
          </reference>
        </references>
      </pivotArea>
    </format>
    <format dxfId="5">
      <pivotArea outline="0" fieldPosition="0" dataOnly="0" labelOnly="1" offset="IV256">
        <references count="1">
          <reference field="0" count="1">
            <x v="0"/>
          </reference>
        </references>
      </pivotArea>
    </format>
    <format dxfId="5">
      <pivotArea outline="0" fieldPosition="0" dataOnly="0" labelOnly="1">
        <references count="2">
          <reference field="4294967294" count="1">
            <x v="11"/>
          </reference>
          <reference field="0" count="1">
            <x v="0"/>
          </reference>
        </references>
      </pivotArea>
    </format>
    <format dxfId="5">
      <pivotArea outline="0" fieldPosition="0">
        <references count="2">
          <reference field="4294967294" count="1">
            <x v="11"/>
          </reference>
          <reference field="0" count="1">
            <x v="1"/>
          </reference>
        </references>
      </pivotArea>
    </format>
    <format dxfId="5">
      <pivotArea outline="0" fieldPosition="0" dataOnly="0" labelOnly="1" offset="IV256">
        <references count="1">
          <reference field="0" count="1">
            <x v="1"/>
          </reference>
        </references>
      </pivotArea>
    </format>
    <format dxfId="5">
      <pivotArea outline="0" fieldPosition="0" dataOnly="0" labelOnly="1">
        <references count="2">
          <reference field="4294967294" count="1">
            <x v="11"/>
          </reference>
          <reference field="0" count="1">
            <x v="1"/>
          </reference>
        </references>
      </pivotArea>
    </format>
    <format dxfId="5">
      <pivotArea outline="0" fieldPosition="0">
        <references count="2">
          <reference field="4294967294" count="1">
            <x v="11"/>
          </reference>
          <reference field="0" count="1">
            <x v="2"/>
          </reference>
        </references>
      </pivotArea>
    </format>
    <format dxfId="5">
      <pivotArea outline="0" fieldPosition="0" dataOnly="0" labelOnly="1" offset="IV256">
        <references count="1">
          <reference field="0" count="1">
            <x v="2"/>
          </reference>
        </references>
      </pivotArea>
    </format>
    <format dxfId="5">
      <pivotArea outline="0" fieldPosition="0" dataOnly="0" labelOnly="1">
        <references count="2">
          <reference field="4294967294" count="1">
            <x v="11"/>
          </reference>
          <reference field="0" count="1">
            <x v="2"/>
          </reference>
        </references>
      </pivotArea>
    </format>
    <format dxfId="5">
      <pivotArea outline="0" fieldPosition="0">
        <references count="2">
          <reference field="4294967294" count="1">
            <x v="11"/>
          </reference>
          <reference field="0" count="1">
            <x v="3"/>
          </reference>
        </references>
      </pivotArea>
    </format>
    <format dxfId="5">
      <pivotArea outline="0" fieldPosition="0" dataOnly="0" labelOnly="1" offset="IV256">
        <references count="1">
          <reference field="0" count="1">
            <x v="3"/>
          </reference>
        </references>
      </pivotArea>
    </format>
    <format dxfId="5">
      <pivotArea outline="0" fieldPosition="0" dataOnly="0" labelOnly="1">
        <references count="2">
          <reference field="4294967294" count="1">
            <x v="11"/>
          </reference>
          <reference field="0" count="1">
            <x v="3"/>
          </reference>
        </references>
      </pivotArea>
    </format>
    <format dxfId="5">
      <pivotArea outline="0" fieldPosition="0">
        <references count="2">
          <reference field="4294967294" count="1">
            <x v="11"/>
          </reference>
          <reference field="0" count="1">
            <x v="4"/>
          </reference>
        </references>
      </pivotArea>
    </format>
    <format dxfId="5">
      <pivotArea outline="0" fieldPosition="0" dataOnly="0" labelOnly="1" offset="IV256">
        <references count="1">
          <reference field="0" count="1">
            <x v="4"/>
          </reference>
        </references>
      </pivotArea>
    </format>
    <format dxfId="5">
      <pivotArea outline="0" fieldPosition="0" dataOnly="0" labelOnly="1">
        <references count="2">
          <reference field="4294967294" count="1">
            <x v="11"/>
          </reference>
          <reference field="0" count="1">
            <x v="4"/>
          </reference>
        </references>
      </pivotArea>
    </format>
    <format dxfId="5">
      <pivotArea outline="0" fieldPosition="0">
        <references count="2">
          <reference field="4294967294" count="1">
            <x v="11"/>
          </reference>
          <reference field="0" count="1">
            <x v="5"/>
          </reference>
        </references>
      </pivotArea>
    </format>
    <format dxfId="5">
      <pivotArea outline="0" fieldPosition="0" dataOnly="0" labelOnly="1" offset="IV256">
        <references count="1">
          <reference field="0" count="1">
            <x v="5"/>
          </reference>
        </references>
      </pivotArea>
    </format>
    <format dxfId="5">
      <pivotArea outline="0" fieldPosition="0" dataOnly="0" labelOnly="1">
        <references count="2">
          <reference field="4294967294" count="1">
            <x v="11"/>
          </reference>
          <reference field="0" count="1">
            <x v="5"/>
          </reference>
        </references>
      </pivotArea>
    </format>
    <format dxfId="5">
      <pivotArea outline="0" fieldPosition="0">
        <references count="2">
          <reference field="4294967294" count="1">
            <x v="11"/>
          </reference>
          <reference field="0" count="1">
            <x v="6"/>
          </reference>
        </references>
      </pivotArea>
    </format>
    <format dxfId="5">
      <pivotArea outline="0" fieldPosition="0" dataOnly="0" labelOnly="1" offset="IV27:IV256">
        <references count="1">
          <reference field="0" count="1">
            <x v="6"/>
          </reference>
        </references>
      </pivotArea>
    </format>
    <format dxfId="5">
      <pivotArea outline="0" fieldPosition="0" dataOnly="0" labelOnly="1">
        <references count="2">
          <reference field="4294967294" count="1">
            <x v="11"/>
          </reference>
          <reference field="0" count="1">
            <x v="6"/>
          </reference>
        </references>
      </pivotArea>
    </format>
    <format dxfId="5">
      <pivotArea outline="0" fieldPosition="0">
        <references count="2">
          <reference field="4294967294" count="1">
            <x v="11"/>
          </reference>
          <reference field="0" count="1">
            <x v="7"/>
          </reference>
        </references>
      </pivotArea>
    </format>
    <format dxfId="5">
      <pivotArea outline="0" fieldPosition="0" dataOnly="0" labelOnly="1" offset="IV256">
        <references count="1">
          <reference field="0" count="1">
            <x v="7"/>
          </reference>
        </references>
      </pivotArea>
    </format>
    <format dxfId="5">
      <pivotArea outline="0" fieldPosition="0" dataOnly="0" labelOnly="1">
        <references count="2">
          <reference field="4294967294" count="1">
            <x v="11"/>
          </reference>
          <reference field="0" count="1">
            <x v="7"/>
          </reference>
        </references>
      </pivotArea>
    </format>
    <format dxfId="5">
      <pivotArea outline="0" fieldPosition="0">
        <references count="2">
          <reference field="4294967294" count="1">
            <x v="11"/>
          </reference>
          <reference field="0" count="1">
            <x v="8"/>
          </reference>
        </references>
      </pivotArea>
    </format>
    <format dxfId="5">
      <pivotArea outline="0" fieldPosition="0" dataOnly="0" labelOnly="1" offset="IV256">
        <references count="1">
          <reference field="0" count="1">
            <x v="8"/>
          </reference>
        </references>
      </pivotArea>
    </format>
    <format dxfId="5">
      <pivotArea outline="0" fieldPosition="0" dataOnly="0" labelOnly="1">
        <references count="2">
          <reference field="4294967294" count="1">
            <x v="11"/>
          </reference>
          <reference field="0" count="1">
            <x v="8"/>
          </reference>
        </references>
      </pivotArea>
    </format>
    <format dxfId="5">
      <pivotArea outline="0" fieldPosition="0">
        <references count="2">
          <reference field="4294967294" count="1">
            <x v="11"/>
          </reference>
          <reference field="0" count="1">
            <x v="9"/>
          </reference>
        </references>
      </pivotArea>
    </format>
    <format dxfId="5">
      <pivotArea outline="0" fieldPosition="0" dataOnly="0" labelOnly="1" offset="IV256">
        <references count="1">
          <reference field="0" count="1">
            <x v="9"/>
          </reference>
        </references>
      </pivotArea>
    </format>
    <format dxfId="5">
      <pivotArea outline="0" fieldPosition="0" dataOnly="0" labelOnly="1">
        <references count="2">
          <reference field="4294967294" count="1">
            <x v="11"/>
          </reference>
          <reference field="0" count="1">
            <x v="9"/>
          </reference>
        </references>
      </pivotArea>
    </format>
    <format dxfId="5">
      <pivotArea outline="0" fieldPosition="0">
        <references count="2">
          <reference field="4294967294" count="1">
            <x v="11"/>
          </reference>
          <reference field="0" count="1">
            <x v="10"/>
          </reference>
        </references>
      </pivotArea>
    </format>
    <format dxfId="5">
      <pivotArea outline="0" fieldPosition="0" dataOnly="0" labelOnly="1" offset="IV256">
        <references count="1">
          <reference field="0" count="1">
            <x v="10"/>
          </reference>
        </references>
      </pivotArea>
    </format>
    <format dxfId="5">
      <pivotArea outline="0" fieldPosition="0" dataOnly="0" labelOnly="1">
        <references count="2">
          <reference field="4294967294" count="1">
            <x v="11"/>
          </reference>
          <reference field="0" count="1">
            <x v="10"/>
          </reference>
        </references>
      </pivotArea>
    </format>
    <format dxfId="5">
      <pivotArea outline="0" fieldPosition="0">
        <references count="2">
          <reference field="4294967294" count="1">
            <x v="11"/>
          </reference>
          <reference field="0" count="1">
            <x v="11"/>
          </reference>
        </references>
      </pivotArea>
    </format>
    <format dxfId="5">
      <pivotArea outline="0" fieldPosition="0" dataOnly="0" labelOnly="1" offset="IV256">
        <references count="1">
          <reference field="0" count="1">
            <x v="11"/>
          </reference>
        </references>
      </pivotArea>
    </format>
    <format dxfId="5">
      <pivotArea outline="0" fieldPosition="0" dataOnly="0" labelOnly="1">
        <references count="2">
          <reference field="4294967294" count="1">
            <x v="11"/>
          </reference>
          <reference field="0" count="1">
            <x v="11"/>
          </reference>
        </references>
      </pivotArea>
    </format>
    <format dxfId="5">
      <pivotArea outline="0" fieldPosition="0">
        <references count="2">
          <reference field="4294967294" count="1">
            <x v="11"/>
          </reference>
          <reference field="0" count="1">
            <x v="12"/>
          </reference>
        </references>
      </pivotArea>
    </format>
    <format dxfId="5">
      <pivotArea outline="0" fieldPosition="0" dataOnly="0" labelOnly="1" offset="IV256">
        <references count="1">
          <reference field="0" count="1">
            <x v="12"/>
          </reference>
        </references>
      </pivotArea>
    </format>
    <format dxfId="5">
      <pivotArea outline="0" fieldPosition="0" dataOnly="0" labelOnly="1">
        <references count="2">
          <reference field="4294967294" count="1">
            <x v="11"/>
          </reference>
          <reference field="0" count="1">
            <x v="12"/>
          </reference>
        </references>
      </pivotArea>
    </format>
    <format dxfId="5">
      <pivotArea outline="0" fieldPosition="0">
        <references count="2">
          <reference field="4294967294" count="1">
            <x v="11"/>
          </reference>
          <reference field="0" count="1">
            <x v="13"/>
          </reference>
        </references>
      </pivotArea>
    </format>
    <format dxfId="5">
      <pivotArea outline="0" fieldPosition="0" dataOnly="0" labelOnly="1" offset="IV256">
        <references count="1">
          <reference field="0" count="1">
            <x v="13"/>
          </reference>
        </references>
      </pivotArea>
    </format>
    <format dxfId="5">
      <pivotArea outline="0" fieldPosition="0" dataOnly="0" labelOnly="1">
        <references count="2">
          <reference field="4294967294" count="1">
            <x v="11"/>
          </reference>
          <reference field="0" count="1">
            <x v="13"/>
          </reference>
        </references>
      </pivotArea>
    </format>
    <format dxfId="5">
      <pivotArea outline="0" fieldPosition="0">
        <references count="2">
          <reference field="4294967294" count="1">
            <x v="11"/>
          </reference>
          <reference field="0" count="1">
            <x v="14"/>
          </reference>
        </references>
      </pivotArea>
    </format>
    <format dxfId="5">
      <pivotArea outline="0" fieldPosition="0" dataOnly="0" labelOnly="1" offset="IV256">
        <references count="1">
          <reference field="0" count="1">
            <x v="14"/>
          </reference>
        </references>
      </pivotArea>
    </format>
    <format dxfId="5">
      <pivotArea outline="0" fieldPosition="0" dataOnly="0" labelOnly="1">
        <references count="2">
          <reference field="4294967294" count="1">
            <x v="11"/>
          </reference>
          <reference field="0" count="1">
            <x v="14"/>
          </reference>
        </references>
      </pivotArea>
    </format>
    <format dxfId="5">
      <pivotArea outline="0" fieldPosition="0">
        <references count="2">
          <reference field="4294967294" count="1">
            <x v="11"/>
          </reference>
          <reference field="0" count="1">
            <x v="15"/>
          </reference>
        </references>
      </pivotArea>
    </format>
    <format dxfId="5">
      <pivotArea outline="0" fieldPosition="0" dataOnly="0" labelOnly="1" offset="IV256">
        <references count="1">
          <reference field="0" count="1">
            <x v="15"/>
          </reference>
        </references>
      </pivotArea>
    </format>
    <format dxfId="5">
      <pivotArea outline="0" fieldPosition="0" dataOnly="0" labelOnly="1">
        <references count="2">
          <reference field="4294967294" count="1">
            <x v="11"/>
          </reference>
          <reference field="0" count="1">
            <x v="15"/>
          </reference>
        </references>
      </pivotArea>
    </format>
    <format dxfId="6">
      <pivotArea outline="0" fieldPosition="0" dataOnly="0" labelOnly="1" offset="A2:B2" type="origin"/>
    </format>
    <format dxfId="7">
      <pivotArea outline="0" fieldPosition="0" dataOnly="0" labelOnly="1">
        <references count="1">
          <reference field="0" count="0"/>
        </references>
      </pivotArea>
    </format>
    <format dxfId="6">
      <pivotArea outline="0" fieldPosition="0" dataOnly="0" labelOnly="1" offset="IV1">
        <references count="1">
          <reference field="0" count="1">
            <x v="1"/>
          </reference>
        </references>
      </pivotArea>
    </format>
    <format dxfId="8">
      <pivotArea outline="0" fieldPosition="0" dataOnly="0" labelOnly="1" offset="IV1">
        <references count="1">
          <reference field="0" count="1">
            <x v="0"/>
          </reference>
        </references>
      </pivotArea>
    </format>
    <format dxfId="9">
      <pivotArea outline="0" fieldPosition="0" dataOnly="0" labelOnly="1" type="origin"/>
    </format>
    <format dxfId="9">
      <pivotArea outline="0" fieldPosition="0" axis="axisRow" dataOnly="0" field="0" labelOnly="1" type="button"/>
    </format>
    <format dxfId="9">
      <pivotArea outline="0" fieldPosition="1" axis="axisRow" dataOnly="0" field="-2" labelOnly="1" type="button"/>
    </format>
    <format dxfId="9">
      <pivotArea outline="0" fieldPosition="1" axis="axisCol" dataOnly="0" field="3" labelOnly="1" type="button"/>
    </format>
    <format dxfId="9">
      <pivotArea outline="0" fieldPosition="0" dataOnly="0" labelOnly="1" type="topRight"/>
    </format>
    <format dxfId="10">
      <pivotArea outline="0" fieldPosition="0">
        <references count="2">
          <reference field="4294967294" count="1">
            <x v="2"/>
          </reference>
          <reference field="0" count="1">
            <x v="1"/>
          </reference>
        </references>
      </pivotArea>
    </format>
    <format dxfId="10">
      <pivotArea outline="0" fieldPosition="0" dataOnly="0" labelOnly="1" offset="IV5:IV6">
        <references count="1">
          <reference field="0" count="1">
            <x v="1"/>
          </reference>
        </references>
      </pivotArea>
    </format>
    <format dxfId="10">
      <pivotArea outline="0" fieldPosition="0" dataOnly="0" labelOnly="1">
        <references count="2">
          <reference field="4294967294" count="1">
            <x v="2"/>
          </reference>
          <reference field="0" count="1">
            <x v="1"/>
          </reference>
        </references>
      </pivotArea>
    </format>
    <format dxfId="11">
      <pivotArea outline="0" fieldPosition="0" dataOnly="0" labelOnly="1" offset="IV7:IV8">
        <references count="1">
          <reference field="0" count="1">
            <x v="1"/>
          </reference>
        </references>
      </pivotArea>
    </format>
    <format dxfId="12">
      <pivotArea outline="0" fieldPosition="0" dataOnly="0" labelOnly="1" offset="IV9:IV10">
        <references count="1">
          <reference field="0" count="1">
            <x v="1"/>
          </reference>
        </references>
      </pivotArea>
    </format>
    <format dxfId="13">
      <pivotArea outline="0" fieldPosition="0">
        <references count="2">
          <reference field="4294967294" count="1">
            <x v="4"/>
          </reference>
          <reference field="0" count="1">
            <x v="1"/>
          </reference>
        </references>
      </pivotArea>
    </format>
    <format dxfId="13">
      <pivotArea outline="0" fieldPosition="0" dataOnly="0" labelOnly="1" offset="IV11:IV12">
        <references count="1">
          <reference field="0" count="1">
            <x v="1"/>
          </reference>
        </references>
      </pivotArea>
    </format>
    <format dxfId="13">
      <pivotArea outline="0" fieldPosition="0" dataOnly="0" labelOnly="1">
        <references count="2">
          <reference field="4294967294" count="1">
            <x v="4"/>
          </reference>
          <reference field="0" count="1">
            <x v="1"/>
          </reference>
        </references>
      </pivotArea>
    </format>
    <format dxfId="14">
      <pivotArea outline="0" fieldPosition="0">
        <references count="2">
          <reference field="4294967294" count="2">
            <x v="2"/>
            <x v="4"/>
          </reference>
          <reference field="0" count="1">
            <x v="1"/>
          </reference>
        </references>
      </pivotArea>
    </format>
    <format dxfId="14">
      <pivotArea outline="0" fieldPosition="0" dataOnly="0" labelOnly="1" offset="IV5:IV12">
        <references count="1">
          <reference field="0" count="1">
            <x v="1"/>
          </reference>
        </references>
      </pivotArea>
    </format>
    <format dxfId="14">
      <pivotArea outline="0" fieldPosition="0" dataOnly="0" labelOnly="1">
        <references count="2">
          <reference field="4294967294" count="2">
            <x v="2"/>
            <x v="4"/>
          </reference>
          <reference field="0" count="1">
            <x v="1"/>
          </reference>
        </references>
      </pivotArea>
    </format>
    <format dxfId="15">
      <pivotArea outline="0" fieldPosition="0" dataOnly="0" labelOnly="1" offset="IV256">
        <references count="1">
          <reference field="0" count="1">
            <x v="0"/>
          </reference>
        </references>
      </pivotArea>
    </format>
    <format dxfId="4">
      <pivotArea outline="0" fieldPosition="0" dataOnly="0" labelOnly="1">
        <references count="2">
          <reference field="4294967294" count="1">
            <x v="3"/>
          </reference>
          <reference field="0" count="1">
            <x v="0"/>
          </reference>
        </references>
      </pivotArea>
    </format>
    <format dxfId="4">
      <pivotArea outline="0" fieldPosition="0" dataOnly="0" labelOnly="1">
        <references count="2">
          <reference field="4294967294" count="1">
            <x v="9"/>
          </reference>
          <reference field="0"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EF514"/>
  <sheetViews>
    <sheetView zoomScale="75" zoomScaleNormal="75" workbookViewId="0" topLeftCell="A1">
      <pane xSplit="2" ySplit="5" topLeftCell="C47" activePane="bottomRight" state="frozen"/>
      <selection pane="topLeft" activeCell="A1" sqref="A1"/>
      <selection pane="topRight" activeCell="C1" sqref="C1"/>
      <selection pane="bottomLeft" activeCell="A6" sqref="A6"/>
      <selection pane="bottomRight" activeCell="G49" sqref="G49"/>
    </sheetView>
  </sheetViews>
  <sheetFormatPr defaultColWidth="9.140625" defaultRowHeight="12.75"/>
  <cols>
    <col min="1" max="1" width="6.421875" style="264" customWidth="1"/>
    <col min="2" max="2" width="28.28125" style="264" customWidth="1"/>
    <col min="3" max="3" width="8.57421875" style="264" customWidth="1"/>
    <col min="4" max="4" width="6.7109375" style="264" customWidth="1"/>
    <col min="5" max="5" width="11.8515625" style="264" customWidth="1"/>
    <col min="6" max="6" width="13.28125" style="264" customWidth="1"/>
    <col min="7" max="7" width="12.421875" style="264" customWidth="1"/>
    <col min="8" max="9" width="9.140625" style="264" customWidth="1"/>
    <col min="10" max="10" width="8.7109375" style="264" customWidth="1"/>
    <col min="11" max="11" width="16.8515625" style="264" customWidth="1"/>
    <col min="12" max="12" width="10.140625" style="264" customWidth="1"/>
    <col min="13" max="13" width="12.7109375" style="264" customWidth="1"/>
    <col min="14" max="14" width="12.28125" style="264" customWidth="1"/>
    <col min="15" max="15" width="7.8515625" style="264" customWidth="1"/>
    <col min="16" max="16" width="10.28125" style="264" customWidth="1"/>
    <col min="17" max="17" width="8.57421875" style="264" customWidth="1"/>
    <col min="18" max="18" width="16.140625" style="264" customWidth="1"/>
    <col min="19" max="16384" width="9.140625" style="264" customWidth="1"/>
  </cols>
  <sheetData>
    <row r="1" spans="1:18" s="195" customFormat="1" ht="27.75" customHeight="1">
      <c r="A1" s="185"/>
      <c r="B1" s="186"/>
      <c r="C1" s="187"/>
      <c r="D1" s="187"/>
      <c r="E1" s="186"/>
      <c r="F1" s="188"/>
      <c r="G1" s="363" t="s">
        <v>604</v>
      </c>
      <c r="H1" s="189" t="s">
        <v>605</v>
      </c>
      <c r="I1" s="190"/>
      <c r="J1" s="191"/>
      <c r="K1" s="192"/>
      <c r="L1" s="193"/>
      <c r="M1" s="194"/>
      <c r="N1" s="363" t="s">
        <v>604</v>
      </c>
      <c r="O1" s="189" t="s">
        <v>605</v>
      </c>
      <c r="P1" s="190"/>
      <c r="Q1" s="191"/>
      <c r="R1" s="192"/>
    </row>
    <row r="2" spans="1:18" s="197" customFormat="1" ht="87.75" customHeight="1">
      <c r="A2" s="196"/>
      <c r="E2" s="359" t="s">
        <v>606</v>
      </c>
      <c r="F2" s="355" t="s">
        <v>607</v>
      </c>
      <c r="G2" s="364"/>
      <c r="H2" s="357" t="s">
        <v>0</v>
      </c>
      <c r="I2" s="357" t="s">
        <v>608</v>
      </c>
      <c r="J2" s="359" t="s">
        <v>1</v>
      </c>
      <c r="K2" s="361" t="s">
        <v>609</v>
      </c>
      <c r="L2" s="359" t="s">
        <v>610</v>
      </c>
      <c r="M2" s="355" t="s">
        <v>607</v>
      </c>
      <c r="N2" s="364"/>
      <c r="O2" s="357" t="s">
        <v>0</v>
      </c>
      <c r="P2" s="357" t="s">
        <v>608</v>
      </c>
      <c r="Q2" s="359" t="s">
        <v>1</v>
      </c>
      <c r="R2" s="361" t="s">
        <v>609</v>
      </c>
    </row>
    <row r="3" spans="1:18" s="199" customFormat="1" ht="72.75" customHeight="1">
      <c r="A3" s="198" t="s">
        <v>3</v>
      </c>
      <c r="B3" s="199" t="s">
        <v>4</v>
      </c>
      <c r="C3" s="200" t="s">
        <v>5</v>
      </c>
      <c r="D3" s="200" t="s">
        <v>6</v>
      </c>
      <c r="E3" s="360"/>
      <c r="F3" s="356"/>
      <c r="G3" s="365"/>
      <c r="H3" s="358"/>
      <c r="I3" s="358"/>
      <c r="J3" s="360" t="s">
        <v>2</v>
      </c>
      <c r="K3" s="362"/>
      <c r="L3" s="360"/>
      <c r="M3" s="356"/>
      <c r="N3" s="365"/>
      <c r="O3" s="358"/>
      <c r="P3" s="358"/>
      <c r="Q3" s="360" t="s">
        <v>2</v>
      </c>
      <c r="R3" s="362"/>
    </row>
    <row r="4" spans="1:18" s="202" customFormat="1" ht="30.75" customHeight="1">
      <c r="A4" s="201" t="s">
        <v>3</v>
      </c>
      <c r="B4" s="202" t="s">
        <v>4</v>
      </c>
      <c r="C4" s="203" t="s">
        <v>132</v>
      </c>
      <c r="D4" s="203" t="s">
        <v>133</v>
      </c>
      <c r="E4" s="204" t="s">
        <v>144</v>
      </c>
      <c r="F4" s="205" t="s">
        <v>135</v>
      </c>
      <c r="G4" s="206" t="s">
        <v>136</v>
      </c>
      <c r="H4" s="205" t="s">
        <v>134</v>
      </c>
      <c r="I4" s="207" t="s">
        <v>602</v>
      </c>
      <c r="J4" s="204" t="s">
        <v>137</v>
      </c>
      <c r="K4" s="208" t="s">
        <v>138</v>
      </c>
      <c r="L4" s="204" t="s">
        <v>145</v>
      </c>
      <c r="M4" s="205" t="s">
        <v>139</v>
      </c>
      <c r="N4" s="206" t="s">
        <v>140</v>
      </c>
      <c r="O4" s="205" t="s">
        <v>141</v>
      </c>
      <c r="P4" s="207" t="s">
        <v>603</v>
      </c>
      <c r="Q4" s="204" t="s">
        <v>142</v>
      </c>
      <c r="R4" s="208" t="s">
        <v>143</v>
      </c>
    </row>
    <row r="5" spans="1:18" s="213" customFormat="1" ht="12.75">
      <c r="A5" s="24" t="s">
        <v>280</v>
      </c>
      <c r="B5" s="24"/>
      <c r="C5" s="25"/>
      <c r="D5" s="26">
        <v>1</v>
      </c>
      <c r="E5" s="209">
        <f>SUM(F5:K5)</f>
        <v>0</v>
      </c>
      <c r="F5" s="210"/>
      <c r="G5" s="210"/>
      <c r="H5" s="211"/>
      <c r="I5" s="211">
        <v>0</v>
      </c>
      <c r="J5" s="210"/>
      <c r="K5" s="211"/>
      <c r="L5" s="212">
        <f>SUM(M5:R5)</f>
        <v>0</v>
      </c>
      <c r="M5" s="210"/>
      <c r="N5" s="210"/>
      <c r="O5" s="211"/>
      <c r="P5" s="211">
        <v>0</v>
      </c>
      <c r="Q5" s="210"/>
      <c r="R5" s="211"/>
    </row>
    <row r="6" spans="1:18" s="213" customFormat="1" ht="12.75">
      <c r="A6" s="27" t="s">
        <v>281</v>
      </c>
      <c r="B6" s="27" t="s">
        <v>282</v>
      </c>
      <c r="C6" s="28">
        <v>106397</v>
      </c>
      <c r="D6" s="29">
        <v>2</v>
      </c>
      <c r="E6" s="209">
        <f aca="true" t="shared" si="0" ref="E6:E69">SUM(F6:K6)</f>
        <v>367507</v>
      </c>
      <c r="F6" s="210">
        <v>362126</v>
      </c>
      <c r="G6" s="210">
        <v>3014</v>
      </c>
      <c r="H6" s="211">
        <v>307</v>
      </c>
      <c r="I6" s="211">
        <v>2060</v>
      </c>
      <c r="J6" s="210"/>
      <c r="K6" s="214" t="s">
        <v>283</v>
      </c>
      <c r="L6" s="212">
        <f aca="true" t="shared" si="1" ref="L6:L69">SUM(M6:R6)</f>
        <v>60829</v>
      </c>
      <c r="M6" s="210">
        <v>53515</v>
      </c>
      <c r="N6" s="210">
        <v>1510</v>
      </c>
      <c r="O6" s="211">
        <v>1038</v>
      </c>
      <c r="P6" s="211">
        <v>4766</v>
      </c>
      <c r="Q6" s="210">
        <v>0</v>
      </c>
      <c r="R6" s="214" t="s">
        <v>283</v>
      </c>
    </row>
    <row r="7" spans="1:18" s="213" customFormat="1" ht="12.75">
      <c r="A7" s="27" t="s">
        <v>281</v>
      </c>
      <c r="B7" s="27" t="s">
        <v>284</v>
      </c>
      <c r="C7" s="28">
        <v>106458</v>
      </c>
      <c r="D7" s="29">
        <v>3</v>
      </c>
      <c r="E7" s="209">
        <f t="shared" si="0"/>
        <v>249518</v>
      </c>
      <c r="F7" s="210">
        <v>221544</v>
      </c>
      <c r="G7" s="210">
        <v>20786</v>
      </c>
      <c r="H7" s="211">
        <v>3468</v>
      </c>
      <c r="I7" s="211">
        <v>3629</v>
      </c>
      <c r="J7" s="210">
        <v>91</v>
      </c>
      <c r="K7" s="214" t="s">
        <v>283</v>
      </c>
      <c r="L7" s="212">
        <f t="shared" si="1"/>
        <v>18591</v>
      </c>
      <c r="M7" s="210">
        <v>15446</v>
      </c>
      <c r="N7" s="210">
        <v>1146</v>
      </c>
      <c r="O7" s="211">
        <v>1108</v>
      </c>
      <c r="P7" s="211">
        <v>822</v>
      </c>
      <c r="Q7" s="210">
        <v>69</v>
      </c>
      <c r="R7" s="214" t="s">
        <v>283</v>
      </c>
    </row>
    <row r="8" spans="1:18" s="213" customFormat="1" ht="12.75">
      <c r="A8" s="27" t="s">
        <v>281</v>
      </c>
      <c r="B8" s="27" t="s">
        <v>285</v>
      </c>
      <c r="C8" s="28">
        <v>106245</v>
      </c>
      <c r="D8" s="29">
        <v>3</v>
      </c>
      <c r="E8" s="209">
        <f t="shared" si="0"/>
        <v>217108</v>
      </c>
      <c r="F8" s="210">
        <v>171738</v>
      </c>
      <c r="G8" s="210">
        <v>10571</v>
      </c>
      <c r="H8" s="211">
        <v>25870</v>
      </c>
      <c r="I8" s="211">
        <v>129</v>
      </c>
      <c r="J8" s="210">
        <v>8800</v>
      </c>
      <c r="K8" s="214" t="s">
        <v>283</v>
      </c>
      <c r="L8" s="212">
        <f t="shared" si="1"/>
        <v>39444</v>
      </c>
      <c r="M8" s="210">
        <v>23022</v>
      </c>
      <c r="N8" s="210">
        <v>12339</v>
      </c>
      <c r="O8" s="211">
        <v>3653</v>
      </c>
      <c r="P8" s="211">
        <v>249</v>
      </c>
      <c r="Q8" s="210">
        <v>181</v>
      </c>
      <c r="R8" s="214" t="s">
        <v>283</v>
      </c>
    </row>
    <row r="9" spans="1:18" s="213" customFormat="1" ht="12.75">
      <c r="A9" s="27" t="s">
        <v>281</v>
      </c>
      <c r="B9" s="27" t="s">
        <v>286</v>
      </c>
      <c r="C9" s="28">
        <v>106704</v>
      </c>
      <c r="D9" s="29">
        <v>3</v>
      </c>
      <c r="E9" s="209">
        <f t="shared" si="0"/>
        <v>237738</v>
      </c>
      <c r="F9" s="210">
        <v>237472</v>
      </c>
      <c r="G9" s="210">
        <v>120</v>
      </c>
      <c r="H9" s="211">
        <v>146</v>
      </c>
      <c r="I9" s="211">
        <v>0</v>
      </c>
      <c r="J9" s="210"/>
      <c r="K9" s="214" t="s">
        <v>283</v>
      </c>
      <c r="L9" s="212">
        <f t="shared" si="1"/>
        <v>20317</v>
      </c>
      <c r="M9" s="210">
        <v>18851</v>
      </c>
      <c r="N9" s="210">
        <v>132</v>
      </c>
      <c r="O9" s="211">
        <v>902</v>
      </c>
      <c r="P9" s="211">
        <v>432</v>
      </c>
      <c r="Q9" s="210">
        <v>0</v>
      </c>
      <c r="R9" s="214" t="s">
        <v>283</v>
      </c>
    </row>
    <row r="10" spans="1:18" s="213" customFormat="1" ht="12.75">
      <c r="A10" s="27" t="s">
        <v>281</v>
      </c>
      <c r="B10" s="27" t="s">
        <v>287</v>
      </c>
      <c r="C10" s="28">
        <v>106467</v>
      </c>
      <c r="D10" s="29">
        <v>5</v>
      </c>
      <c r="E10" s="209">
        <f t="shared" si="0"/>
        <v>161708</v>
      </c>
      <c r="F10" s="210">
        <v>148952</v>
      </c>
      <c r="G10" s="210">
        <v>6725</v>
      </c>
      <c r="H10" s="211">
        <v>6022</v>
      </c>
      <c r="I10" s="211">
        <v>0</v>
      </c>
      <c r="J10" s="210">
        <v>9</v>
      </c>
      <c r="K10" s="214" t="s">
        <v>283</v>
      </c>
      <c r="L10" s="212">
        <f t="shared" si="1"/>
        <v>9627</v>
      </c>
      <c r="M10" s="210">
        <v>5934</v>
      </c>
      <c r="N10" s="210">
        <v>3075</v>
      </c>
      <c r="O10" s="211">
        <v>618</v>
      </c>
      <c r="P10" s="211">
        <v>0</v>
      </c>
      <c r="Q10" s="210">
        <v>0</v>
      </c>
      <c r="R10" s="214" t="s">
        <v>283</v>
      </c>
    </row>
    <row r="11" spans="1:18" s="213" customFormat="1" ht="12.75">
      <c r="A11" s="27" t="s">
        <v>281</v>
      </c>
      <c r="B11" s="27" t="s">
        <v>288</v>
      </c>
      <c r="C11" s="28">
        <v>107071</v>
      </c>
      <c r="D11" s="29">
        <v>5</v>
      </c>
      <c r="E11" s="209">
        <f t="shared" si="0"/>
        <v>91818</v>
      </c>
      <c r="F11" s="210">
        <v>91585</v>
      </c>
      <c r="G11" s="210">
        <v>141</v>
      </c>
      <c r="H11" s="211">
        <v>89</v>
      </c>
      <c r="I11" s="211">
        <v>3</v>
      </c>
      <c r="J11" s="210"/>
      <c r="K11" s="214" t="s">
        <v>283</v>
      </c>
      <c r="L11" s="212">
        <f t="shared" si="1"/>
        <v>6947</v>
      </c>
      <c r="M11" s="210">
        <v>6641</v>
      </c>
      <c r="N11" s="210">
        <v>138</v>
      </c>
      <c r="O11" s="211">
        <v>36</v>
      </c>
      <c r="P11" s="211">
        <v>132</v>
      </c>
      <c r="Q11" s="210">
        <v>0</v>
      </c>
      <c r="R11" s="214" t="s">
        <v>283</v>
      </c>
    </row>
    <row r="12" spans="1:18" s="213" customFormat="1" ht="12.75">
      <c r="A12" s="27" t="s">
        <v>281</v>
      </c>
      <c r="B12" s="27" t="s">
        <v>289</v>
      </c>
      <c r="C12" s="28">
        <v>107983</v>
      </c>
      <c r="D12" s="29">
        <v>5</v>
      </c>
      <c r="E12" s="209">
        <f t="shared" si="0"/>
        <v>82142</v>
      </c>
      <c r="F12" s="210">
        <v>81661</v>
      </c>
      <c r="G12" s="210">
        <v>337</v>
      </c>
      <c r="H12" s="211">
        <v>0</v>
      </c>
      <c r="I12" s="211">
        <v>144</v>
      </c>
      <c r="J12" s="210"/>
      <c r="K12" s="214" t="s">
        <v>283</v>
      </c>
      <c r="L12" s="212">
        <f t="shared" si="1"/>
        <v>2769</v>
      </c>
      <c r="M12" s="210">
        <v>2475</v>
      </c>
      <c r="N12" s="210">
        <v>192</v>
      </c>
      <c r="O12" s="211">
        <v>0</v>
      </c>
      <c r="P12" s="211">
        <v>102</v>
      </c>
      <c r="Q12" s="210">
        <v>0</v>
      </c>
      <c r="R12" s="214" t="s">
        <v>283</v>
      </c>
    </row>
    <row r="13" spans="1:18" s="213" customFormat="1" ht="12.75">
      <c r="A13" s="27" t="s">
        <v>281</v>
      </c>
      <c r="B13" s="27" t="s">
        <v>290</v>
      </c>
      <c r="C13" s="28">
        <v>106485</v>
      </c>
      <c r="D13" s="29">
        <v>6</v>
      </c>
      <c r="E13" s="209">
        <f t="shared" si="0"/>
        <v>69779</v>
      </c>
      <c r="F13" s="210">
        <v>62721</v>
      </c>
      <c r="G13" s="210">
        <v>3520</v>
      </c>
      <c r="H13" s="211">
        <v>1765</v>
      </c>
      <c r="I13" s="211">
        <v>1773</v>
      </c>
      <c r="J13" s="210"/>
      <c r="K13" s="214" t="s">
        <v>283</v>
      </c>
      <c r="L13" s="212">
        <f t="shared" si="1"/>
        <v>3125</v>
      </c>
      <c r="M13" s="210">
        <v>1763</v>
      </c>
      <c r="N13" s="210">
        <v>90</v>
      </c>
      <c r="O13" s="211">
        <v>1272</v>
      </c>
      <c r="P13" s="211">
        <v>0</v>
      </c>
      <c r="Q13" s="210">
        <v>0</v>
      </c>
      <c r="R13" s="214" t="s">
        <v>283</v>
      </c>
    </row>
    <row r="14" spans="1:18" s="213" customFormat="1" ht="12.75">
      <c r="A14" s="27" t="s">
        <v>281</v>
      </c>
      <c r="B14" s="27" t="s">
        <v>291</v>
      </c>
      <c r="C14" s="28">
        <v>106412</v>
      </c>
      <c r="D14" s="29">
        <v>6</v>
      </c>
      <c r="E14" s="209">
        <f t="shared" si="0"/>
        <v>90671</v>
      </c>
      <c r="F14" s="210">
        <v>88473</v>
      </c>
      <c r="G14" s="210">
        <v>1703</v>
      </c>
      <c r="H14" s="211">
        <v>0</v>
      </c>
      <c r="I14" s="211">
        <v>495</v>
      </c>
      <c r="J14" s="210"/>
      <c r="K14" s="214" t="s">
        <v>283</v>
      </c>
      <c r="L14" s="212">
        <f t="shared" si="1"/>
        <v>1704</v>
      </c>
      <c r="M14" s="210">
        <v>1704</v>
      </c>
      <c r="N14" s="210">
        <v>0</v>
      </c>
      <c r="O14" s="211">
        <v>0</v>
      </c>
      <c r="P14" s="211">
        <v>0</v>
      </c>
      <c r="Q14" s="210">
        <v>0</v>
      </c>
      <c r="R14" s="214" t="s">
        <v>283</v>
      </c>
    </row>
    <row r="15" spans="1:18" s="213" customFormat="1" ht="12.75">
      <c r="A15" s="27" t="s">
        <v>281</v>
      </c>
      <c r="B15" s="27" t="s">
        <v>292</v>
      </c>
      <c r="C15" s="28">
        <v>106449</v>
      </c>
      <c r="D15" s="29">
        <v>9</v>
      </c>
      <c r="E15" s="209">
        <f t="shared" si="0"/>
        <v>76452</v>
      </c>
      <c r="F15" s="210">
        <v>52299</v>
      </c>
      <c r="G15" s="210">
        <v>18076</v>
      </c>
      <c r="H15" s="211">
        <v>5786</v>
      </c>
      <c r="I15" s="211">
        <v>273</v>
      </c>
      <c r="J15" s="210">
        <v>18</v>
      </c>
      <c r="K15" s="214" t="s">
        <v>283</v>
      </c>
      <c r="L15" s="212">
        <f t="shared" si="1"/>
        <v>0</v>
      </c>
      <c r="M15" s="210"/>
      <c r="N15" s="210"/>
      <c r="O15" s="211"/>
      <c r="P15" s="211">
        <v>0</v>
      </c>
      <c r="Q15" s="210"/>
      <c r="R15" s="214"/>
    </row>
    <row r="16" spans="1:18" s="213" customFormat="1" ht="12.75">
      <c r="A16" s="27" t="s">
        <v>281</v>
      </c>
      <c r="B16" s="27" t="s">
        <v>293</v>
      </c>
      <c r="C16" s="28">
        <v>367459</v>
      </c>
      <c r="D16" s="29">
        <v>9</v>
      </c>
      <c r="E16" s="209">
        <f t="shared" si="0"/>
        <v>85421</v>
      </c>
      <c r="F16" s="210">
        <v>79520</v>
      </c>
      <c r="G16" s="210">
        <v>3400</v>
      </c>
      <c r="H16" s="211">
        <v>0</v>
      </c>
      <c r="I16" s="211">
        <v>36</v>
      </c>
      <c r="J16" s="210">
        <v>2465</v>
      </c>
      <c r="K16" s="214" t="s">
        <v>283</v>
      </c>
      <c r="L16" s="212">
        <f t="shared" si="1"/>
        <v>0</v>
      </c>
      <c r="M16" s="210"/>
      <c r="N16" s="210"/>
      <c r="O16" s="211"/>
      <c r="P16" s="211">
        <v>0</v>
      </c>
      <c r="Q16" s="210"/>
      <c r="R16" s="214"/>
    </row>
    <row r="17" spans="1:18" s="213" customFormat="1" ht="12.75">
      <c r="A17" s="27" t="s">
        <v>281</v>
      </c>
      <c r="B17" s="27" t="s">
        <v>294</v>
      </c>
      <c r="C17" s="28">
        <v>107664</v>
      </c>
      <c r="D17" s="29">
        <v>9</v>
      </c>
      <c r="E17" s="209">
        <f t="shared" si="0"/>
        <v>129673</v>
      </c>
      <c r="F17" s="210">
        <v>122409</v>
      </c>
      <c r="G17" s="210">
        <v>0</v>
      </c>
      <c r="H17" s="211">
        <v>7264</v>
      </c>
      <c r="I17" s="211">
        <v>0</v>
      </c>
      <c r="J17" s="210"/>
      <c r="K17" s="214" t="s">
        <v>283</v>
      </c>
      <c r="L17" s="212">
        <f t="shared" si="1"/>
        <v>0</v>
      </c>
      <c r="M17" s="210"/>
      <c r="N17" s="210"/>
      <c r="O17" s="211"/>
      <c r="P17" s="211">
        <v>0</v>
      </c>
      <c r="Q17" s="210"/>
      <c r="R17" s="214"/>
    </row>
    <row r="18" spans="1:18" s="213" customFormat="1" ht="12.75">
      <c r="A18" s="27" t="s">
        <v>281</v>
      </c>
      <c r="B18" s="27" t="s">
        <v>295</v>
      </c>
      <c r="C18" s="28">
        <v>108092</v>
      </c>
      <c r="D18" s="29">
        <v>7</v>
      </c>
      <c r="E18" s="209">
        <f t="shared" si="0"/>
        <v>137246</v>
      </c>
      <c r="F18" s="210">
        <v>125886</v>
      </c>
      <c r="G18" s="210">
        <v>2188</v>
      </c>
      <c r="H18" s="211">
        <v>9097</v>
      </c>
      <c r="I18" s="211">
        <v>75</v>
      </c>
      <c r="J18" s="210"/>
      <c r="K18" s="214" t="s">
        <v>283</v>
      </c>
      <c r="L18" s="212">
        <f t="shared" si="1"/>
        <v>0</v>
      </c>
      <c r="M18" s="210"/>
      <c r="N18" s="210"/>
      <c r="O18" s="211"/>
      <c r="P18" s="211">
        <v>0</v>
      </c>
      <c r="Q18" s="210"/>
      <c r="R18" s="214"/>
    </row>
    <row r="19" spans="1:18" s="213" customFormat="1" ht="12.75">
      <c r="A19" s="27" t="s">
        <v>281</v>
      </c>
      <c r="B19" s="27" t="s">
        <v>296</v>
      </c>
      <c r="C19" s="28">
        <v>107327</v>
      </c>
      <c r="D19" s="29">
        <v>10</v>
      </c>
      <c r="E19" s="209">
        <f t="shared" si="0"/>
        <v>47972</v>
      </c>
      <c r="F19" s="210">
        <v>45225</v>
      </c>
      <c r="G19" s="210">
        <v>755</v>
      </c>
      <c r="H19" s="211">
        <v>912</v>
      </c>
      <c r="I19" s="211">
        <v>1080</v>
      </c>
      <c r="J19" s="210"/>
      <c r="K19" s="214" t="s">
        <v>283</v>
      </c>
      <c r="L19" s="212">
        <f t="shared" si="1"/>
        <v>0</v>
      </c>
      <c r="M19" s="210"/>
      <c r="N19" s="210"/>
      <c r="O19" s="211"/>
      <c r="P19" s="211">
        <v>0</v>
      </c>
      <c r="Q19" s="210"/>
      <c r="R19" s="214"/>
    </row>
    <row r="20" spans="1:18" s="213" customFormat="1" ht="12.75">
      <c r="A20" s="27" t="s">
        <v>281</v>
      </c>
      <c r="B20" s="27" t="s">
        <v>297</v>
      </c>
      <c r="C20" s="28">
        <v>420538</v>
      </c>
      <c r="D20" s="29">
        <v>10</v>
      </c>
      <c r="E20" s="209">
        <f t="shared" si="0"/>
        <v>26809</v>
      </c>
      <c r="F20" s="210">
        <v>24856</v>
      </c>
      <c r="G20" s="210">
        <v>904</v>
      </c>
      <c r="H20" s="211">
        <v>1009</v>
      </c>
      <c r="I20" s="211">
        <v>40</v>
      </c>
      <c r="J20" s="210"/>
      <c r="K20" s="214" t="s">
        <v>283</v>
      </c>
      <c r="L20" s="212">
        <f t="shared" si="1"/>
        <v>0</v>
      </c>
      <c r="M20" s="210"/>
      <c r="N20" s="210"/>
      <c r="O20" s="211"/>
      <c r="P20" s="211">
        <v>0</v>
      </c>
      <c r="Q20" s="210"/>
      <c r="R20" s="214"/>
    </row>
    <row r="21" spans="1:18" s="213" customFormat="1" ht="12.75">
      <c r="A21" s="27" t="s">
        <v>281</v>
      </c>
      <c r="B21" s="27" t="s">
        <v>298</v>
      </c>
      <c r="C21" s="28">
        <v>440402</v>
      </c>
      <c r="D21" s="29">
        <v>10</v>
      </c>
      <c r="E21" s="209">
        <f t="shared" si="0"/>
        <v>22868</v>
      </c>
      <c r="F21" s="210">
        <v>19163</v>
      </c>
      <c r="G21" s="210">
        <v>1788</v>
      </c>
      <c r="H21" s="211">
        <v>1890</v>
      </c>
      <c r="I21" s="211">
        <v>27</v>
      </c>
      <c r="J21" s="210"/>
      <c r="K21" s="214" t="s">
        <v>283</v>
      </c>
      <c r="L21" s="212">
        <f t="shared" si="1"/>
        <v>0</v>
      </c>
      <c r="M21" s="210"/>
      <c r="N21" s="210"/>
      <c r="O21" s="211"/>
      <c r="P21" s="211">
        <v>0</v>
      </c>
      <c r="Q21" s="210"/>
      <c r="R21" s="214"/>
    </row>
    <row r="22" spans="1:18" s="213" customFormat="1" ht="12.75">
      <c r="A22" s="27" t="s">
        <v>281</v>
      </c>
      <c r="B22" s="27" t="s">
        <v>299</v>
      </c>
      <c r="C22" s="28">
        <v>106625</v>
      </c>
      <c r="D22" s="29">
        <v>10</v>
      </c>
      <c r="E22" s="209">
        <f t="shared" si="0"/>
        <v>43794</v>
      </c>
      <c r="F22" s="210">
        <v>35269</v>
      </c>
      <c r="G22" s="210">
        <v>5822</v>
      </c>
      <c r="H22" s="211">
        <v>2310</v>
      </c>
      <c r="I22" s="211">
        <v>0</v>
      </c>
      <c r="J22" s="210">
        <v>393</v>
      </c>
      <c r="K22" s="214" t="s">
        <v>283</v>
      </c>
      <c r="L22" s="212">
        <f t="shared" si="1"/>
        <v>0</v>
      </c>
      <c r="M22" s="210"/>
      <c r="N22" s="210"/>
      <c r="O22" s="211"/>
      <c r="P22" s="211">
        <v>0</v>
      </c>
      <c r="Q22" s="210"/>
      <c r="R22" s="214"/>
    </row>
    <row r="23" spans="1:18" s="213" customFormat="1" ht="12.75">
      <c r="A23" s="27" t="s">
        <v>281</v>
      </c>
      <c r="B23" s="27" t="s">
        <v>300</v>
      </c>
      <c r="C23" s="28">
        <v>106795</v>
      </c>
      <c r="D23" s="29">
        <v>10</v>
      </c>
      <c r="E23" s="209">
        <f t="shared" si="0"/>
        <v>21741</v>
      </c>
      <c r="F23" s="210">
        <v>8035</v>
      </c>
      <c r="G23" s="210">
        <v>5164</v>
      </c>
      <c r="H23" s="211">
        <v>7181</v>
      </c>
      <c r="I23" s="211">
        <v>1361</v>
      </c>
      <c r="J23" s="210"/>
      <c r="K23" s="214" t="s">
        <v>283</v>
      </c>
      <c r="L23" s="212">
        <f t="shared" si="1"/>
        <v>0</v>
      </c>
      <c r="M23" s="210"/>
      <c r="N23" s="210"/>
      <c r="O23" s="211"/>
      <c r="P23" s="211">
        <v>0</v>
      </c>
      <c r="Q23" s="210"/>
      <c r="R23" s="214"/>
    </row>
    <row r="24" spans="1:18" s="213" customFormat="1" ht="12.75">
      <c r="A24" s="27" t="s">
        <v>281</v>
      </c>
      <c r="B24" s="27" t="s">
        <v>301</v>
      </c>
      <c r="C24" s="28">
        <v>106883</v>
      </c>
      <c r="D24" s="29">
        <v>10</v>
      </c>
      <c r="E24" s="209">
        <f t="shared" si="0"/>
        <v>31856</v>
      </c>
      <c r="F24" s="210">
        <v>27899</v>
      </c>
      <c r="G24" s="210">
        <v>3108</v>
      </c>
      <c r="H24" s="211">
        <v>849</v>
      </c>
      <c r="I24" s="211">
        <v>0</v>
      </c>
      <c r="J24" s="210"/>
      <c r="K24" s="214" t="s">
        <v>283</v>
      </c>
      <c r="L24" s="212">
        <f t="shared" si="1"/>
        <v>0</v>
      </c>
      <c r="M24" s="210"/>
      <c r="N24" s="210"/>
      <c r="O24" s="211"/>
      <c r="P24" s="211">
        <v>0</v>
      </c>
      <c r="Q24" s="210"/>
      <c r="R24" s="214"/>
    </row>
    <row r="25" spans="1:18" s="213" customFormat="1" ht="12.75">
      <c r="A25" s="27" t="s">
        <v>281</v>
      </c>
      <c r="B25" s="27" t="s">
        <v>302</v>
      </c>
      <c r="C25" s="28">
        <v>107318</v>
      </c>
      <c r="D25" s="29">
        <v>10</v>
      </c>
      <c r="E25" s="209">
        <f t="shared" si="0"/>
        <v>20994</v>
      </c>
      <c r="F25" s="210">
        <v>19765</v>
      </c>
      <c r="G25" s="210">
        <v>351</v>
      </c>
      <c r="H25" s="211">
        <v>737</v>
      </c>
      <c r="I25" s="211">
        <v>0</v>
      </c>
      <c r="J25" s="210">
        <v>141</v>
      </c>
      <c r="K25" s="214" t="s">
        <v>283</v>
      </c>
      <c r="L25" s="212">
        <f t="shared" si="1"/>
        <v>0</v>
      </c>
      <c r="M25" s="210"/>
      <c r="N25" s="210"/>
      <c r="O25" s="211"/>
      <c r="P25" s="211">
        <v>0</v>
      </c>
      <c r="Q25" s="210"/>
      <c r="R25" s="214"/>
    </row>
    <row r="26" spans="1:18" s="213" customFormat="1" ht="12.75">
      <c r="A26" s="27" t="s">
        <v>281</v>
      </c>
      <c r="B26" s="27" t="s">
        <v>303</v>
      </c>
      <c r="C26" s="28">
        <v>106980</v>
      </c>
      <c r="D26" s="29">
        <v>10</v>
      </c>
      <c r="E26" s="209">
        <f t="shared" si="0"/>
        <v>56458</v>
      </c>
      <c r="F26" s="210">
        <v>50342</v>
      </c>
      <c r="G26" s="210">
        <v>5069</v>
      </c>
      <c r="H26" s="211">
        <v>0</v>
      </c>
      <c r="I26" s="211">
        <v>0</v>
      </c>
      <c r="J26" s="210">
        <v>1047</v>
      </c>
      <c r="K26" s="214" t="s">
        <v>283</v>
      </c>
      <c r="L26" s="212">
        <f t="shared" si="1"/>
        <v>0</v>
      </c>
      <c r="M26" s="210"/>
      <c r="N26" s="210"/>
      <c r="O26" s="211"/>
      <c r="P26" s="211">
        <v>0</v>
      </c>
      <c r="Q26" s="210"/>
      <c r="R26" s="214"/>
    </row>
    <row r="27" spans="1:18" s="213" customFormat="1" ht="12.75">
      <c r="A27" s="27" t="s">
        <v>281</v>
      </c>
      <c r="B27" s="27" t="s">
        <v>304</v>
      </c>
      <c r="C27" s="28">
        <v>107460</v>
      </c>
      <c r="D27" s="29">
        <v>10</v>
      </c>
      <c r="E27" s="209">
        <f t="shared" si="0"/>
        <v>47864</v>
      </c>
      <c r="F27" s="210">
        <v>44585</v>
      </c>
      <c r="G27" s="210">
        <v>1281</v>
      </c>
      <c r="H27" s="211">
        <v>0</v>
      </c>
      <c r="I27" s="211">
        <v>1998</v>
      </c>
      <c r="J27" s="210"/>
      <c r="K27" s="214" t="s">
        <v>283</v>
      </c>
      <c r="L27" s="212">
        <f t="shared" si="1"/>
        <v>0</v>
      </c>
      <c r="M27" s="210"/>
      <c r="N27" s="210"/>
      <c r="O27" s="211"/>
      <c r="P27" s="211">
        <v>0</v>
      </c>
      <c r="Q27" s="210"/>
      <c r="R27" s="214"/>
    </row>
    <row r="28" spans="1:18" s="213" customFormat="1" ht="12.75">
      <c r="A28" s="27" t="s">
        <v>281</v>
      </c>
      <c r="B28" s="27" t="s">
        <v>305</v>
      </c>
      <c r="C28" s="28">
        <v>107521</v>
      </c>
      <c r="D28" s="29">
        <v>10</v>
      </c>
      <c r="E28" s="209">
        <f t="shared" si="0"/>
        <v>23310</v>
      </c>
      <c r="F28" s="210">
        <v>18401</v>
      </c>
      <c r="G28" s="210">
        <v>3146</v>
      </c>
      <c r="H28" s="211">
        <v>1763</v>
      </c>
      <c r="I28" s="211">
        <v>0</v>
      </c>
      <c r="J28" s="210"/>
      <c r="K28" s="214" t="s">
        <v>283</v>
      </c>
      <c r="L28" s="212">
        <f t="shared" si="1"/>
        <v>0</v>
      </c>
      <c r="M28" s="210"/>
      <c r="N28" s="210"/>
      <c r="O28" s="211"/>
      <c r="P28" s="211">
        <v>0</v>
      </c>
      <c r="Q28" s="210"/>
      <c r="R28" s="214"/>
    </row>
    <row r="29" spans="1:18" s="213" customFormat="1" ht="12.75">
      <c r="A29" s="27" t="s">
        <v>281</v>
      </c>
      <c r="B29" s="27" t="s">
        <v>306</v>
      </c>
      <c r="C29" s="28">
        <v>107549</v>
      </c>
      <c r="D29" s="29">
        <v>10</v>
      </c>
      <c r="E29" s="209">
        <f t="shared" si="0"/>
        <v>21007</v>
      </c>
      <c r="F29" s="210">
        <v>13902</v>
      </c>
      <c r="G29" s="210">
        <v>2270</v>
      </c>
      <c r="H29" s="211">
        <v>1047</v>
      </c>
      <c r="I29" s="211">
        <v>2633</v>
      </c>
      <c r="J29" s="210">
        <v>1155</v>
      </c>
      <c r="K29" s="214" t="s">
        <v>283</v>
      </c>
      <c r="L29" s="212">
        <f t="shared" si="1"/>
        <v>0</v>
      </c>
      <c r="M29" s="210"/>
      <c r="N29" s="210"/>
      <c r="O29" s="211"/>
      <c r="P29" s="211">
        <v>0</v>
      </c>
      <c r="Q29" s="210"/>
      <c r="R29" s="214"/>
    </row>
    <row r="30" spans="1:18" s="213" customFormat="1" ht="12.75">
      <c r="A30" s="27" t="s">
        <v>281</v>
      </c>
      <c r="B30" s="27" t="s">
        <v>307</v>
      </c>
      <c r="C30" s="28">
        <v>107619</v>
      </c>
      <c r="D30" s="29">
        <v>10</v>
      </c>
      <c r="E30" s="209">
        <f t="shared" si="0"/>
        <v>46205</v>
      </c>
      <c r="F30" s="210">
        <v>39781</v>
      </c>
      <c r="G30" s="210">
        <v>3687</v>
      </c>
      <c r="H30" s="211">
        <v>0</v>
      </c>
      <c r="I30" s="211">
        <v>1633</v>
      </c>
      <c r="J30" s="210">
        <v>1104</v>
      </c>
      <c r="K30" s="214" t="s">
        <v>283</v>
      </c>
      <c r="L30" s="212">
        <f t="shared" si="1"/>
        <v>0</v>
      </c>
      <c r="M30" s="210"/>
      <c r="N30" s="210"/>
      <c r="O30" s="211"/>
      <c r="P30" s="211">
        <v>0</v>
      </c>
      <c r="Q30" s="210"/>
      <c r="R30" s="214"/>
    </row>
    <row r="31" spans="1:18" s="213" customFormat="1" ht="12.75">
      <c r="A31" s="27" t="s">
        <v>281</v>
      </c>
      <c r="B31" s="27" t="s">
        <v>308</v>
      </c>
      <c r="C31" s="28">
        <v>107743</v>
      </c>
      <c r="D31" s="29">
        <v>10</v>
      </c>
      <c r="E31" s="209">
        <f t="shared" si="0"/>
        <v>20523</v>
      </c>
      <c r="F31" s="210">
        <v>15930</v>
      </c>
      <c r="G31" s="210">
        <v>3395</v>
      </c>
      <c r="H31" s="211">
        <v>394</v>
      </c>
      <c r="I31" s="211">
        <v>0</v>
      </c>
      <c r="J31" s="210">
        <v>804</v>
      </c>
      <c r="K31" s="214" t="s">
        <v>283</v>
      </c>
      <c r="L31" s="212">
        <f t="shared" si="1"/>
        <v>0</v>
      </c>
      <c r="M31" s="210"/>
      <c r="N31" s="210"/>
      <c r="O31" s="211"/>
      <c r="P31" s="211">
        <v>0</v>
      </c>
      <c r="Q31" s="210"/>
      <c r="R31" s="214"/>
    </row>
    <row r="32" spans="1:18" s="213" customFormat="1" ht="12.75">
      <c r="A32" s="27" t="s">
        <v>281</v>
      </c>
      <c r="B32" s="27" t="s">
        <v>309</v>
      </c>
      <c r="C32" s="28">
        <v>107974</v>
      </c>
      <c r="D32" s="29">
        <v>10</v>
      </c>
      <c r="E32" s="209">
        <f t="shared" si="0"/>
        <v>25764</v>
      </c>
      <c r="F32" s="210">
        <v>25404</v>
      </c>
      <c r="G32" s="210">
        <v>0</v>
      </c>
      <c r="H32" s="211">
        <v>330</v>
      </c>
      <c r="I32" s="211">
        <v>0</v>
      </c>
      <c r="J32" s="210">
        <v>30</v>
      </c>
      <c r="K32" s="214" t="s">
        <v>283</v>
      </c>
      <c r="L32" s="212">
        <f t="shared" si="1"/>
        <v>0</v>
      </c>
      <c r="M32" s="210"/>
      <c r="N32" s="210"/>
      <c r="O32" s="211"/>
      <c r="P32" s="211">
        <v>0</v>
      </c>
      <c r="Q32" s="210"/>
      <c r="R32" s="214"/>
    </row>
    <row r="33" spans="1:18" s="213" customFormat="1" ht="12.75">
      <c r="A33" s="27" t="s">
        <v>281</v>
      </c>
      <c r="B33" s="27" t="s">
        <v>310</v>
      </c>
      <c r="C33" s="28">
        <v>107637</v>
      </c>
      <c r="D33" s="29">
        <v>10</v>
      </c>
      <c r="E33" s="209">
        <f t="shared" si="0"/>
        <v>52137</v>
      </c>
      <c r="F33" s="210">
        <v>43433</v>
      </c>
      <c r="G33" s="210">
        <v>3934</v>
      </c>
      <c r="H33" s="211">
        <v>0</v>
      </c>
      <c r="I33" s="211">
        <v>0</v>
      </c>
      <c r="J33" s="210">
        <v>4770</v>
      </c>
      <c r="K33" s="214" t="s">
        <v>283</v>
      </c>
      <c r="L33" s="212">
        <f t="shared" si="1"/>
        <v>0</v>
      </c>
      <c r="M33" s="210"/>
      <c r="N33" s="210"/>
      <c r="O33" s="211"/>
      <c r="P33" s="211">
        <v>0</v>
      </c>
      <c r="Q33" s="210"/>
      <c r="R33" s="214"/>
    </row>
    <row r="34" spans="1:18" s="213" customFormat="1" ht="12.75">
      <c r="A34" s="27" t="s">
        <v>281</v>
      </c>
      <c r="B34" s="27" t="s">
        <v>311</v>
      </c>
      <c r="C34" s="28">
        <v>107992</v>
      </c>
      <c r="D34" s="29">
        <v>10</v>
      </c>
      <c r="E34" s="209">
        <f t="shared" si="0"/>
        <v>25018</v>
      </c>
      <c r="F34" s="210">
        <v>15647</v>
      </c>
      <c r="G34" s="210">
        <v>3504</v>
      </c>
      <c r="H34" s="211">
        <v>0</v>
      </c>
      <c r="I34" s="211">
        <v>0</v>
      </c>
      <c r="J34" s="210">
        <v>5867</v>
      </c>
      <c r="K34" s="214" t="s">
        <v>283</v>
      </c>
      <c r="L34" s="212">
        <f t="shared" si="1"/>
        <v>0</v>
      </c>
      <c r="M34" s="210"/>
      <c r="N34" s="210"/>
      <c r="O34" s="211"/>
      <c r="P34" s="211">
        <v>0</v>
      </c>
      <c r="Q34" s="210"/>
      <c r="R34" s="214"/>
    </row>
    <row r="35" spans="1:18" s="213" customFormat="1" ht="12.75">
      <c r="A35" s="27" t="s">
        <v>281</v>
      </c>
      <c r="B35" s="27" t="s">
        <v>312</v>
      </c>
      <c r="C35" s="28">
        <v>106999</v>
      </c>
      <c r="D35" s="29">
        <v>10</v>
      </c>
      <c r="E35" s="209">
        <f t="shared" si="0"/>
        <v>29847</v>
      </c>
      <c r="F35" s="210">
        <v>28446</v>
      </c>
      <c r="G35" s="210">
        <v>1401</v>
      </c>
      <c r="H35" s="211">
        <v>0</v>
      </c>
      <c r="I35" s="211">
        <v>0</v>
      </c>
      <c r="J35" s="210"/>
      <c r="K35" s="214" t="s">
        <v>283</v>
      </c>
      <c r="L35" s="212">
        <f t="shared" si="1"/>
        <v>0</v>
      </c>
      <c r="M35" s="210"/>
      <c r="N35" s="210"/>
      <c r="O35" s="211"/>
      <c r="P35" s="211">
        <v>0</v>
      </c>
      <c r="Q35" s="210"/>
      <c r="R35" s="214"/>
    </row>
    <row r="36" spans="1:18" s="213" customFormat="1" ht="12.75">
      <c r="A36" s="27" t="s">
        <v>281</v>
      </c>
      <c r="B36" s="27" t="s">
        <v>313</v>
      </c>
      <c r="C36" s="28">
        <v>107725</v>
      </c>
      <c r="D36" s="29">
        <v>10</v>
      </c>
      <c r="E36" s="209">
        <f t="shared" si="0"/>
        <v>26367</v>
      </c>
      <c r="F36" s="210">
        <v>25111</v>
      </c>
      <c r="G36" s="210">
        <v>368</v>
      </c>
      <c r="H36" s="211">
        <v>888</v>
      </c>
      <c r="I36" s="211">
        <v>0</v>
      </c>
      <c r="J36" s="210"/>
      <c r="K36" s="214" t="s">
        <v>283</v>
      </c>
      <c r="L36" s="212">
        <f t="shared" si="1"/>
        <v>0</v>
      </c>
      <c r="M36" s="210"/>
      <c r="N36" s="210"/>
      <c r="O36" s="211"/>
      <c r="P36" s="211">
        <v>0</v>
      </c>
      <c r="Q36" s="210"/>
      <c r="R36" s="214"/>
    </row>
    <row r="37" spans="1:18" s="213" customFormat="1" ht="12.75">
      <c r="A37" s="27" t="s">
        <v>281</v>
      </c>
      <c r="B37" s="27" t="s">
        <v>314</v>
      </c>
      <c r="C37" s="28">
        <v>107585</v>
      </c>
      <c r="D37" s="29">
        <v>10</v>
      </c>
      <c r="E37" s="209">
        <f t="shared" si="0"/>
        <v>35685</v>
      </c>
      <c r="F37" s="210">
        <v>35607</v>
      </c>
      <c r="G37" s="210">
        <v>0</v>
      </c>
      <c r="H37" s="211">
        <v>78</v>
      </c>
      <c r="I37" s="211">
        <v>0</v>
      </c>
      <c r="J37" s="210"/>
      <c r="K37" s="214" t="s">
        <v>283</v>
      </c>
      <c r="L37" s="212">
        <f t="shared" si="1"/>
        <v>0</v>
      </c>
      <c r="M37" s="210"/>
      <c r="N37" s="210"/>
      <c r="O37" s="211"/>
      <c r="P37" s="211">
        <v>0</v>
      </c>
      <c r="Q37" s="210"/>
      <c r="R37" s="214"/>
    </row>
    <row r="38" spans="1:18" s="218" customFormat="1" ht="12.75">
      <c r="A38" s="30" t="s">
        <v>315</v>
      </c>
      <c r="B38" s="30"/>
      <c r="C38" s="31"/>
      <c r="D38" s="32">
        <v>1</v>
      </c>
      <c r="E38" s="209">
        <f t="shared" si="0"/>
        <v>0</v>
      </c>
      <c r="F38" s="215"/>
      <c r="G38" s="215"/>
      <c r="H38" s="216"/>
      <c r="I38" s="211">
        <v>0</v>
      </c>
      <c r="J38" s="215"/>
      <c r="K38" s="217"/>
      <c r="L38" s="212">
        <f t="shared" si="1"/>
        <v>0</v>
      </c>
      <c r="M38" s="215"/>
      <c r="N38" s="215"/>
      <c r="O38" s="216"/>
      <c r="P38" s="211">
        <v>0</v>
      </c>
      <c r="Q38" s="215"/>
      <c r="R38" s="217"/>
    </row>
    <row r="39" spans="1:18" s="213" customFormat="1" ht="12.75">
      <c r="A39" s="33" t="s">
        <v>316</v>
      </c>
      <c r="B39" s="33" t="s">
        <v>317</v>
      </c>
      <c r="C39" s="34">
        <v>134097</v>
      </c>
      <c r="D39" s="35">
        <v>1</v>
      </c>
      <c r="E39" s="209">
        <f t="shared" si="0"/>
        <v>833082</v>
      </c>
      <c r="F39" s="210">
        <v>780740</v>
      </c>
      <c r="G39" s="210">
        <v>35370</v>
      </c>
      <c r="H39" s="211">
        <v>16972</v>
      </c>
      <c r="I39" s="211">
        <v>0</v>
      </c>
      <c r="J39" s="210"/>
      <c r="K39" s="211"/>
      <c r="L39" s="212">
        <f t="shared" si="1"/>
        <v>147572</v>
      </c>
      <c r="M39" s="210">
        <v>128611</v>
      </c>
      <c r="N39" s="210">
        <v>9775</v>
      </c>
      <c r="O39" s="211">
        <v>9186</v>
      </c>
      <c r="P39" s="211">
        <v>0</v>
      </c>
      <c r="Q39" s="210"/>
      <c r="R39" s="211"/>
    </row>
    <row r="40" spans="1:18" s="213" customFormat="1" ht="12.75">
      <c r="A40" s="33" t="s">
        <v>316</v>
      </c>
      <c r="B40" s="33" t="s">
        <v>318</v>
      </c>
      <c r="C40" s="34">
        <v>134130</v>
      </c>
      <c r="D40" s="35">
        <v>1</v>
      </c>
      <c r="E40" s="209">
        <f t="shared" si="0"/>
        <v>985471</v>
      </c>
      <c r="F40" s="210">
        <v>691771</v>
      </c>
      <c r="G40" s="210">
        <v>4736</v>
      </c>
      <c r="H40" s="211">
        <v>57267</v>
      </c>
      <c r="I40" s="211">
        <v>94</v>
      </c>
      <c r="J40" s="210">
        <v>222627</v>
      </c>
      <c r="K40" s="211">
        <v>8976</v>
      </c>
      <c r="L40" s="212">
        <f t="shared" si="1"/>
        <v>259316</v>
      </c>
      <c r="M40" s="210">
        <v>214408</v>
      </c>
      <c r="N40" s="210">
        <v>7849</v>
      </c>
      <c r="O40" s="211">
        <v>6973</v>
      </c>
      <c r="P40" s="211">
        <v>1602</v>
      </c>
      <c r="Q40" s="210">
        <v>28463</v>
      </c>
      <c r="R40" s="211">
        <v>21</v>
      </c>
    </row>
    <row r="41" spans="1:18" s="213" customFormat="1" ht="12.75">
      <c r="A41" s="33" t="s">
        <v>316</v>
      </c>
      <c r="B41" s="33" t="s">
        <v>319</v>
      </c>
      <c r="C41" s="34">
        <v>137351</v>
      </c>
      <c r="D41" s="35">
        <v>1</v>
      </c>
      <c r="E41" s="209">
        <f t="shared" si="0"/>
        <v>784992</v>
      </c>
      <c r="F41" s="210">
        <v>601834</v>
      </c>
      <c r="G41" s="210">
        <v>116182</v>
      </c>
      <c r="H41" s="211">
        <v>25358</v>
      </c>
      <c r="I41" s="211">
        <v>2717</v>
      </c>
      <c r="J41" s="210">
        <v>38901</v>
      </c>
      <c r="K41" s="211"/>
      <c r="L41" s="212">
        <f t="shared" si="1"/>
        <v>143477.7</v>
      </c>
      <c r="M41" s="210">
        <v>90678.7</v>
      </c>
      <c r="N41" s="210">
        <v>36632</v>
      </c>
      <c r="O41" s="211">
        <v>12477</v>
      </c>
      <c r="P41" s="211">
        <v>642</v>
      </c>
      <c r="Q41" s="210">
        <v>3048</v>
      </c>
      <c r="R41" s="211"/>
    </row>
    <row r="42" spans="1:18" s="213" customFormat="1" ht="12.75">
      <c r="A42" s="33" t="s">
        <v>316</v>
      </c>
      <c r="B42" s="33" t="s">
        <v>320</v>
      </c>
      <c r="C42" s="34">
        <v>133669</v>
      </c>
      <c r="D42" s="35">
        <v>2</v>
      </c>
      <c r="E42" s="209">
        <f t="shared" si="0"/>
        <v>470036</v>
      </c>
      <c r="F42" s="210">
        <v>316997</v>
      </c>
      <c r="G42" s="210">
        <v>118425</v>
      </c>
      <c r="H42" s="211">
        <v>33002</v>
      </c>
      <c r="I42" s="211">
        <v>789</v>
      </c>
      <c r="J42" s="210">
        <v>823</v>
      </c>
      <c r="K42" s="211"/>
      <c r="L42" s="212">
        <f t="shared" si="1"/>
        <v>64151</v>
      </c>
      <c r="M42" s="210">
        <v>30089</v>
      </c>
      <c r="N42" s="210">
        <v>21325</v>
      </c>
      <c r="O42" s="211">
        <v>9822</v>
      </c>
      <c r="P42" s="211">
        <v>311</v>
      </c>
      <c r="Q42" s="210">
        <v>2604</v>
      </c>
      <c r="R42" s="211"/>
    </row>
    <row r="43" spans="1:18" s="213" customFormat="1" ht="12.75">
      <c r="A43" s="33" t="s">
        <v>316</v>
      </c>
      <c r="B43" s="33" t="s">
        <v>321</v>
      </c>
      <c r="C43" s="34">
        <v>133951</v>
      </c>
      <c r="D43" s="35">
        <v>2</v>
      </c>
      <c r="E43" s="209">
        <f t="shared" si="0"/>
        <v>704873</v>
      </c>
      <c r="F43" s="210">
        <v>519259</v>
      </c>
      <c r="G43" s="210">
        <v>153404</v>
      </c>
      <c r="H43" s="211">
        <v>14622</v>
      </c>
      <c r="I43" s="211">
        <v>64</v>
      </c>
      <c r="J43" s="210">
        <v>17524</v>
      </c>
      <c r="K43" s="211"/>
      <c r="L43" s="212">
        <f t="shared" si="1"/>
        <v>106265</v>
      </c>
      <c r="M43" s="210">
        <v>76772</v>
      </c>
      <c r="N43" s="210">
        <v>23462</v>
      </c>
      <c r="O43" s="211">
        <v>1528</v>
      </c>
      <c r="P43" s="211">
        <v>0</v>
      </c>
      <c r="Q43" s="210">
        <v>4503</v>
      </c>
      <c r="R43" s="211"/>
    </row>
    <row r="44" spans="1:18" s="213" customFormat="1" ht="12.75">
      <c r="A44" s="33" t="s">
        <v>316</v>
      </c>
      <c r="B44" s="33" t="s">
        <v>322</v>
      </c>
      <c r="C44" s="34">
        <v>132903</v>
      </c>
      <c r="D44" s="35">
        <v>2</v>
      </c>
      <c r="E44" s="209">
        <f t="shared" si="0"/>
        <v>892370</v>
      </c>
      <c r="F44" s="210">
        <v>761207</v>
      </c>
      <c r="G44" s="210">
        <v>50151</v>
      </c>
      <c r="H44" s="211">
        <v>73362</v>
      </c>
      <c r="I44" s="211">
        <v>4051</v>
      </c>
      <c r="J44" s="210">
        <v>3599</v>
      </c>
      <c r="K44" s="211"/>
      <c r="L44" s="212">
        <f t="shared" si="1"/>
        <v>113283.5</v>
      </c>
      <c r="M44" s="210">
        <v>76649</v>
      </c>
      <c r="N44" s="210">
        <v>16044.5</v>
      </c>
      <c r="O44" s="211">
        <v>17500</v>
      </c>
      <c r="P44" s="211">
        <v>90</v>
      </c>
      <c r="Q44" s="210">
        <v>3000</v>
      </c>
      <c r="R44" s="211"/>
    </row>
    <row r="45" spans="1:18" s="213" customFormat="1" ht="12.75">
      <c r="A45" s="33" t="s">
        <v>316</v>
      </c>
      <c r="B45" s="33" t="s">
        <v>323</v>
      </c>
      <c r="C45" s="34">
        <v>133650</v>
      </c>
      <c r="D45" s="35">
        <v>3</v>
      </c>
      <c r="E45" s="209">
        <f t="shared" si="0"/>
        <v>291999</v>
      </c>
      <c r="F45" s="352">
        <v>283720</v>
      </c>
      <c r="G45" s="210">
        <v>8279</v>
      </c>
      <c r="H45" s="211"/>
      <c r="I45" s="211">
        <v>0</v>
      </c>
      <c r="J45" s="210"/>
      <c r="K45" s="211"/>
      <c r="L45" s="212">
        <f t="shared" si="1"/>
        <v>33256</v>
      </c>
      <c r="M45" s="210">
        <v>27585</v>
      </c>
      <c r="N45" s="210">
        <v>5671</v>
      </c>
      <c r="O45" s="211"/>
      <c r="P45" s="211">
        <v>0</v>
      </c>
      <c r="Q45" s="210"/>
      <c r="R45" s="211"/>
    </row>
    <row r="46" spans="1:18" s="213" customFormat="1" ht="12.75">
      <c r="A46" s="33" t="s">
        <v>316</v>
      </c>
      <c r="B46" s="33" t="s">
        <v>324</v>
      </c>
      <c r="C46" s="34">
        <v>136172</v>
      </c>
      <c r="D46" s="35">
        <v>3</v>
      </c>
      <c r="E46" s="209">
        <f t="shared" si="0"/>
        <v>299210</v>
      </c>
      <c r="F46" s="210">
        <v>283273</v>
      </c>
      <c r="G46" s="210">
        <v>5633</v>
      </c>
      <c r="H46" s="211">
        <v>8150</v>
      </c>
      <c r="I46" s="211">
        <v>93</v>
      </c>
      <c r="J46" s="210">
        <v>2061</v>
      </c>
      <c r="K46" s="211"/>
      <c r="L46" s="212">
        <f t="shared" si="1"/>
        <v>30004</v>
      </c>
      <c r="M46" s="210">
        <v>24225</v>
      </c>
      <c r="N46" s="210">
        <v>3543</v>
      </c>
      <c r="O46" s="211">
        <v>1840</v>
      </c>
      <c r="P46" s="211">
        <v>0</v>
      </c>
      <c r="Q46" s="210">
        <v>396</v>
      </c>
      <c r="R46" s="211"/>
    </row>
    <row r="47" spans="1:18" s="213" customFormat="1" ht="12.75">
      <c r="A47" s="33" t="s">
        <v>316</v>
      </c>
      <c r="B47" s="33" t="s">
        <v>325</v>
      </c>
      <c r="C47" s="34">
        <v>138354</v>
      </c>
      <c r="D47" s="35">
        <v>3</v>
      </c>
      <c r="E47" s="209">
        <f t="shared" si="0"/>
        <v>194419</v>
      </c>
      <c r="F47" s="210">
        <v>175585</v>
      </c>
      <c r="G47" s="210">
        <v>14644</v>
      </c>
      <c r="H47" s="211">
        <v>4190</v>
      </c>
      <c r="I47" s="211">
        <v>0</v>
      </c>
      <c r="J47" s="210"/>
      <c r="K47" s="211"/>
      <c r="L47" s="212">
        <f t="shared" si="1"/>
        <v>21252</v>
      </c>
      <c r="M47" s="210">
        <v>16306.5</v>
      </c>
      <c r="N47" s="210">
        <v>3913.5</v>
      </c>
      <c r="O47" s="211">
        <v>1032</v>
      </c>
      <c r="P47" s="211">
        <v>0</v>
      </c>
      <c r="Q47" s="210"/>
      <c r="R47" s="211"/>
    </row>
    <row r="48" spans="1:18" s="213" customFormat="1" ht="12.75">
      <c r="A48" s="33" t="s">
        <v>316</v>
      </c>
      <c r="B48" s="33" t="s">
        <v>326</v>
      </c>
      <c r="C48" s="34">
        <v>433660</v>
      </c>
      <c r="D48" s="35">
        <v>5</v>
      </c>
      <c r="E48" s="209">
        <f t="shared" si="0"/>
        <v>108224</v>
      </c>
      <c r="F48" s="210">
        <v>92504</v>
      </c>
      <c r="G48" s="210">
        <v>2885</v>
      </c>
      <c r="H48" s="211">
        <v>12615</v>
      </c>
      <c r="I48" s="211">
        <v>0</v>
      </c>
      <c r="J48" s="210">
        <v>220</v>
      </c>
      <c r="K48" s="211"/>
      <c r="L48" s="212">
        <f t="shared" si="1"/>
        <v>15166</v>
      </c>
      <c r="M48" s="210">
        <v>10028</v>
      </c>
      <c r="N48" s="210">
        <v>999</v>
      </c>
      <c r="O48" s="211">
        <v>4139</v>
      </c>
      <c r="P48" s="211">
        <v>0</v>
      </c>
      <c r="Q48" s="210"/>
      <c r="R48" s="211"/>
    </row>
    <row r="49" spans="1:18" s="213" customFormat="1" ht="12.75">
      <c r="A49" s="36" t="s">
        <v>316</v>
      </c>
      <c r="B49" s="36" t="s">
        <v>327</v>
      </c>
      <c r="C49" s="37">
        <v>262129</v>
      </c>
      <c r="D49" s="38">
        <v>6</v>
      </c>
      <c r="E49" s="209">
        <f t="shared" si="0"/>
        <v>22736</v>
      </c>
      <c r="F49" s="353">
        <f>12744+9992</f>
        <v>22736</v>
      </c>
      <c r="G49" s="210"/>
      <c r="H49" s="211"/>
      <c r="I49" s="211">
        <v>0</v>
      </c>
      <c r="J49" s="210"/>
      <c r="K49" s="211"/>
      <c r="L49" s="212">
        <f t="shared" si="1"/>
        <v>0</v>
      </c>
      <c r="M49" s="210"/>
      <c r="N49" s="210"/>
      <c r="O49" s="211"/>
      <c r="P49" s="211">
        <v>0</v>
      </c>
      <c r="Q49" s="210"/>
      <c r="R49" s="211"/>
    </row>
    <row r="50" spans="1:18" s="213" customFormat="1" ht="12.75">
      <c r="A50" s="39" t="s">
        <v>316</v>
      </c>
      <c r="B50" s="39" t="s">
        <v>328</v>
      </c>
      <c r="C50" s="40">
        <v>132693</v>
      </c>
      <c r="D50" s="41">
        <v>8</v>
      </c>
      <c r="E50" s="209">
        <f t="shared" si="0"/>
        <v>268070</v>
      </c>
      <c r="F50" s="210">
        <v>235467</v>
      </c>
      <c r="G50" s="210">
        <v>0</v>
      </c>
      <c r="H50" s="211">
        <v>27535</v>
      </c>
      <c r="I50" s="211">
        <v>0</v>
      </c>
      <c r="J50" s="210">
        <v>5068</v>
      </c>
      <c r="K50" s="211">
        <v>0</v>
      </c>
      <c r="L50" s="212">
        <f t="shared" si="1"/>
        <v>0</v>
      </c>
      <c r="M50" s="210"/>
      <c r="N50" s="210"/>
      <c r="O50" s="211"/>
      <c r="P50" s="211">
        <v>0</v>
      </c>
      <c r="Q50" s="210"/>
      <c r="R50" s="211"/>
    </row>
    <row r="51" spans="1:18" s="213" customFormat="1" ht="12.75">
      <c r="A51" s="39" t="s">
        <v>316</v>
      </c>
      <c r="B51" s="39" t="s">
        <v>329</v>
      </c>
      <c r="C51" s="40">
        <v>132709</v>
      </c>
      <c r="D51" s="41">
        <v>8</v>
      </c>
      <c r="E51" s="209">
        <f t="shared" si="0"/>
        <v>656790</v>
      </c>
      <c r="F51" s="210">
        <v>631081</v>
      </c>
      <c r="G51" s="210">
        <v>0</v>
      </c>
      <c r="H51" s="211">
        <v>12901</v>
      </c>
      <c r="I51" s="211">
        <v>701</v>
      </c>
      <c r="J51" s="210">
        <v>8651</v>
      </c>
      <c r="K51" s="211">
        <v>3456</v>
      </c>
      <c r="L51" s="212">
        <f t="shared" si="1"/>
        <v>0</v>
      </c>
      <c r="M51" s="210"/>
      <c r="N51" s="210"/>
      <c r="O51" s="211"/>
      <c r="P51" s="211">
        <v>0</v>
      </c>
      <c r="Q51" s="210"/>
      <c r="R51" s="211"/>
    </row>
    <row r="52" spans="1:18" s="213" customFormat="1" ht="12.75">
      <c r="A52" s="39" t="s">
        <v>316</v>
      </c>
      <c r="B52" s="39" t="s">
        <v>330</v>
      </c>
      <c r="C52" s="40">
        <v>133386</v>
      </c>
      <c r="D52" s="41">
        <v>8</v>
      </c>
      <c r="E52" s="209">
        <f t="shared" si="0"/>
        <v>228552</v>
      </c>
      <c r="F52" s="210">
        <v>207945</v>
      </c>
      <c r="G52" s="210">
        <v>0</v>
      </c>
      <c r="H52" s="211">
        <v>10507</v>
      </c>
      <c r="I52" s="211">
        <v>4289</v>
      </c>
      <c r="J52" s="210">
        <v>5811</v>
      </c>
      <c r="K52" s="211">
        <v>0</v>
      </c>
      <c r="L52" s="212">
        <f t="shared" si="1"/>
        <v>0</v>
      </c>
      <c r="M52" s="210"/>
      <c r="N52" s="210"/>
      <c r="O52" s="211"/>
      <c r="P52" s="211">
        <v>0</v>
      </c>
      <c r="Q52" s="210"/>
      <c r="R52" s="211"/>
    </row>
    <row r="53" spans="1:18" s="213" customFormat="1" ht="12.75">
      <c r="A53" s="39" t="s">
        <v>316</v>
      </c>
      <c r="B53" s="39" t="s">
        <v>331</v>
      </c>
      <c r="C53" s="40">
        <v>133508</v>
      </c>
      <c r="D53" s="41">
        <v>8</v>
      </c>
      <c r="E53" s="209">
        <f t="shared" si="0"/>
        <v>206505</v>
      </c>
      <c r="F53" s="210">
        <v>189007</v>
      </c>
      <c r="G53" s="210">
        <v>0</v>
      </c>
      <c r="H53" s="211">
        <v>2531</v>
      </c>
      <c r="I53" s="211">
        <v>2076</v>
      </c>
      <c r="J53" s="210">
        <v>12891</v>
      </c>
      <c r="K53" s="211">
        <v>0</v>
      </c>
      <c r="L53" s="212">
        <f t="shared" si="1"/>
        <v>0</v>
      </c>
      <c r="M53" s="210"/>
      <c r="N53" s="210"/>
      <c r="O53" s="211"/>
      <c r="P53" s="211">
        <v>0</v>
      </c>
      <c r="Q53" s="210"/>
      <c r="R53" s="211"/>
    </row>
    <row r="54" spans="1:18" s="213" customFormat="1" ht="12.75">
      <c r="A54" s="39" t="s">
        <v>316</v>
      </c>
      <c r="B54" s="39" t="s">
        <v>332</v>
      </c>
      <c r="C54" s="40">
        <v>133702</v>
      </c>
      <c r="D54" s="41">
        <v>8</v>
      </c>
      <c r="E54" s="209">
        <f t="shared" si="0"/>
        <v>444369</v>
      </c>
      <c r="F54" s="210">
        <v>364525</v>
      </c>
      <c r="G54" s="210">
        <v>0</v>
      </c>
      <c r="H54" s="211">
        <v>61265</v>
      </c>
      <c r="I54" s="211">
        <v>0</v>
      </c>
      <c r="J54" s="210">
        <v>18067</v>
      </c>
      <c r="K54" s="211">
        <v>512</v>
      </c>
      <c r="L54" s="212">
        <f t="shared" si="1"/>
        <v>0</v>
      </c>
      <c r="M54" s="210"/>
      <c r="N54" s="210"/>
      <c r="O54" s="211"/>
      <c r="P54" s="211">
        <v>0</v>
      </c>
      <c r="Q54" s="210"/>
      <c r="R54" s="211"/>
    </row>
    <row r="55" spans="1:18" s="213" customFormat="1" ht="12.75">
      <c r="A55" s="39" t="s">
        <v>316</v>
      </c>
      <c r="B55" s="39" t="s">
        <v>333</v>
      </c>
      <c r="C55" s="40">
        <v>134495</v>
      </c>
      <c r="D55" s="41">
        <v>8</v>
      </c>
      <c r="E55" s="209">
        <f t="shared" si="0"/>
        <v>415696</v>
      </c>
      <c r="F55" s="210">
        <v>397380</v>
      </c>
      <c r="G55" s="210">
        <v>0</v>
      </c>
      <c r="H55" s="211">
        <v>7827</v>
      </c>
      <c r="I55" s="211">
        <v>0</v>
      </c>
      <c r="J55" s="210">
        <v>10237</v>
      </c>
      <c r="K55" s="211">
        <v>252</v>
      </c>
      <c r="L55" s="212">
        <f t="shared" si="1"/>
        <v>0</v>
      </c>
      <c r="M55" s="210"/>
      <c r="N55" s="210"/>
      <c r="O55" s="211"/>
      <c r="P55" s="211">
        <v>0</v>
      </c>
      <c r="Q55" s="210"/>
      <c r="R55" s="211"/>
    </row>
    <row r="56" spans="1:18" s="213" customFormat="1" ht="12.75">
      <c r="A56" s="39" t="s">
        <v>316</v>
      </c>
      <c r="B56" s="39" t="s">
        <v>334</v>
      </c>
      <c r="C56" s="40">
        <v>134608</v>
      </c>
      <c r="D56" s="41">
        <v>8</v>
      </c>
      <c r="E56" s="209">
        <f t="shared" si="0"/>
        <v>205894</v>
      </c>
      <c r="F56" s="210">
        <v>183683</v>
      </c>
      <c r="G56" s="210">
        <v>0</v>
      </c>
      <c r="H56" s="211">
        <v>16596</v>
      </c>
      <c r="I56" s="211">
        <v>5225</v>
      </c>
      <c r="J56" s="210">
        <v>390</v>
      </c>
      <c r="K56" s="211">
        <v>0</v>
      </c>
      <c r="L56" s="212">
        <f t="shared" si="1"/>
        <v>0</v>
      </c>
      <c r="M56" s="210"/>
      <c r="N56" s="210"/>
      <c r="O56" s="211"/>
      <c r="P56" s="211">
        <v>0</v>
      </c>
      <c r="Q56" s="210"/>
      <c r="R56" s="211"/>
    </row>
    <row r="57" spans="1:18" s="213" customFormat="1" ht="12.75">
      <c r="A57" s="39" t="s">
        <v>316</v>
      </c>
      <c r="B57" s="39" t="s">
        <v>335</v>
      </c>
      <c r="C57" s="40">
        <v>135391</v>
      </c>
      <c r="D57" s="41">
        <v>8</v>
      </c>
      <c r="E57" s="209">
        <f t="shared" si="0"/>
        <v>186798</v>
      </c>
      <c r="F57" s="210">
        <v>175404</v>
      </c>
      <c r="G57" s="210">
        <v>0</v>
      </c>
      <c r="H57" s="211">
        <v>7292</v>
      </c>
      <c r="I57" s="211">
        <v>820</v>
      </c>
      <c r="J57" s="210">
        <v>3282</v>
      </c>
      <c r="K57" s="211">
        <v>0</v>
      </c>
      <c r="L57" s="212">
        <f t="shared" si="1"/>
        <v>0</v>
      </c>
      <c r="M57" s="210"/>
      <c r="N57" s="210"/>
      <c r="O57" s="211"/>
      <c r="P57" s="211">
        <v>0</v>
      </c>
      <c r="Q57" s="210"/>
      <c r="R57" s="211"/>
    </row>
    <row r="58" spans="1:18" s="213" customFormat="1" ht="12.75">
      <c r="A58" s="39" t="s">
        <v>316</v>
      </c>
      <c r="B58" s="39" t="s">
        <v>336</v>
      </c>
      <c r="C58" s="40">
        <v>135717</v>
      </c>
      <c r="D58" s="41">
        <v>8</v>
      </c>
      <c r="E58" s="209">
        <f t="shared" si="0"/>
        <v>1355445</v>
      </c>
      <c r="F58" s="210">
        <v>1324343</v>
      </c>
      <c r="G58" s="210">
        <v>0</v>
      </c>
      <c r="H58" s="211">
        <v>16333</v>
      </c>
      <c r="I58" s="211">
        <v>0</v>
      </c>
      <c r="J58" s="210">
        <v>555</v>
      </c>
      <c r="K58" s="211">
        <v>14214</v>
      </c>
      <c r="L58" s="212">
        <f t="shared" si="1"/>
        <v>0</v>
      </c>
      <c r="M58" s="210"/>
      <c r="N58" s="210"/>
      <c r="O58" s="211"/>
      <c r="P58" s="211">
        <v>0</v>
      </c>
      <c r="Q58" s="210"/>
      <c r="R58" s="211"/>
    </row>
    <row r="59" spans="1:18" s="213" customFormat="1" ht="12.75">
      <c r="A59" s="39" t="s">
        <v>316</v>
      </c>
      <c r="B59" s="39" t="s">
        <v>337</v>
      </c>
      <c r="C59" s="40">
        <v>136358</v>
      </c>
      <c r="D59" s="41">
        <v>8</v>
      </c>
      <c r="E59" s="209">
        <f t="shared" si="0"/>
        <v>387019</v>
      </c>
      <c r="F59" s="210">
        <v>365560</v>
      </c>
      <c r="G59" s="210">
        <v>0</v>
      </c>
      <c r="H59" s="211">
        <v>10786</v>
      </c>
      <c r="I59" s="211">
        <v>957</v>
      </c>
      <c r="J59" s="210">
        <v>7015</v>
      </c>
      <c r="K59" s="211">
        <v>2701</v>
      </c>
      <c r="L59" s="212">
        <f t="shared" si="1"/>
        <v>0</v>
      </c>
      <c r="M59" s="210"/>
      <c r="N59" s="210"/>
      <c r="O59" s="211"/>
      <c r="P59" s="211">
        <v>0</v>
      </c>
      <c r="Q59" s="210"/>
      <c r="R59" s="211"/>
    </row>
    <row r="60" spans="1:18" s="213" customFormat="1" ht="12.75">
      <c r="A60" s="39" t="s">
        <v>316</v>
      </c>
      <c r="B60" s="39" t="s">
        <v>338</v>
      </c>
      <c r="C60" s="40">
        <v>136473</v>
      </c>
      <c r="D60" s="41">
        <v>8</v>
      </c>
      <c r="E60" s="209">
        <f t="shared" si="0"/>
        <v>214237</v>
      </c>
      <c r="F60" s="210">
        <v>203540</v>
      </c>
      <c r="G60" s="210">
        <v>0</v>
      </c>
      <c r="H60" s="211">
        <v>7156</v>
      </c>
      <c r="I60" s="211">
        <v>0</v>
      </c>
      <c r="J60" s="210">
        <v>3541</v>
      </c>
      <c r="K60" s="211">
        <v>0</v>
      </c>
      <c r="L60" s="212">
        <f t="shared" si="1"/>
        <v>0</v>
      </c>
      <c r="M60" s="210"/>
      <c r="N60" s="210"/>
      <c r="O60" s="211"/>
      <c r="P60" s="211">
        <v>0</v>
      </c>
      <c r="Q60" s="210"/>
      <c r="R60" s="211"/>
    </row>
    <row r="61" spans="1:18" s="213" customFormat="1" ht="12.75">
      <c r="A61" s="39" t="s">
        <v>316</v>
      </c>
      <c r="B61" s="39" t="s">
        <v>339</v>
      </c>
      <c r="C61" s="40">
        <v>137096</v>
      </c>
      <c r="D61" s="41">
        <v>8</v>
      </c>
      <c r="E61" s="209">
        <f t="shared" si="0"/>
        <v>315389</v>
      </c>
      <c r="F61" s="210">
        <v>306416</v>
      </c>
      <c r="G61" s="210">
        <v>0</v>
      </c>
      <c r="H61" s="211">
        <v>7931</v>
      </c>
      <c r="I61" s="211">
        <v>462</v>
      </c>
      <c r="J61" s="210">
        <v>570</v>
      </c>
      <c r="K61" s="211">
        <v>10</v>
      </c>
      <c r="L61" s="212">
        <f t="shared" si="1"/>
        <v>0</v>
      </c>
      <c r="M61" s="210"/>
      <c r="N61" s="210"/>
      <c r="O61" s="211"/>
      <c r="P61" s="211">
        <v>0</v>
      </c>
      <c r="Q61" s="210"/>
      <c r="R61" s="211"/>
    </row>
    <row r="62" spans="1:18" s="213" customFormat="1" ht="12.75">
      <c r="A62" s="39" t="s">
        <v>316</v>
      </c>
      <c r="B62" s="39" t="s">
        <v>340</v>
      </c>
      <c r="C62" s="40">
        <v>137209</v>
      </c>
      <c r="D62" s="41">
        <v>8</v>
      </c>
      <c r="E62" s="209">
        <f t="shared" si="0"/>
        <v>238217</v>
      </c>
      <c r="F62" s="210">
        <v>216541</v>
      </c>
      <c r="G62" s="210">
        <v>0</v>
      </c>
      <c r="H62" s="211">
        <v>13936</v>
      </c>
      <c r="I62" s="211">
        <v>90</v>
      </c>
      <c r="J62" s="210">
        <v>7650</v>
      </c>
      <c r="K62" s="211">
        <v>0</v>
      </c>
      <c r="L62" s="212">
        <f t="shared" si="1"/>
        <v>0</v>
      </c>
      <c r="M62" s="210"/>
      <c r="N62" s="210"/>
      <c r="O62" s="211"/>
      <c r="P62" s="211">
        <v>0</v>
      </c>
      <c r="Q62" s="210"/>
      <c r="R62" s="211"/>
    </row>
    <row r="63" spans="1:18" s="213" customFormat="1" ht="12.75">
      <c r="A63" s="39" t="s">
        <v>316</v>
      </c>
      <c r="B63" s="39" t="s">
        <v>341</v>
      </c>
      <c r="C63" s="40">
        <v>137078</v>
      </c>
      <c r="D63" s="41">
        <v>8</v>
      </c>
      <c r="E63" s="209">
        <f t="shared" si="0"/>
        <v>460723</v>
      </c>
      <c r="F63" s="210">
        <v>371445</v>
      </c>
      <c r="G63" s="210">
        <v>0</v>
      </c>
      <c r="H63" s="211">
        <v>74588</v>
      </c>
      <c r="I63" s="211">
        <v>0</v>
      </c>
      <c r="J63" s="210">
        <v>13948</v>
      </c>
      <c r="K63" s="211">
        <v>742</v>
      </c>
      <c r="L63" s="212">
        <f t="shared" si="1"/>
        <v>0</v>
      </c>
      <c r="M63" s="210"/>
      <c r="N63" s="210"/>
      <c r="O63" s="211"/>
      <c r="P63" s="211">
        <v>0</v>
      </c>
      <c r="Q63" s="210"/>
      <c r="R63" s="211"/>
    </row>
    <row r="64" spans="1:18" s="213" customFormat="1" ht="12.75">
      <c r="A64" s="39" t="s">
        <v>316</v>
      </c>
      <c r="B64" s="39" t="s">
        <v>342</v>
      </c>
      <c r="C64" s="40">
        <v>137759</v>
      </c>
      <c r="D64" s="41">
        <v>8</v>
      </c>
      <c r="E64" s="209">
        <f t="shared" si="0"/>
        <v>261858</v>
      </c>
      <c r="F64" s="210">
        <v>245174</v>
      </c>
      <c r="G64" s="210">
        <v>0</v>
      </c>
      <c r="H64" s="211">
        <v>14541</v>
      </c>
      <c r="I64" s="211">
        <v>0</v>
      </c>
      <c r="J64" s="210">
        <v>2143</v>
      </c>
      <c r="K64" s="211">
        <v>0</v>
      </c>
      <c r="L64" s="212">
        <f t="shared" si="1"/>
        <v>0</v>
      </c>
      <c r="M64" s="210"/>
      <c r="N64" s="210"/>
      <c r="O64" s="211"/>
      <c r="P64" s="211">
        <v>0</v>
      </c>
      <c r="Q64" s="210"/>
      <c r="R64" s="211"/>
    </row>
    <row r="65" spans="1:18" s="213" customFormat="1" ht="12.75">
      <c r="A65" s="39" t="s">
        <v>316</v>
      </c>
      <c r="B65" s="39" t="s">
        <v>343</v>
      </c>
      <c r="C65" s="40">
        <v>138187</v>
      </c>
      <c r="D65" s="41">
        <v>8</v>
      </c>
      <c r="E65" s="209">
        <f t="shared" si="0"/>
        <v>614513</v>
      </c>
      <c r="F65" s="210">
        <v>582108</v>
      </c>
      <c r="G65" s="210">
        <v>0</v>
      </c>
      <c r="H65" s="211">
        <v>19868</v>
      </c>
      <c r="I65" s="211">
        <v>0</v>
      </c>
      <c r="J65" s="210">
        <v>12537</v>
      </c>
      <c r="K65" s="211">
        <v>0</v>
      </c>
      <c r="L65" s="212">
        <f t="shared" si="1"/>
        <v>0</v>
      </c>
      <c r="M65" s="210"/>
      <c r="N65" s="210"/>
      <c r="O65" s="211"/>
      <c r="P65" s="211">
        <v>0</v>
      </c>
      <c r="Q65" s="210"/>
      <c r="R65" s="211"/>
    </row>
    <row r="66" spans="1:18" s="213" customFormat="1" ht="12.75">
      <c r="A66" s="39" t="s">
        <v>316</v>
      </c>
      <c r="B66" s="39" t="s">
        <v>344</v>
      </c>
      <c r="C66" s="40">
        <v>132851</v>
      </c>
      <c r="D66" s="41">
        <v>9</v>
      </c>
      <c r="E66" s="209">
        <f t="shared" si="0"/>
        <v>118149</v>
      </c>
      <c r="F66" s="210">
        <v>111388</v>
      </c>
      <c r="G66" s="210">
        <v>0</v>
      </c>
      <c r="H66" s="211">
        <v>5600</v>
      </c>
      <c r="I66" s="211">
        <v>45</v>
      </c>
      <c r="J66" s="210">
        <v>1116</v>
      </c>
      <c r="K66" s="211">
        <v>0</v>
      </c>
      <c r="L66" s="212">
        <f t="shared" si="1"/>
        <v>0</v>
      </c>
      <c r="M66" s="210"/>
      <c r="N66" s="210"/>
      <c r="O66" s="211"/>
      <c r="P66" s="211">
        <v>0</v>
      </c>
      <c r="Q66" s="210"/>
      <c r="R66" s="211"/>
    </row>
    <row r="67" spans="1:18" s="213" customFormat="1" ht="12.75">
      <c r="A67" s="39" t="s">
        <v>316</v>
      </c>
      <c r="B67" s="39" t="s">
        <v>345</v>
      </c>
      <c r="C67" s="40">
        <v>134343</v>
      </c>
      <c r="D67" s="41">
        <v>9</v>
      </c>
      <c r="E67" s="209">
        <f t="shared" si="0"/>
        <v>121846</v>
      </c>
      <c r="F67" s="210">
        <v>107158</v>
      </c>
      <c r="G67" s="210">
        <v>0</v>
      </c>
      <c r="H67" s="211">
        <v>5117</v>
      </c>
      <c r="I67" s="211">
        <v>166</v>
      </c>
      <c r="J67" s="210">
        <v>9060</v>
      </c>
      <c r="K67" s="211">
        <v>345</v>
      </c>
      <c r="L67" s="212">
        <f t="shared" si="1"/>
        <v>0</v>
      </c>
      <c r="M67" s="210"/>
      <c r="N67" s="210"/>
      <c r="O67" s="211"/>
      <c r="P67" s="211">
        <v>0</v>
      </c>
      <c r="Q67" s="210"/>
      <c r="R67" s="211"/>
    </row>
    <row r="68" spans="1:18" s="213" customFormat="1" ht="12.75">
      <c r="A68" s="39" t="s">
        <v>316</v>
      </c>
      <c r="B68" s="39" t="s">
        <v>346</v>
      </c>
      <c r="C68" s="40">
        <v>136233</v>
      </c>
      <c r="D68" s="41">
        <v>9</v>
      </c>
      <c r="E68" s="209">
        <f t="shared" si="0"/>
        <v>140888</v>
      </c>
      <c r="F68" s="210">
        <v>122235</v>
      </c>
      <c r="G68" s="210">
        <v>0</v>
      </c>
      <c r="H68" s="211">
        <v>7516</v>
      </c>
      <c r="I68" s="211">
        <v>0</v>
      </c>
      <c r="J68" s="210">
        <v>0</v>
      </c>
      <c r="K68" s="211">
        <v>11137</v>
      </c>
      <c r="L68" s="212">
        <f t="shared" si="1"/>
        <v>0</v>
      </c>
      <c r="M68" s="210"/>
      <c r="N68" s="210"/>
      <c r="O68" s="211"/>
      <c r="P68" s="211">
        <v>0</v>
      </c>
      <c r="Q68" s="210"/>
      <c r="R68" s="211"/>
    </row>
    <row r="69" spans="1:18" s="213" customFormat="1" ht="12.75">
      <c r="A69" s="39" t="s">
        <v>316</v>
      </c>
      <c r="B69" s="39" t="s">
        <v>347</v>
      </c>
      <c r="C69" s="40">
        <v>136400</v>
      </c>
      <c r="D69" s="41">
        <v>9</v>
      </c>
      <c r="E69" s="209">
        <f t="shared" si="0"/>
        <v>121137</v>
      </c>
      <c r="F69" s="210">
        <v>110373</v>
      </c>
      <c r="G69" s="210">
        <v>0</v>
      </c>
      <c r="H69" s="211">
        <v>2040</v>
      </c>
      <c r="I69" s="211">
        <v>369</v>
      </c>
      <c r="J69" s="210">
        <v>8355</v>
      </c>
      <c r="K69" s="211">
        <v>0</v>
      </c>
      <c r="L69" s="212">
        <f t="shared" si="1"/>
        <v>0</v>
      </c>
      <c r="M69" s="210"/>
      <c r="N69" s="210"/>
      <c r="O69" s="211"/>
      <c r="P69" s="211">
        <v>0</v>
      </c>
      <c r="Q69" s="210"/>
      <c r="R69" s="211"/>
    </row>
    <row r="70" spans="1:18" s="213" customFormat="1" ht="12.75">
      <c r="A70" s="39" t="s">
        <v>316</v>
      </c>
      <c r="B70" s="39" t="s">
        <v>348</v>
      </c>
      <c r="C70" s="40">
        <v>136516</v>
      </c>
      <c r="D70" s="41">
        <v>9</v>
      </c>
      <c r="E70" s="209">
        <f aca="true" t="shared" si="2" ref="E70:E133">SUM(F70:K70)</f>
        <v>127472</v>
      </c>
      <c r="F70" s="210">
        <v>121457</v>
      </c>
      <c r="G70" s="210">
        <v>0</v>
      </c>
      <c r="H70" s="211">
        <v>4593</v>
      </c>
      <c r="I70" s="211">
        <v>0</v>
      </c>
      <c r="J70" s="210">
        <v>1422</v>
      </c>
      <c r="K70" s="211">
        <v>0</v>
      </c>
      <c r="L70" s="212">
        <f aca="true" t="shared" si="3" ref="L70:L133">SUM(M70:R70)</f>
        <v>0</v>
      </c>
      <c r="M70" s="210"/>
      <c r="N70" s="210"/>
      <c r="O70" s="211"/>
      <c r="P70" s="211">
        <v>0</v>
      </c>
      <c r="Q70" s="210"/>
      <c r="R70" s="211"/>
    </row>
    <row r="71" spans="1:18" s="213" customFormat="1" ht="12.75">
      <c r="A71" s="39" t="s">
        <v>316</v>
      </c>
      <c r="B71" s="39" t="s">
        <v>349</v>
      </c>
      <c r="C71" s="40">
        <v>137315</v>
      </c>
      <c r="D71" s="41">
        <v>9</v>
      </c>
      <c r="E71" s="209">
        <f t="shared" si="2"/>
        <v>39663</v>
      </c>
      <c r="F71" s="210">
        <v>33108</v>
      </c>
      <c r="G71" s="210">
        <v>0</v>
      </c>
      <c r="H71" s="211">
        <v>174</v>
      </c>
      <c r="I71" s="211">
        <v>1859</v>
      </c>
      <c r="J71" s="210">
        <v>4522</v>
      </c>
      <c r="K71" s="211">
        <v>0</v>
      </c>
      <c r="L71" s="212">
        <f t="shared" si="3"/>
        <v>0</v>
      </c>
      <c r="M71" s="210"/>
      <c r="N71" s="210"/>
      <c r="O71" s="211"/>
      <c r="P71" s="211">
        <v>0</v>
      </c>
      <c r="Q71" s="210"/>
      <c r="R71" s="211"/>
    </row>
    <row r="72" spans="1:18" s="213" customFormat="1" ht="12.75">
      <c r="A72" s="39" t="s">
        <v>316</v>
      </c>
      <c r="B72" s="39" t="s">
        <v>350</v>
      </c>
      <c r="C72" s="40">
        <v>137281</v>
      </c>
      <c r="D72" s="41">
        <v>9</v>
      </c>
      <c r="E72" s="209">
        <f t="shared" si="2"/>
        <v>88963</v>
      </c>
      <c r="F72" s="210">
        <v>83295</v>
      </c>
      <c r="G72" s="210">
        <v>0</v>
      </c>
      <c r="H72" s="211">
        <v>3838</v>
      </c>
      <c r="I72" s="211">
        <v>0</v>
      </c>
      <c r="J72" s="210">
        <v>1830</v>
      </c>
      <c r="K72" s="211">
        <v>0</v>
      </c>
      <c r="L72" s="212">
        <f t="shared" si="3"/>
        <v>0</v>
      </c>
      <c r="M72" s="210"/>
      <c r="N72" s="210"/>
      <c r="O72" s="211"/>
      <c r="P72" s="211">
        <v>0</v>
      </c>
      <c r="Q72" s="210"/>
      <c r="R72" s="211"/>
    </row>
    <row r="73" spans="1:18" s="213" customFormat="1" ht="12.75">
      <c r="A73" s="39" t="s">
        <v>316</v>
      </c>
      <c r="B73" s="39" t="s">
        <v>351</v>
      </c>
      <c r="C73" s="40">
        <v>133021</v>
      </c>
      <c r="D73" s="41">
        <v>10</v>
      </c>
      <c r="E73" s="209">
        <f t="shared" si="2"/>
        <v>41549</v>
      </c>
      <c r="F73" s="210">
        <v>39547</v>
      </c>
      <c r="G73" s="210">
        <v>0</v>
      </c>
      <c r="H73" s="211">
        <v>704</v>
      </c>
      <c r="I73" s="211">
        <v>0</v>
      </c>
      <c r="J73" s="210">
        <v>0</v>
      </c>
      <c r="K73" s="211">
        <v>1298</v>
      </c>
      <c r="L73" s="212">
        <f t="shared" si="3"/>
        <v>0</v>
      </c>
      <c r="M73" s="210"/>
      <c r="N73" s="210"/>
      <c r="O73" s="211"/>
      <c r="P73" s="211">
        <v>0</v>
      </c>
      <c r="Q73" s="210"/>
      <c r="R73" s="211"/>
    </row>
    <row r="74" spans="1:18" s="213" customFormat="1" ht="12.75">
      <c r="A74" s="39" t="s">
        <v>316</v>
      </c>
      <c r="B74" s="39" t="s">
        <v>352</v>
      </c>
      <c r="C74" s="40">
        <v>133960</v>
      </c>
      <c r="D74" s="41">
        <v>10</v>
      </c>
      <c r="E74" s="209">
        <f t="shared" si="2"/>
        <v>25740</v>
      </c>
      <c r="F74" s="210">
        <v>23676</v>
      </c>
      <c r="G74" s="210">
        <v>0</v>
      </c>
      <c r="H74" s="211">
        <v>93</v>
      </c>
      <c r="I74" s="211">
        <v>510</v>
      </c>
      <c r="J74" s="210">
        <v>960</v>
      </c>
      <c r="K74" s="211">
        <v>501</v>
      </c>
      <c r="L74" s="212">
        <f t="shared" si="3"/>
        <v>0</v>
      </c>
      <c r="M74" s="210"/>
      <c r="N74" s="210"/>
      <c r="O74" s="211"/>
      <c r="P74" s="211">
        <v>0</v>
      </c>
      <c r="Q74" s="210"/>
      <c r="R74" s="211"/>
    </row>
    <row r="75" spans="1:18" s="213" customFormat="1" ht="12.75">
      <c r="A75" s="39" t="s">
        <v>316</v>
      </c>
      <c r="B75" s="39" t="s">
        <v>353</v>
      </c>
      <c r="C75" s="40">
        <v>135160</v>
      </c>
      <c r="D75" s="41">
        <v>10</v>
      </c>
      <c r="E75" s="209">
        <f t="shared" si="2"/>
        <v>50293</v>
      </c>
      <c r="F75" s="210">
        <v>43395</v>
      </c>
      <c r="G75" s="210">
        <v>0</v>
      </c>
      <c r="H75" s="211">
        <v>4650</v>
      </c>
      <c r="I75" s="211">
        <v>1381</v>
      </c>
      <c r="J75" s="210">
        <v>867</v>
      </c>
      <c r="K75" s="211">
        <v>0</v>
      </c>
      <c r="L75" s="212">
        <f t="shared" si="3"/>
        <v>0</v>
      </c>
      <c r="M75" s="210"/>
      <c r="N75" s="210"/>
      <c r="O75" s="211"/>
      <c r="P75" s="211">
        <v>0</v>
      </c>
      <c r="Q75" s="210"/>
      <c r="R75" s="211"/>
    </row>
    <row r="76" spans="1:18" s="213" customFormat="1" ht="12.75">
      <c r="A76" s="39" t="s">
        <v>316</v>
      </c>
      <c r="B76" s="39" t="s">
        <v>354</v>
      </c>
      <c r="C76" s="40">
        <v>135188</v>
      </c>
      <c r="D76" s="41">
        <v>10</v>
      </c>
      <c r="E76" s="209">
        <f t="shared" si="2"/>
        <v>61246</v>
      </c>
      <c r="F76" s="210">
        <v>57971</v>
      </c>
      <c r="G76" s="210">
        <v>0</v>
      </c>
      <c r="H76" s="211">
        <v>2009</v>
      </c>
      <c r="I76" s="211">
        <v>0</v>
      </c>
      <c r="J76" s="210">
        <v>1266</v>
      </c>
      <c r="K76" s="211">
        <v>0</v>
      </c>
      <c r="L76" s="212">
        <f t="shared" si="3"/>
        <v>0</v>
      </c>
      <c r="M76" s="210"/>
      <c r="N76" s="210"/>
      <c r="O76" s="211"/>
      <c r="P76" s="211">
        <v>0</v>
      </c>
      <c r="Q76" s="210"/>
      <c r="R76" s="211"/>
    </row>
    <row r="77" spans="1:18" s="213" customFormat="1" ht="12.75">
      <c r="A77" s="42" t="s">
        <v>316</v>
      </c>
      <c r="B77" s="42" t="s">
        <v>355</v>
      </c>
      <c r="C77" s="43">
        <v>136145</v>
      </c>
      <c r="D77" s="44">
        <v>10</v>
      </c>
      <c r="E77" s="209">
        <f t="shared" si="2"/>
        <v>21549</v>
      </c>
      <c r="F77" s="210">
        <v>20188</v>
      </c>
      <c r="G77" s="210">
        <v>0</v>
      </c>
      <c r="H77" s="211">
        <v>1208</v>
      </c>
      <c r="I77" s="211">
        <v>0</v>
      </c>
      <c r="J77" s="210">
        <v>0</v>
      </c>
      <c r="K77" s="211">
        <v>153</v>
      </c>
      <c r="L77" s="212">
        <f t="shared" si="3"/>
        <v>0</v>
      </c>
      <c r="M77" s="210"/>
      <c r="N77" s="210"/>
      <c r="O77" s="211"/>
      <c r="P77" s="211">
        <v>0</v>
      </c>
      <c r="Q77" s="210"/>
      <c r="R77" s="211"/>
    </row>
    <row r="78" spans="1:18" s="213" customFormat="1" ht="12.75">
      <c r="A78" s="45" t="s">
        <v>356</v>
      </c>
      <c r="B78" s="45" t="s">
        <v>357</v>
      </c>
      <c r="C78" s="46">
        <v>139940</v>
      </c>
      <c r="D78" s="47">
        <v>1</v>
      </c>
      <c r="E78" s="209">
        <f t="shared" si="2"/>
        <v>536700.5</v>
      </c>
      <c r="F78" s="210">
        <v>533150.5</v>
      </c>
      <c r="G78" s="210">
        <v>2837</v>
      </c>
      <c r="H78" s="211">
        <v>681</v>
      </c>
      <c r="I78" s="211">
        <v>32</v>
      </c>
      <c r="J78" s="210">
        <v>0</v>
      </c>
      <c r="K78" s="211">
        <v>0</v>
      </c>
      <c r="L78" s="212">
        <f t="shared" si="3"/>
        <v>177045.5</v>
      </c>
      <c r="M78" s="210">
        <v>169274</v>
      </c>
      <c r="N78" s="210">
        <v>6851.5</v>
      </c>
      <c r="O78" s="211">
        <v>876.3</v>
      </c>
      <c r="P78" s="211">
        <v>43.7</v>
      </c>
      <c r="Q78" s="210">
        <v>0</v>
      </c>
      <c r="R78" s="211">
        <v>0</v>
      </c>
    </row>
    <row r="79" spans="1:18" s="213" customFormat="1" ht="12.75">
      <c r="A79" s="45" t="s">
        <v>356</v>
      </c>
      <c r="B79" s="45" t="s">
        <v>358</v>
      </c>
      <c r="C79" s="46">
        <v>139959</v>
      </c>
      <c r="D79" s="47">
        <v>1</v>
      </c>
      <c r="E79" s="209">
        <f t="shared" si="2"/>
        <v>721342</v>
      </c>
      <c r="F79" s="210">
        <v>707964</v>
      </c>
      <c r="G79" s="210">
        <v>11965</v>
      </c>
      <c r="H79" s="211">
        <v>1413</v>
      </c>
      <c r="I79" s="211">
        <v>0</v>
      </c>
      <c r="J79" s="210">
        <v>0</v>
      </c>
      <c r="K79" s="211">
        <v>0</v>
      </c>
      <c r="L79" s="212">
        <f t="shared" si="3"/>
        <v>219203.8</v>
      </c>
      <c r="M79" s="210">
        <v>199429.8</v>
      </c>
      <c r="N79" s="210">
        <v>9102</v>
      </c>
      <c r="O79" s="211">
        <v>9895.22</v>
      </c>
      <c r="P79" s="211">
        <v>468</v>
      </c>
      <c r="Q79" s="210">
        <v>308.78</v>
      </c>
      <c r="R79" s="211">
        <v>0</v>
      </c>
    </row>
    <row r="80" spans="1:18" s="213" customFormat="1" ht="12.75">
      <c r="A80" s="45" t="s">
        <v>356</v>
      </c>
      <c r="B80" s="45" t="s">
        <v>359</v>
      </c>
      <c r="C80" s="46">
        <v>139755</v>
      </c>
      <c r="D80" s="47">
        <v>2</v>
      </c>
      <c r="E80" s="209">
        <f t="shared" si="2"/>
        <v>345931</v>
      </c>
      <c r="F80" s="210">
        <v>336977</v>
      </c>
      <c r="G80" s="210">
        <v>7139</v>
      </c>
      <c r="H80" s="211">
        <v>316</v>
      </c>
      <c r="I80" s="211">
        <v>1103</v>
      </c>
      <c r="J80" s="210">
        <v>396</v>
      </c>
      <c r="K80" s="211">
        <v>0</v>
      </c>
      <c r="L80" s="212">
        <f t="shared" si="3"/>
        <v>184136</v>
      </c>
      <c r="M80" s="210">
        <v>178474</v>
      </c>
      <c r="N80" s="210">
        <v>2786</v>
      </c>
      <c r="O80" s="211">
        <v>321</v>
      </c>
      <c r="P80" s="211">
        <v>15.48</v>
      </c>
      <c r="Q80" s="210">
        <v>2539.52</v>
      </c>
      <c r="R80" s="211">
        <v>0</v>
      </c>
    </row>
    <row r="81" spans="1:18" s="213" customFormat="1" ht="12.75">
      <c r="A81" s="45" t="s">
        <v>356</v>
      </c>
      <c r="B81" s="45" t="s">
        <v>360</v>
      </c>
      <c r="C81" s="46">
        <v>139931</v>
      </c>
      <c r="D81" s="47">
        <v>3</v>
      </c>
      <c r="E81" s="209">
        <f t="shared" si="2"/>
        <v>391053</v>
      </c>
      <c r="F81" s="210">
        <v>386161</v>
      </c>
      <c r="G81" s="210">
        <v>1684</v>
      </c>
      <c r="H81" s="211">
        <v>1972</v>
      </c>
      <c r="I81" s="211">
        <v>1236</v>
      </c>
      <c r="J81" s="210">
        <v>0</v>
      </c>
      <c r="K81" s="211">
        <v>0</v>
      </c>
      <c r="L81" s="212">
        <f t="shared" si="3"/>
        <v>29993</v>
      </c>
      <c r="M81" s="210">
        <v>16839</v>
      </c>
      <c r="N81" s="210">
        <v>4457</v>
      </c>
      <c r="O81" s="211">
        <v>8196.4</v>
      </c>
      <c r="P81" s="211">
        <v>500.6</v>
      </c>
      <c r="Q81" s="210">
        <v>0</v>
      </c>
      <c r="R81" s="211">
        <v>0</v>
      </c>
    </row>
    <row r="82" spans="1:18" s="213" customFormat="1" ht="12.75">
      <c r="A82" s="45" t="s">
        <v>356</v>
      </c>
      <c r="B82" s="45" t="s">
        <v>361</v>
      </c>
      <c r="C82" s="46">
        <v>141334</v>
      </c>
      <c r="D82" s="47">
        <v>3</v>
      </c>
      <c r="E82" s="209">
        <f t="shared" si="2"/>
        <v>219502</v>
      </c>
      <c r="F82" s="210">
        <v>203711</v>
      </c>
      <c r="G82" s="210">
        <v>6928</v>
      </c>
      <c r="H82" s="211">
        <v>8863</v>
      </c>
      <c r="I82" s="211">
        <v>0</v>
      </c>
      <c r="J82" s="210">
        <v>0</v>
      </c>
      <c r="K82" s="211">
        <v>0</v>
      </c>
      <c r="L82" s="212">
        <f t="shared" si="3"/>
        <v>29150</v>
      </c>
      <c r="M82" s="210">
        <v>18907</v>
      </c>
      <c r="N82" s="210">
        <v>6340</v>
      </c>
      <c r="O82" s="211">
        <v>3219.54</v>
      </c>
      <c r="P82" s="211">
        <v>672.96</v>
      </c>
      <c r="Q82" s="210">
        <v>10.5</v>
      </c>
      <c r="R82" s="211">
        <v>0</v>
      </c>
    </row>
    <row r="83" spans="1:18" s="213" customFormat="1" ht="12.75">
      <c r="A83" s="45" t="s">
        <v>356</v>
      </c>
      <c r="B83" s="45" t="s">
        <v>362</v>
      </c>
      <c r="C83" s="46">
        <v>138716</v>
      </c>
      <c r="D83" s="47">
        <v>4</v>
      </c>
      <c r="E83" s="209">
        <f t="shared" si="2"/>
        <v>89818</v>
      </c>
      <c r="F83" s="210">
        <v>88908</v>
      </c>
      <c r="G83" s="210">
        <v>839</v>
      </c>
      <c r="H83" s="211">
        <v>0</v>
      </c>
      <c r="I83" s="211">
        <v>71</v>
      </c>
      <c r="J83" s="210">
        <v>0</v>
      </c>
      <c r="K83" s="211">
        <v>0</v>
      </c>
      <c r="L83" s="212">
        <f t="shared" si="3"/>
        <v>8480</v>
      </c>
      <c r="M83" s="210">
        <v>7748</v>
      </c>
      <c r="N83" s="210">
        <v>444</v>
      </c>
      <c r="O83" s="211">
        <v>12</v>
      </c>
      <c r="P83" s="211">
        <v>276</v>
      </c>
      <c r="Q83" s="210">
        <v>0</v>
      </c>
      <c r="R83" s="211">
        <v>0</v>
      </c>
    </row>
    <row r="84" spans="1:18" s="213" customFormat="1" ht="12.75">
      <c r="A84" s="45" t="s">
        <v>356</v>
      </c>
      <c r="B84" s="45" t="s">
        <v>363</v>
      </c>
      <c r="C84" s="46">
        <v>139366</v>
      </c>
      <c r="D84" s="47">
        <v>4</v>
      </c>
      <c r="E84" s="209">
        <f t="shared" si="2"/>
        <v>149577</v>
      </c>
      <c r="F84" s="210">
        <v>141507</v>
      </c>
      <c r="G84" s="210">
        <v>1963</v>
      </c>
      <c r="H84" s="211">
        <v>6095</v>
      </c>
      <c r="I84" s="211">
        <v>12</v>
      </c>
      <c r="J84" s="210">
        <v>0</v>
      </c>
      <c r="K84" s="211">
        <v>0</v>
      </c>
      <c r="L84" s="212">
        <f t="shared" si="3"/>
        <v>15703</v>
      </c>
      <c r="M84" s="210">
        <v>11203</v>
      </c>
      <c r="N84" s="210">
        <v>986</v>
      </c>
      <c r="O84" s="211">
        <v>1989</v>
      </c>
      <c r="P84" s="211">
        <v>1525</v>
      </c>
      <c r="Q84" s="210">
        <v>0</v>
      </c>
      <c r="R84" s="211">
        <v>0</v>
      </c>
    </row>
    <row r="85" spans="1:18" s="213" customFormat="1" ht="12.75">
      <c r="A85" s="45" t="s">
        <v>356</v>
      </c>
      <c r="B85" s="45" t="s">
        <v>364</v>
      </c>
      <c r="C85" s="46">
        <v>139861</v>
      </c>
      <c r="D85" s="47">
        <v>4</v>
      </c>
      <c r="E85" s="209">
        <f t="shared" si="2"/>
        <v>129553</v>
      </c>
      <c r="F85" s="210">
        <v>125656</v>
      </c>
      <c r="G85" s="210">
        <v>3723</v>
      </c>
      <c r="H85" s="211">
        <v>48</v>
      </c>
      <c r="I85" s="211">
        <v>126</v>
      </c>
      <c r="J85" s="210">
        <v>0</v>
      </c>
      <c r="K85" s="211">
        <v>0</v>
      </c>
      <c r="L85" s="212">
        <f t="shared" si="3"/>
        <v>19273</v>
      </c>
      <c r="M85" s="210">
        <v>7390</v>
      </c>
      <c r="N85" s="210">
        <v>8920</v>
      </c>
      <c r="O85" s="211">
        <v>2705</v>
      </c>
      <c r="P85" s="211">
        <v>258</v>
      </c>
      <c r="Q85" s="210">
        <v>0</v>
      </c>
      <c r="R85" s="211">
        <v>0</v>
      </c>
    </row>
    <row r="86" spans="1:18" s="213" customFormat="1" ht="12.75">
      <c r="A86" s="45" t="s">
        <v>356</v>
      </c>
      <c r="B86" s="45" t="s">
        <v>365</v>
      </c>
      <c r="C86" s="46">
        <v>140164</v>
      </c>
      <c r="D86" s="47">
        <v>4</v>
      </c>
      <c r="E86" s="209">
        <f t="shared" si="2"/>
        <v>378815</v>
      </c>
      <c r="F86" s="210">
        <v>371624</v>
      </c>
      <c r="G86" s="210">
        <v>0</v>
      </c>
      <c r="H86" s="211">
        <v>7191</v>
      </c>
      <c r="I86" s="211">
        <v>0</v>
      </c>
      <c r="J86" s="210">
        <v>0</v>
      </c>
      <c r="K86" s="211">
        <v>0</v>
      </c>
      <c r="L86" s="212">
        <f t="shared" si="3"/>
        <v>30854</v>
      </c>
      <c r="M86" s="210">
        <v>26187</v>
      </c>
      <c r="N86" s="210">
        <v>3823</v>
      </c>
      <c r="O86" s="211">
        <v>844</v>
      </c>
      <c r="P86" s="211">
        <v>0</v>
      </c>
      <c r="Q86" s="210">
        <v>0</v>
      </c>
      <c r="R86" s="211">
        <v>0</v>
      </c>
    </row>
    <row r="87" spans="1:18" s="213" customFormat="1" ht="12.75">
      <c r="A87" s="45" t="s">
        <v>356</v>
      </c>
      <c r="B87" s="45" t="s">
        <v>366</v>
      </c>
      <c r="C87" s="46">
        <v>141264</v>
      </c>
      <c r="D87" s="47">
        <v>4</v>
      </c>
      <c r="E87" s="209">
        <f t="shared" si="2"/>
        <v>236575.99999999997</v>
      </c>
      <c r="F87" s="210">
        <v>210089</v>
      </c>
      <c r="G87" s="210">
        <v>12541</v>
      </c>
      <c r="H87" s="211">
        <v>8013.55</v>
      </c>
      <c r="I87" s="211">
        <v>869.4</v>
      </c>
      <c r="J87" s="210">
        <v>4742.75</v>
      </c>
      <c r="K87" s="211">
        <v>320.3</v>
      </c>
      <c r="L87" s="212">
        <f t="shared" si="3"/>
        <v>28592</v>
      </c>
      <c r="M87" s="210">
        <v>11474</v>
      </c>
      <c r="N87" s="210">
        <v>12588</v>
      </c>
      <c r="O87" s="211">
        <v>3747.8</v>
      </c>
      <c r="P87" s="211">
        <v>70</v>
      </c>
      <c r="Q87" s="210">
        <v>550.95</v>
      </c>
      <c r="R87" s="211">
        <v>161.25</v>
      </c>
    </row>
    <row r="88" spans="1:18" s="213" customFormat="1" ht="12.75">
      <c r="A88" s="45" t="s">
        <v>356</v>
      </c>
      <c r="B88" s="45" t="s">
        <v>367</v>
      </c>
      <c r="C88" s="46">
        <v>138789</v>
      </c>
      <c r="D88" s="47">
        <v>5</v>
      </c>
      <c r="E88" s="209">
        <f t="shared" si="2"/>
        <v>140601</v>
      </c>
      <c r="F88" s="210">
        <v>127507</v>
      </c>
      <c r="G88" s="210">
        <v>10052</v>
      </c>
      <c r="H88" s="211">
        <v>2751</v>
      </c>
      <c r="I88" s="211">
        <v>291</v>
      </c>
      <c r="J88" s="210">
        <v>0</v>
      </c>
      <c r="K88" s="211">
        <v>0</v>
      </c>
      <c r="L88" s="212">
        <f t="shared" si="3"/>
        <v>14939</v>
      </c>
      <c r="M88" s="210">
        <v>12183</v>
      </c>
      <c r="N88" s="210">
        <v>1360</v>
      </c>
      <c r="O88" s="211">
        <v>1173</v>
      </c>
      <c r="P88" s="211">
        <v>223</v>
      </c>
      <c r="Q88" s="210">
        <v>0</v>
      </c>
      <c r="R88" s="211">
        <v>0</v>
      </c>
    </row>
    <row r="89" spans="1:18" s="213" customFormat="1" ht="12.75">
      <c r="A89" s="45" t="s">
        <v>356</v>
      </c>
      <c r="B89" s="45" t="s">
        <v>368</v>
      </c>
      <c r="C89" s="46">
        <v>138983</v>
      </c>
      <c r="D89" s="47">
        <v>5</v>
      </c>
      <c r="E89" s="209">
        <f t="shared" si="2"/>
        <v>138475</v>
      </c>
      <c r="F89" s="210">
        <v>136653</v>
      </c>
      <c r="G89" s="210">
        <v>529</v>
      </c>
      <c r="H89" s="211">
        <v>1293</v>
      </c>
      <c r="I89" s="211">
        <v>0</v>
      </c>
      <c r="J89" s="210">
        <v>0</v>
      </c>
      <c r="K89" s="211">
        <v>0</v>
      </c>
      <c r="L89" s="212">
        <f t="shared" si="3"/>
        <v>8265</v>
      </c>
      <c r="M89" s="210">
        <v>8250</v>
      </c>
      <c r="N89" s="210">
        <v>15</v>
      </c>
      <c r="O89" s="211">
        <v>0</v>
      </c>
      <c r="P89" s="211">
        <v>0</v>
      </c>
      <c r="Q89" s="210">
        <v>0</v>
      </c>
      <c r="R89" s="211">
        <v>0</v>
      </c>
    </row>
    <row r="90" spans="1:18" s="213" customFormat="1" ht="12.75">
      <c r="A90" s="45" t="s">
        <v>356</v>
      </c>
      <c r="B90" s="45" t="s">
        <v>369</v>
      </c>
      <c r="C90" s="46">
        <v>139719</v>
      </c>
      <c r="D90" s="47">
        <v>5</v>
      </c>
      <c r="E90" s="209">
        <f t="shared" si="2"/>
        <v>65916</v>
      </c>
      <c r="F90" s="210">
        <v>65878</v>
      </c>
      <c r="G90" s="210">
        <v>0</v>
      </c>
      <c r="H90" s="211">
        <v>0</v>
      </c>
      <c r="I90" s="211">
        <v>38</v>
      </c>
      <c r="J90" s="210">
        <v>0</v>
      </c>
      <c r="K90" s="211">
        <v>0</v>
      </c>
      <c r="L90" s="212">
        <f t="shared" si="3"/>
        <v>4322</v>
      </c>
      <c r="M90" s="210">
        <v>4322</v>
      </c>
      <c r="N90" s="210">
        <v>0</v>
      </c>
      <c r="O90" s="211">
        <v>0</v>
      </c>
      <c r="P90" s="211">
        <v>0</v>
      </c>
      <c r="Q90" s="210">
        <v>0</v>
      </c>
      <c r="R90" s="211">
        <v>0</v>
      </c>
    </row>
    <row r="91" spans="1:18" s="213" customFormat="1" ht="12.75">
      <c r="A91" s="45" t="s">
        <v>356</v>
      </c>
      <c r="B91" s="45" t="s">
        <v>370</v>
      </c>
      <c r="C91" s="46">
        <v>139764</v>
      </c>
      <c r="D91" s="47">
        <v>5</v>
      </c>
      <c r="E91" s="209">
        <f t="shared" si="2"/>
        <v>56232</v>
      </c>
      <c r="F91" s="210">
        <v>51751</v>
      </c>
      <c r="G91" s="210">
        <v>520</v>
      </c>
      <c r="H91" s="211">
        <v>3562</v>
      </c>
      <c r="I91" s="211">
        <v>399</v>
      </c>
      <c r="J91" s="210">
        <v>0</v>
      </c>
      <c r="K91" s="211">
        <v>0</v>
      </c>
      <c r="L91" s="212">
        <f t="shared" si="3"/>
        <v>6156</v>
      </c>
      <c r="M91" s="210">
        <v>4638</v>
      </c>
      <c r="N91" s="210">
        <v>498</v>
      </c>
      <c r="O91" s="211">
        <v>1020</v>
      </c>
      <c r="P91" s="211">
        <v>0</v>
      </c>
      <c r="Q91" s="210">
        <v>0</v>
      </c>
      <c r="R91" s="211">
        <v>0</v>
      </c>
    </row>
    <row r="92" spans="1:18" s="213" customFormat="1" ht="12.75">
      <c r="A92" s="45" t="s">
        <v>356</v>
      </c>
      <c r="B92" s="45" t="s">
        <v>371</v>
      </c>
      <c r="C92" s="46">
        <v>140669</v>
      </c>
      <c r="D92" s="47">
        <v>5</v>
      </c>
      <c r="E92" s="209">
        <f t="shared" si="2"/>
        <v>109477</v>
      </c>
      <c r="F92" s="210">
        <v>100559</v>
      </c>
      <c r="G92" s="210">
        <v>6374</v>
      </c>
      <c r="H92" s="211">
        <v>111.15</v>
      </c>
      <c r="I92" s="211">
        <v>2400</v>
      </c>
      <c r="J92" s="210">
        <v>32.85</v>
      </c>
      <c r="K92" s="211">
        <v>0</v>
      </c>
      <c r="L92" s="212">
        <f t="shared" si="3"/>
        <v>10008</v>
      </c>
      <c r="M92" s="210">
        <v>8034</v>
      </c>
      <c r="N92" s="210">
        <v>1479</v>
      </c>
      <c r="O92" s="211">
        <v>405</v>
      </c>
      <c r="P92" s="211">
        <v>90</v>
      </c>
      <c r="Q92" s="210">
        <v>0</v>
      </c>
      <c r="R92" s="211">
        <v>0</v>
      </c>
    </row>
    <row r="93" spans="1:18" s="213" customFormat="1" ht="12.75">
      <c r="A93" s="45" t="s">
        <v>356</v>
      </c>
      <c r="B93" s="45" t="s">
        <v>372</v>
      </c>
      <c r="C93" s="46">
        <v>140960</v>
      </c>
      <c r="D93" s="47">
        <v>5</v>
      </c>
      <c r="E93" s="209">
        <f t="shared" si="2"/>
        <v>71171</v>
      </c>
      <c r="F93" s="210">
        <v>70709</v>
      </c>
      <c r="G93" s="210">
        <v>462</v>
      </c>
      <c r="H93" s="211">
        <v>0</v>
      </c>
      <c r="I93" s="211">
        <v>0</v>
      </c>
      <c r="J93" s="210">
        <v>0</v>
      </c>
      <c r="K93" s="211">
        <v>0</v>
      </c>
      <c r="L93" s="212">
        <f t="shared" si="3"/>
        <v>3649</v>
      </c>
      <c r="M93" s="210">
        <v>2544</v>
      </c>
      <c r="N93" s="210">
        <v>707</v>
      </c>
      <c r="O93" s="211">
        <v>0</v>
      </c>
      <c r="P93" s="211">
        <v>398</v>
      </c>
      <c r="Q93" s="210">
        <v>0</v>
      </c>
      <c r="R93" s="211">
        <v>0</v>
      </c>
    </row>
    <row r="94" spans="1:18" s="213" customFormat="1" ht="12.75">
      <c r="A94" s="45" t="s">
        <v>356</v>
      </c>
      <c r="B94" s="45" t="s">
        <v>373</v>
      </c>
      <c r="C94" s="46">
        <v>139311</v>
      </c>
      <c r="D94" s="47">
        <v>6</v>
      </c>
      <c r="E94" s="209">
        <f t="shared" si="2"/>
        <v>133766</v>
      </c>
      <c r="F94" s="210">
        <v>116549</v>
      </c>
      <c r="G94" s="210">
        <v>0</v>
      </c>
      <c r="H94" s="211">
        <v>16323.85</v>
      </c>
      <c r="I94" s="211">
        <v>0</v>
      </c>
      <c r="J94" s="210">
        <v>206.75</v>
      </c>
      <c r="K94" s="211">
        <v>686.4</v>
      </c>
      <c r="L94" s="212">
        <f t="shared" si="3"/>
        <v>0</v>
      </c>
      <c r="M94" s="210">
        <v>0</v>
      </c>
      <c r="N94" s="210">
        <v>0</v>
      </c>
      <c r="O94" s="211">
        <v>0</v>
      </c>
      <c r="P94" s="211">
        <v>0</v>
      </c>
      <c r="Q94" s="210">
        <v>0</v>
      </c>
      <c r="R94" s="211">
        <v>0</v>
      </c>
    </row>
    <row r="95" spans="1:18" s="213" customFormat="1" ht="12.75">
      <c r="A95" s="45" t="s">
        <v>356</v>
      </c>
      <c r="B95" s="45" t="s">
        <v>374</v>
      </c>
      <c r="C95" s="46">
        <v>139463</v>
      </c>
      <c r="D95" s="47">
        <v>7</v>
      </c>
      <c r="E95" s="209">
        <f t="shared" si="2"/>
        <v>83263</v>
      </c>
      <c r="F95" s="210">
        <v>81087</v>
      </c>
      <c r="G95" s="210">
        <v>2176</v>
      </c>
      <c r="H95" s="211">
        <v>0</v>
      </c>
      <c r="I95" s="211">
        <v>0</v>
      </c>
      <c r="J95" s="210">
        <v>0</v>
      </c>
      <c r="K95" s="211">
        <v>0</v>
      </c>
      <c r="L95" s="212">
        <f t="shared" si="3"/>
        <v>0</v>
      </c>
      <c r="M95" s="210">
        <v>0</v>
      </c>
      <c r="N95" s="210">
        <v>0</v>
      </c>
      <c r="O95" s="211">
        <v>0</v>
      </c>
      <c r="P95" s="211">
        <v>0</v>
      </c>
      <c r="Q95" s="210">
        <v>0</v>
      </c>
      <c r="R95" s="211">
        <v>0</v>
      </c>
    </row>
    <row r="96" spans="1:18" s="213" customFormat="1" ht="12.75">
      <c r="A96" s="45" t="s">
        <v>356</v>
      </c>
      <c r="B96" s="45" t="s">
        <v>375</v>
      </c>
      <c r="C96" s="46">
        <v>140322</v>
      </c>
      <c r="D96" s="47">
        <v>7</v>
      </c>
      <c r="E96" s="209">
        <f t="shared" si="2"/>
        <v>114692</v>
      </c>
      <c r="F96" s="210">
        <v>83683</v>
      </c>
      <c r="G96" s="210">
        <v>24439</v>
      </c>
      <c r="H96" s="211">
        <v>6570</v>
      </c>
      <c r="I96" s="211">
        <v>0</v>
      </c>
      <c r="J96" s="210">
        <v>0</v>
      </c>
      <c r="K96" s="211">
        <v>0</v>
      </c>
      <c r="L96" s="212">
        <f t="shared" si="3"/>
        <v>0</v>
      </c>
      <c r="M96" s="210">
        <v>0</v>
      </c>
      <c r="N96" s="210">
        <v>0</v>
      </c>
      <c r="O96" s="211">
        <v>0</v>
      </c>
      <c r="P96" s="211">
        <v>0</v>
      </c>
      <c r="Q96" s="210">
        <v>0</v>
      </c>
      <c r="R96" s="211">
        <v>0</v>
      </c>
    </row>
    <row r="97" spans="1:18" s="213" customFormat="1" ht="12.75">
      <c r="A97" s="45" t="s">
        <v>356</v>
      </c>
      <c r="B97" s="45" t="s">
        <v>376</v>
      </c>
      <c r="C97" s="46">
        <v>244437</v>
      </c>
      <c r="D97" s="47">
        <v>8</v>
      </c>
      <c r="E97" s="209">
        <f t="shared" si="2"/>
        <v>444800</v>
      </c>
      <c r="F97" s="210">
        <v>413776</v>
      </c>
      <c r="G97" s="210">
        <v>9257</v>
      </c>
      <c r="H97" s="211">
        <v>15234.4</v>
      </c>
      <c r="I97" s="211">
        <v>346</v>
      </c>
      <c r="J97" s="210">
        <v>6186.6</v>
      </c>
      <c r="K97" s="211">
        <v>0</v>
      </c>
      <c r="L97" s="212">
        <f t="shared" si="3"/>
        <v>0</v>
      </c>
      <c r="M97" s="210">
        <v>0</v>
      </c>
      <c r="N97" s="210">
        <v>0</v>
      </c>
      <c r="O97" s="211">
        <v>0</v>
      </c>
      <c r="P97" s="211">
        <v>0</v>
      </c>
      <c r="Q97" s="210">
        <v>0</v>
      </c>
      <c r="R97" s="211">
        <v>0</v>
      </c>
    </row>
    <row r="98" spans="1:18" s="213" customFormat="1" ht="12.75">
      <c r="A98" s="45" t="s">
        <v>356</v>
      </c>
      <c r="B98" s="45" t="s">
        <v>377</v>
      </c>
      <c r="C98" s="46">
        <v>138558</v>
      </c>
      <c r="D98" s="47">
        <v>9</v>
      </c>
      <c r="E98" s="209">
        <f t="shared" si="2"/>
        <v>78025</v>
      </c>
      <c r="F98" s="210">
        <v>69585</v>
      </c>
      <c r="G98" s="210">
        <v>6263</v>
      </c>
      <c r="H98" s="211">
        <v>1073</v>
      </c>
      <c r="I98" s="211">
        <v>1104</v>
      </c>
      <c r="J98" s="210">
        <v>0</v>
      </c>
      <c r="K98" s="211">
        <v>0</v>
      </c>
      <c r="L98" s="212">
        <f t="shared" si="3"/>
        <v>0</v>
      </c>
      <c r="M98" s="210">
        <v>0</v>
      </c>
      <c r="N98" s="210">
        <v>0</v>
      </c>
      <c r="O98" s="211">
        <v>0</v>
      </c>
      <c r="P98" s="211">
        <v>0</v>
      </c>
      <c r="Q98" s="210">
        <v>0</v>
      </c>
      <c r="R98" s="211">
        <v>0</v>
      </c>
    </row>
    <row r="99" spans="1:18" s="213" customFormat="1" ht="12.75">
      <c r="A99" s="45" t="s">
        <v>356</v>
      </c>
      <c r="B99" s="45" t="s">
        <v>378</v>
      </c>
      <c r="C99" s="46">
        <v>138691</v>
      </c>
      <c r="D99" s="47">
        <v>9</v>
      </c>
      <c r="E99" s="209">
        <f t="shared" si="2"/>
        <v>90836.5</v>
      </c>
      <c r="F99" s="210">
        <v>76916.5</v>
      </c>
      <c r="G99" s="210">
        <v>5362</v>
      </c>
      <c r="H99" s="211">
        <v>7308</v>
      </c>
      <c r="I99" s="211">
        <v>39</v>
      </c>
      <c r="J99" s="210">
        <v>1211</v>
      </c>
      <c r="K99" s="211">
        <v>0</v>
      </c>
      <c r="L99" s="212">
        <f t="shared" si="3"/>
        <v>0</v>
      </c>
      <c r="M99" s="210">
        <v>0</v>
      </c>
      <c r="N99" s="210">
        <v>0</v>
      </c>
      <c r="O99" s="211">
        <v>0</v>
      </c>
      <c r="P99" s="211">
        <v>0</v>
      </c>
      <c r="Q99" s="210">
        <v>0</v>
      </c>
      <c r="R99" s="211">
        <v>0</v>
      </c>
    </row>
    <row r="100" spans="1:18" s="213" customFormat="1" ht="12.75">
      <c r="A100" s="45" t="s">
        <v>356</v>
      </c>
      <c r="B100" s="45" t="s">
        <v>379</v>
      </c>
      <c r="C100" s="46">
        <v>139773</v>
      </c>
      <c r="D100" s="47">
        <v>9</v>
      </c>
      <c r="E100" s="209">
        <f t="shared" si="2"/>
        <v>110120</v>
      </c>
      <c r="F100" s="210">
        <v>79969</v>
      </c>
      <c r="G100" s="210">
        <v>30151</v>
      </c>
      <c r="H100" s="211">
        <v>0</v>
      </c>
      <c r="I100" s="211">
        <v>0</v>
      </c>
      <c r="J100" s="210">
        <v>0</v>
      </c>
      <c r="K100" s="211">
        <v>0</v>
      </c>
      <c r="L100" s="212">
        <f t="shared" si="3"/>
        <v>0</v>
      </c>
      <c r="M100" s="210">
        <v>0</v>
      </c>
      <c r="N100" s="210">
        <v>0</v>
      </c>
      <c r="O100" s="211">
        <v>0</v>
      </c>
      <c r="P100" s="211">
        <v>0</v>
      </c>
      <c r="Q100" s="210">
        <v>0</v>
      </c>
      <c r="R100" s="211">
        <v>0</v>
      </c>
    </row>
    <row r="101" spans="1:18" s="213" customFormat="1" ht="12.75">
      <c r="A101" s="45" t="s">
        <v>356</v>
      </c>
      <c r="B101" s="45" t="s">
        <v>380</v>
      </c>
      <c r="C101" s="46">
        <v>139968</v>
      </c>
      <c r="D101" s="47">
        <v>9</v>
      </c>
      <c r="E101" s="209">
        <f t="shared" si="2"/>
        <v>80968</v>
      </c>
      <c r="F101" s="210">
        <v>75257</v>
      </c>
      <c r="G101" s="210">
        <v>5240</v>
      </c>
      <c r="H101" s="211">
        <v>471</v>
      </c>
      <c r="I101" s="211">
        <v>0</v>
      </c>
      <c r="J101" s="210">
        <v>0</v>
      </c>
      <c r="K101" s="211">
        <v>0</v>
      </c>
      <c r="L101" s="212">
        <f t="shared" si="3"/>
        <v>0</v>
      </c>
      <c r="M101" s="210">
        <v>0</v>
      </c>
      <c r="N101" s="210">
        <v>0</v>
      </c>
      <c r="O101" s="211">
        <v>0</v>
      </c>
      <c r="P101" s="211">
        <v>0</v>
      </c>
      <c r="Q101" s="210">
        <v>0</v>
      </c>
      <c r="R101" s="211">
        <v>0</v>
      </c>
    </row>
    <row r="102" spans="1:18" s="213" customFormat="1" ht="12.75">
      <c r="A102" s="45" t="s">
        <v>356</v>
      </c>
      <c r="B102" s="45" t="s">
        <v>381</v>
      </c>
      <c r="C102" s="46">
        <v>138901</v>
      </c>
      <c r="D102" s="47">
        <v>10</v>
      </c>
      <c r="E102" s="209">
        <f t="shared" si="2"/>
        <v>45089</v>
      </c>
      <c r="F102" s="210">
        <v>45089</v>
      </c>
      <c r="G102" s="210">
        <v>0</v>
      </c>
      <c r="H102" s="211">
        <v>0</v>
      </c>
      <c r="I102" s="211">
        <v>0</v>
      </c>
      <c r="J102" s="210">
        <v>0</v>
      </c>
      <c r="K102" s="211">
        <v>0</v>
      </c>
      <c r="L102" s="212">
        <f t="shared" si="3"/>
        <v>0</v>
      </c>
      <c r="M102" s="210">
        <v>0</v>
      </c>
      <c r="N102" s="210">
        <v>0</v>
      </c>
      <c r="O102" s="211">
        <v>0</v>
      </c>
      <c r="P102" s="211">
        <v>0</v>
      </c>
      <c r="Q102" s="210">
        <v>0</v>
      </c>
      <c r="R102" s="211">
        <v>0</v>
      </c>
    </row>
    <row r="103" spans="1:18" s="213" customFormat="1" ht="12.75">
      <c r="A103" s="45" t="s">
        <v>356</v>
      </c>
      <c r="B103" s="45" t="s">
        <v>382</v>
      </c>
      <c r="C103" s="46">
        <v>139010</v>
      </c>
      <c r="D103" s="47">
        <v>10</v>
      </c>
      <c r="E103" s="209">
        <f t="shared" si="2"/>
        <v>48158</v>
      </c>
      <c r="F103" s="210">
        <v>41317</v>
      </c>
      <c r="G103" s="210">
        <v>6841</v>
      </c>
      <c r="H103" s="211">
        <v>0</v>
      </c>
      <c r="I103" s="211">
        <v>0</v>
      </c>
      <c r="J103" s="210">
        <v>0</v>
      </c>
      <c r="K103" s="211">
        <v>0</v>
      </c>
      <c r="L103" s="212">
        <f t="shared" si="3"/>
        <v>0</v>
      </c>
      <c r="M103" s="210">
        <v>0</v>
      </c>
      <c r="N103" s="210">
        <v>0</v>
      </c>
      <c r="O103" s="211">
        <v>0</v>
      </c>
      <c r="P103" s="211">
        <v>0</v>
      </c>
      <c r="Q103" s="210">
        <v>0</v>
      </c>
      <c r="R103" s="211">
        <v>0</v>
      </c>
    </row>
    <row r="104" spans="1:18" s="213" customFormat="1" ht="12.75">
      <c r="A104" s="45" t="s">
        <v>356</v>
      </c>
      <c r="B104" s="45" t="s">
        <v>383</v>
      </c>
      <c r="C104" s="46">
        <v>139250</v>
      </c>
      <c r="D104" s="47">
        <v>10</v>
      </c>
      <c r="E104" s="209">
        <f t="shared" si="2"/>
        <v>53353.5</v>
      </c>
      <c r="F104" s="210">
        <v>44341</v>
      </c>
      <c r="G104" s="210">
        <v>7184.5</v>
      </c>
      <c r="H104" s="211">
        <v>170</v>
      </c>
      <c r="I104" s="211">
        <v>1658</v>
      </c>
      <c r="J104" s="210">
        <v>0</v>
      </c>
      <c r="K104" s="211">
        <v>0</v>
      </c>
      <c r="L104" s="212">
        <f t="shared" si="3"/>
        <v>0</v>
      </c>
      <c r="M104" s="210">
        <v>0</v>
      </c>
      <c r="N104" s="210">
        <v>0</v>
      </c>
      <c r="O104" s="211">
        <v>0</v>
      </c>
      <c r="P104" s="211">
        <v>0</v>
      </c>
      <c r="Q104" s="210">
        <v>0</v>
      </c>
      <c r="R104" s="211">
        <v>0</v>
      </c>
    </row>
    <row r="105" spans="1:18" s="213" customFormat="1" ht="12.75">
      <c r="A105" s="45" t="s">
        <v>356</v>
      </c>
      <c r="B105" s="45" t="s">
        <v>384</v>
      </c>
      <c r="C105" s="46">
        <v>139621</v>
      </c>
      <c r="D105" s="47">
        <v>10</v>
      </c>
      <c r="E105" s="209">
        <f t="shared" si="2"/>
        <v>31462</v>
      </c>
      <c r="F105" s="210">
        <v>16852</v>
      </c>
      <c r="G105" s="210">
        <v>14290</v>
      </c>
      <c r="H105" s="211">
        <v>75</v>
      </c>
      <c r="I105" s="211">
        <v>245</v>
      </c>
      <c r="J105" s="210">
        <v>0</v>
      </c>
      <c r="K105" s="211">
        <v>0</v>
      </c>
      <c r="L105" s="212">
        <f t="shared" si="3"/>
        <v>0</v>
      </c>
      <c r="M105" s="210">
        <v>0</v>
      </c>
      <c r="N105" s="210">
        <v>0</v>
      </c>
      <c r="O105" s="211">
        <v>0</v>
      </c>
      <c r="P105" s="211">
        <v>0</v>
      </c>
      <c r="Q105" s="210">
        <v>0</v>
      </c>
      <c r="R105" s="211">
        <v>0</v>
      </c>
    </row>
    <row r="106" spans="1:18" s="213" customFormat="1" ht="12.75">
      <c r="A106" s="45" t="s">
        <v>356</v>
      </c>
      <c r="B106" s="45" t="s">
        <v>385</v>
      </c>
      <c r="C106" s="46">
        <v>139700</v>
      </c>
      <c r="D106" s="47">
        <v>10</v>
      </c>
      <c r="E106" s="209">
        <f t="shared" si="2"/>
        <v>71822</v>
      </c>
      <c r="F106" s="210">
        <v>38080</v>
      </c>
      <c r="G106" s="210">
        <v>29439</v>
      </c>
      <c r="H106" s="211">
        <v>1790</v>
      </c>
      <c r="I106" s="211">
        <v>276</v>
      </c>
      <c r="J106" s="210">
        <v>2237</v>
      </c>
      <c r="K106" s="211">
        <v>0</v>
      </c>
      <c r="L106" s="212">
        <f t="shared" si="3"/>
        <v>0</v>
      </c>
      <c r="M106" s="210">
        <v>0</v>
      </c>
      <c r="N106" s="210">
        <v>0</v>
      </c>
      <c r="O106" s="211">
        <v>0</v>
      </c>
      <c r="P106" s="211">
        <v>0</v>
      </c>
      <c r="Q106" s="210">
        <v>0</v>
      </c>
      <c r="R106" s="211">
        <v>0</v>
      </c>
    </row>
    <row r="107" spans="1:18" s="213" customFormat="1" ht="12.75">
      <c r="A107" s="45" t="s">
        <v>356</v>
      </c>
      <c r="B107" s="45" t="s">
        <v>386</v>
      </c>
      <c r="C107" s="46">
        <v>140483</v>
      </c>
      <c r="D107" s="47">
        <v>10</v>
      </c>
      <c r="E107" s="209">
        <f t="shared" si="2"/>
        <v>60710</v>
      </c>
      <c r="F107" s="210">
        <v>39332</v>
      </c>
      <c r="G107" s="210">
        <v>18450</v>
      </c>
      <c r="H107" s="211">
        <v>2645</v>
      </c>
      <c r="I107" s="211">
        <v>283</v>
      </c>
      <c r="J107" s="210">
        <v>0</v>
      </c>
      <c r="K107" s="211">
        <v>0</v>
      </c>
      <c r="L107" s="212">
        <f t="shared" si="3"/>
        <v>0</v>
      </c>
      <c r="M107" s="210">
        <v>0</v>
      </c>
      <c r="N107" s="210">
        <v>0</v>
      </c>
      <c r="O107" s="211">
        <v>0</v>
      </c>
      <c r="P107" s="211">
        <v>0</v>
      </c>
      <c r="Q107" s="210">
        <v>0</v>
      </c>
      <c r="R107" s="211">
        <v>0</v>
      </c>
    </row>
    <row r="108" spans="1:18" s="213" customFormat="1" ht="12.75">
      <c r="A108" s="45" t="s">
        <v>356</v>
      </c>
      <c r="B108" s="45" t="s">
        <v>387</v>
      </c>
      <c r="C108" s="46">
        <v>140997</v>
      </c>
      <c r="D108" s="47">
        <v>10</v>
      </c>
      <c r="E108" s="209">
        <f t="shared" si="2"/>
        <v>33172</v>
      </c>
      <c r="F108" s="210">
        <v>30204</v>
      </c>
      <c r="G108" s="210">
        <v>2968</v>
      </c>
      <c r="H108" s="211">
        <v>0</v>
      </c>
      <c r="I108" s="211">
        <v>0</v>
      </c>
      <c r="J108" s="210">
        <v>0</v>
      </c>
      <c r="K108" s="211">
        <v>0</v>
      </c>
      <c r="L108" s="212">
        <f t="shared" si="3"/>
        <v>0</v>
      </c>
      <c r="M108" s="210">
        <v>0</v>
      </c>
      <c r="N108" s="210">
        <v>0</v>
      </c>
      <c r="O108" s="211">
        <v>0</v>
      </c>
      <c r="P108" s="211">
        <v>0</v>
      </c>
      <c r="Q108" s="210">
        <v>0</v>
      </c>
      <c r="R108" s="211">
        <v>0</v>
      </c>
    </row>
    <row r="109" spans="1:18" s="223" customFormat="1" ht="12.75">
      <c r="A109" s="142" t="s">
        <v>356</v>
      </c>
      <c r="B109" s="142" t="s">
        <v>388</v>
      </c>
      <c r="C109" s="143">
        <v>141307</v>
      </c>
      <c r="D109" s="103">
        <v>10</v>
      </c>
      <c r="E109" s="219">
        <f t="shared" si="2"/>
        <v>19478</v>
      </c>
      <c r="F109" s="220">
        <v>17470</v>
      </c>
      <c r="G109" s="220">
        <v>1656</v>
      </c>
      <c r="H109" s="221">
        <v>352</v>
      </c>
      <c r="I109" s="211">
        <v>0</v>
      </c>
      <c r="J109" s="220">
        <v>0</v>
      </c>
      <c r="K109" s="221">
        <v>0</v>
      </c>
      <c r="L109" s="222">
        <f t="shared" si="3"/>
        <v>0</v>
      </c>
      <c r="M109" s="220">
        <v>0</v>
      </c>
      <c r="N109" s="220">
        <v>0</v>
      </c>
      <c r="O109" s="221">
        <v>0</v>
      </c>
      <c r="P109" s="211">
        <v>0</v>
      </c>
      <c r="Q109" s="220">
        <v>0</v>
      </c>
      <c r="R109" s="221">
        <v>0</v>
      </c>
    </row>
    <row r="110" spans="1:18" s="213" customFormat="1" ht="12.75">
      <c r="A110" s="48" t="s">
        <v>356</v>
      </c>
      <c r="B110" s="48" t="s">
        <v>389</v>
      </c>
      <c r="C110" s="49">
        <v>138682</v>
      </c>
      <c r="D110" s="50">
        <v>12</v>
      </c>
      <c r="E110" s="209">
        <f t="shared" si="2"/>
        <v>84348.66666666667</v>
      </c>
      <c r="F110" s="210">
        <f>117957*(2/3)</f>
        <v>78638</v>
      </c>
      <c r="G110" s="210"/>
      <c r="H110" s="211">
        <f>8566*(2/3)</f>
        <v>5710.666666666666</v>
      </c>
      <c r="I110" s="211">
        <v>0</v>
      </c>
      <c r="J110" s="210"/>
      <c r="K110" s="211"/>
      <c r="L110" s="212">
        <f t="shared" si="3"/>
        <v>0</v>
      </c>
      <c r="M110" s="210"/>
      <c r="N110" s="210"/>
      <c r="O110" s="211"/>
      <c r="P110" s="211">
        <v>0</v>
      </c>
      <c r="Q110" s="210"/>
      <c r="R110" s="211"/>
    </row>
    <row r="111" spans="1:18" s="213" customFormat="1" ht="12.75">
      <c r="A111" s="48" t="s">
        <v>356</v>
      </c>
      <c r="B111" s="48" t="s">
        <v>390</v>
      </c>
      <c r="C111" s="49">
        <v>366447</v>
      </c>
      <c r="D111" s="50">
        <v>12</v>
      </c>
      <c r="E111" s="209">
        <f t="shared" si="2"/>
        <v>35031.333333333336</v>
      </c>
      <c r="F111" s="210">
        <f>52326*(2/3)</f>
        <v>34884</v>
      </c>
      <c r="G111" s="210"/>
      <c r="H111" s="211">
        <f>221*(2/3)</f>
        <v>147.33333333333331</v>
      </c>
      <c r="I111" s="211">
        <v>0</v>
      </c>
      <c r="J111" s="210"/>
      <c r="K111" s="211"/>
      <c r="L111" s="212">
        <f t="shared" si="3"/>
        <v>0</v>
      </c>
      <c r="M111" s="210"/>
      <c r="N111" s="210"/>
      <c r="O111" s="211"/>
      <c r="P111" s="211">
        <v>0</v>
      </c>
      <c r="Q111" s="210"/>
      <c r="R111" s="211"/>
    </row>
    <row r="112" spans="1:18" s="213" customFormat="1" ht="12.75">
      <c r="A112" s="48" t="s">
        <v>356</v>
      </c>
      <c r="B112" s="48" t="s">
        <v>391</v>
      </c>
      <c r="C112" s="49">
        <v>246813</v>
      </c>
      <c r="D112" s="50">
        <v>12</v>
      </c>
      <c r="E112" s="209">
        <f t="shared" si="2"/>
        <v>83770.66666666667</v>
      </c>
      <c r="F112" s="210">
        <f>119433*(2/3)</f>
        <v>79622</v>
      </c>
      <c r="G112" s="210"/>
      <c r="H112" s="211">
        <f>6223*(2/3)</f>
        <v>4148.666666666666</v>
      </c>
      <c r="I112" s="211">
        <v>0</v>
      </c>
      <c r="J112" s="210"/>
      <c r="K112" s="211"/>
      <c r="L112" s="212">
        <f t="shared" si="3"/>
        <v>0</v>
      </c>
      <c r="M112" s="210"/>
      <c r="N112" s="210"/>
      <c r="O112" s="211"/>
      <c r="P112" s="211">
        <v>0</v>
      </c>
      <c r="Q112" s="210"/>
      <c r="R112" s="211"/>
    </row>
    <row r="113" spans="1:18" s="213" customFormat="1" ht="12.75">
      <c r="A113" s="48" t="s">
        <v>356</v>
      </c>
      <c r="B113" s="48" t="s">
        <v>392</v>
      </c>
      <c r="C113" s="49">
        <v>138840</v>
      </c>
      <c r="D113" s="50">
        <v>12</v>
      </c>
      <c r="E113" s="209">
        <f t="shared" si="2"/>
        <v>107290.66666666667</v>
      </c>
      <c r="F113" s="210">
        <f>154701*(2/3)</f>
        <v>103134</v>
      </c>
      <c r="G113" s="210"/>
      <c r="H113" s="211">
        <f>6235*(2/3)</f>
        <v>4156.666666666666</v>
      </c>
      <c r="I113" s="211">
        <v>0</v>
      </c>
      <c r="J113" s="210"/>
      <c r="K113" s="211"/>
      <c r="L113" s="212">
        <f t="shared" si="3"/>
        <v>0</v>
      </c>
      <c r="M113" s="210"/>
      <c r="N113" s="210"/>
      <c r="O113" s="211"/>
      <c r="P113" s="211">
        <v>0</v>
      </c>
      <c r="Q113" s="210"/>
      <c r="R113" s="211"/>
    </row>
    <row r="114" spans="1:18" s="213" customFormat="1" ht="12.75">
      <c r="A114" s="48" t="s">
        <v>356</v>
      </c>
      <c r="B114" s="48" t="s">
        <v>393</v>
      </c>
      <c r="C114" s="49">
        <v>138956</v>
      </c>
      <c r="D114" s="50">
        <v>12</v>
      </c>
      <c r="E114" s="209">
        <f t="shared" si="2"/>
        <v>109959.99999999999</v>
      </c>
      <c r="F114" s="210">
        <f>157651*(2/3)</f>
        <v>105100.66666666666</v>
      </c>
      <c r="G114" s="210"/>
      <c r="H114" s="211">
        <f>7289*(2/3)</f>
        <v>4859.333333333333</v>
      </c>
      <c r="I114" s="211">
        <v>0</v>
      </c>
      <c r="J114" s="210"/>
      <c r="K114" s="211"/>
      <c r="L114" s="212">
        <f t="shared" si="3"/>
        <v>0</v>
      </c>
      <c r="M114" s="210"/>
      <c r="N114" s="210"/>
      <c r="O114" s="211"/>
      <c r="P114" s="211">
        <v>0</v>
      </c>
      <c r="Q114" s="210"/>
      <c r="R114" s="211"/>
    </row>
    <row r="115" spans="1:18" s="213" customFormat="1" ht="12.75">
      <c r="A115" s="48" t="s">
        <v>356</v>
      </c>
      <c r="B115" s="48" t="s">
        <v>394</v>
      </c>
      <c r="C115" s="49">
        <v>140304</v>
      </c>
      <c r="D115" s="50">
        <v>12</v>
      </c>
      <c r="E115" s="209">
        <f t="shared" si="2"/>
        <v>140674.86666666664</v>
      </c>
      <c r="F115" s="210">
        <f>191295.3*(2/3)</f>
        <v>127530.19999999998</v>
      </c>
      <c r="G115" s="210"/>
      <c r="H115" s="211">
        <f>19717*(2/3)</f>
        <v>13144.666666666666</v>
      </c>
      <c r="I115" s="211">
        <v>0</v>
      </c>
      <c r="J115" s="210"/>
      <c r="K115" s="211"/>
      <c r="L115" s="212">
        <f t="shared" si="3"/>
        <v>0</v>
      </c>
      <c r="M115" s="210"/>
      <c r="N115" s="210"/>
      <c r="O115" s="211"/>
      <c r="P115" s="211">
        <v>0</v>
      </c>
      <c r="Q115" s="210"/>
      <c r="R115" s="211"/>
    </row>
    <row r="116" spans="1:18" s="213" customFormat="1" ht="12.75">
      <c r="A116" s="48" t="s">
        <v>356</v>
      </c>
      <c r="B116" s="48" t="s">
        <v>395</v>
      </c>
      <c r="C116" s="49">
        <v>140331</v>
      </c>
      <c r="D116" s="50">
        <v>12</v>
      </c>
      <c r="E116" s="209">
        <f t="shared" si="2"/>
        <v>127065.33333333333</v>
      </c>
      <c r="F116" s="210">
        <f>187882*(2/3)</f>
        <v>125254.66666666666</v>
      </c>
      <c r="G116" s="210"/>
      <c r="H116" s="211">
        <f>2716*(2/3)</f>
        <v>1810.6666666666665</v>
      </c>
      <c r="I116" s="211">
        <v>0</v>
      </c>
      <c r="J116" s="210"/>
      <c r="K116" s="211"/>
      <c r="L116" s="212">
        <f t="shared" si="3"/>
        <v>0</v>
      </c>
      <c r="M116" s="210"/>
      <c r="N116" s="210"/>
      <c r="O116" s="211"/>
      <c r="P116" s="211">
        <v>0</v>
      </c>
      <c r="Q116" s="210"/>
      <c r="R116" s="211"/>
    </row>
    <row r="117" spans="1:18" s="213" customFormat="1" ht="12.75">
      <c r="A117" s="48" t="s">
        <v>356</v>
      </c>
      <c r="B117" s="48" t="s">
        <v>396</v>
      </c>
      <c r="C117" s="49">
        <v>139357</v>
      </c>
      <c r="D117" s="50">
        <v>12</v>
      </c>
      <c r="E117" s="209">
        <f t="shared" si="2"/>
        <v>102503.33333333333</v>
      </c>
      <c r="F117" s="210">
        <f>142907*(2/3)</f>
        <v>95271.33333333333</v>
      </c>
      <c r="G117" s="210"/>
      <c r="H117" s="211">
        <f>10848*(2/3)</f>
        <v>7232</v>
      </c>
      <c r="I117" s="211">
        <v>0</v>
      </c>
      <c r="J117" s="210"/>
      <c r="K117" s="211"/>
      <c r="L117" s="212">
        <f t="shared" si="3"/>
        <v>0</v>
      </c>
      <c r="M117" s="210"/>
      <c r="N117" s="210"/>
      <c r="O117" s="211"/>
      <c r="P117" s="211">
        <v>0</v>
      </c>
      <c r="Q117" s="210"/>
      <c r="R117" s="211"/>
    </row>
    <row r="118" spans="1:18" s="213" customFormat="1" ht="12.75">
      <c r="A118" s="48" t="s">
        <v>356</v>
      </c>
      <c r="B118" s="48" t="s">
        <v>397</v>
      </c>
      <c r="C118" s="49">
        <v>139384</v>
      </c>
      <c r="D118" s="50">
        <v>12</v>
      </c>
      <c r="E118" s="209">
        <f t="shared" si="2"/>
        <v>75589.33333333333</v>
      </c>
      <c r="F118" s="224">
        <f>108752*(2/3)</f>
        <v>72501.33333333333</v>
      </c>
      <c r="G118" s="210"/>
      <c r="H118" s="211">
        <f>4632*(2/3)</f>
        <v>3088</v>
      </c>
      <c r="I118" s="211">
        <v>0</v>
      </c>
      <c r="J118" s="210"/>
      <c r="K118" s="211"/>
      <c r="L118" s="212">
        <f t="shared" si="3"/>
        <v>0</v>
      </c>
      <c r="M118" s="210"/>
      <c r="N118" s="210"/>
      <c r="O118" s="211"/>
      <c r="P118" s="211">
        <v>0</v>
      </c>
      <c r="Q118" s="210"/>
      <c r="R118" s="211"/>
    </row>
    <row r="119" spans="1:18" s="213" customFormat="1" ht="12.75">
      <c r="A119" s="48" t="s">
        <v>356</v>
      </c>
      <c r="B119" s="48" t="s">
        <v>398</v>
      </c>
      <c r="C119" s="49">
        <v>244446</v>
      </c>
      <c r="D119" s="50">
        <v>12</v>
      </c>
      <c r="E119" s="209">
        <f t="shared" si="2"/>
        <v>123633.99999999999</v>
      </c>
      <c r="F119" s="210">
        <f>148702*(2/3)</f>
        <v>99134.66666666666</v>
      </c>
      <c r="G119" s="210"/>
      <c r="H119" s="211">
        <f>36749*(2/3)</f>
        <v>24499.333333333332</v>
      </c>
      <c r="I119" s="211">
        <v>0</v>
      </c>
      <c r="J119" s="210"/>
      <c r="K119" s="211"/>
      <c r="L119" s="212">
        <f t="shared" si="3"/>
        <v>0</v>
      </c>
      <c r="M119" s="210"/>
      <c r="N119" s="210"/>
      <c r="O119" s="211"/>
      <c r="P119" s="211">
        <v>0</v>
      </c>
      <c r="Q119" s="210"/>
      <c r="R119" s="211"/>
    </row>
    <row r="120" spans="1:18" s="213" customFormat="1" ht="12.75">
      <c r="A120" s="48" t="s">
        <v>356</v>
      </c>
      <c r="B120" s="48" t="s">
        <v>399</v>
      </c>
      <c r="C120" s="49">
        <v>139126</v>
      </c>
      <c r="D120" s="50">
        <v>12</v>
      </c>
      <c r="E120" s="209">
        <f t="shared" si="2"/>
        <v>44820.666666666664</v>
      </c>
      <c r="F120" s="210">
        <f>60565*(2/3)</f>
        <v>40376.666666666664</v>
      </c>
      <c r="G120" s="210"/>
      <c r="H120" s="211">
        <f>6666*(2/3)</f>
        <v>4444</v>
      </c>
      <c r="I120" s="211">
        <v>0</v>
      </c>
      <c r="J120" s="210"/>
      <c r="K120" s="211"/>
      <c r="L120" s="212">
        <f t="shared" si="3"/>
        <v>0</v>
      </c>
      <c r="M120" s="210"/>
      <c r="N120" s="210"/>
      <c r="O120" s="211"/>
      <c r="P120" s="211">
        <v>0</v>
      </c>
      <c r="Q120" s="210"/>
      <c r="R120" s="211"/>
    </row>
    <row r="121" spans="1:18" s="213" customFormat="1" ht="12.75">
      <c r="A121" s="48" t="s">
        <v>356</v>
      </c>
      <c r="B121" s="48" t="s">
        <v>400</v>
      </c>
      <c r="C121" s="49">
        <v>248794</v>
      </c>
      <c r="D121" s="50">
        <v>12</v>
      </c>
      <c r="E121" s="209">
        <f t="shared" si="2"/>
        <v>30936.799999999996</v>
      </c>
      <c r="F121" s="210">
        <f>43292.2*(2/3)</f>
        <v>28861.466666666664</v>
      </c>
      <c r="G121" s="210"/>
      <c r="H121" s="211">
        <f>3113*(2/3)</f>
        <v>2075.333333333333</v>
      </c>
      <c r="I121" s="211">
        <v>0</v>
      </c>
      <c r="J121" s="210"/>
      <c r="K121" s="211"/>
      <c r="L121" s="212">
        <f t="shared" si="3"/>
        <v>0</v>
      </c>
      <c r="M121" s="210"/>
      <c r="N121" s="210"/>
      <c r="O121" s="211"/>
      <c r="P121" s="211">
        <v>0</v>
      </c>
      <c r="Q121" s="210"/>
      <c r="R121" s="211"/>
    </row>
    <row r="122" spans="1:18" s="213" customFormat="1" ht="12.75">
      <c r="A122" s="48" t="s">
        <v>356</v>
      </c>
      <c r="B122" s="48" t="s">
        <v>401</v>
      </c>
      <c r="C122" s="49">
        <v>139986</v>
      </c>
      <c r="D122" s="50">
        <v>12</v>
      </c>
      <c r="E122" s="209">
        <f t="shared" si="2"/>
        <v>92245.33333333333</v>
      </c>
      <c r="F122" s="210">
        <f>134948*(2/3)</f>
        <v>89965.33333333333</v>
      </c>
      <c r="G122" s="210"/>
      <c r="H122" s="211">
        <f>3420*(2/3)</f>
        <v>2280</v>
      </c>
      <c r="I122" s="211">
        <v>0</v>
      </c>
      <c r="J122" s="210"/>
      <c r="K122" s="211"/>
      <c r="L122" s="212">
        <f t="shared" si="3"/>
        <v>0</v>
      </c>
      <c r="M122" s="210"/>
      <c r="N122" s="210"/>
      <c r="O122" s="211"/>
      <c r="P122" s="211">
        <v>0</v>
      </c>
      <c r="Q122" s="210"/>
      <c r="R122" s="211"/>
    </row>
    <row r="123" spans="1:18" s="213" customFormat="1" ht="12.75">
      <c r="A123" s="48" t="s">
        <v>356</v>
      </c>
      <c r="B123" s="48" t="s">
        <v>402</v>
      </c>
      <c r="C123" s="49">
        <v>140012</v>
      </c>
      <c r="D123" s="50">
        <v>12</v>
      </c>
      <c r="E123" s="209">
        <f t="shared" si="2"/>
        <v>111449.99999999999</v>
      </c>
      <c r="F123" s="210">
        <f>137203*(2/3)</f>
        <v>91468.66666666666</v>
      </c>
      <c r="G123" s="210"/>
      <c r="H123" s="211">
        <f>29972*(2/3)</f>
        <v>19981.333333333332</v>
      </c>
      <c r="I123" s="211">
        <v>0</v>
      </c>
      <c r="J123" s="210"/>
      <c r="K123" s="211"/>
      <c r="L123" s="212">
        <f t="shared" si="3"/>
        <v>0</v>
      </c>
      <c r="M123" s="210"/>
      <c r="N123" s="210"/>
      <c r="O123" s="211"/>
      <c r="P123" s="211">
        <v>0</v>
      </c>
      <c r="Q123" s="210"/>
      <c r="R123" s="211"/>
    </row>
    <row r="124" spans="1:18" s="213" customFormat="1" ht="12.75">
      <c r="A124" s="48" t="s">
        <v>356</v>
      </c>
      <c r="B124" s="48" t="s">
        <v>403</v>
      </c>
      <c r="C124" s="49">
        <v>140076</v>
      </c>
      <c r="D124" s="50">
        <v>12</v>
      </c>
      <c r="E124" s="209">
        <f t="shared" si="2"/>
        <v>36890</v>
      </c>
      <c r="F124" s="210">
        <f>54544*(2/3)</f>
        <v>36362.666666666664</v>
      </c>
      <c r="G124" s="210"/>
      <c r="H124" s="211">
        <f>791*(2/3)</f>
        <v>527.3333333333333</v>
      </c>
      <c r="I124" s="211">
        <v>0</v>
      </c>
      <c r="J124" s="210"/>
      <c r="K124" s="211"/>
      <c r="L124" s="212">
        <f t="shared" si="3"/>
        <v>0</v>
      </c>
      <c r="M124" s="210"/>
      <c r="N124" s="210"/>
      <c r="O124" s="211"/>
      <c r="P124" s="211">
        <v>0</v>
      </c>
      <c r="Q124" s="210"/>
      <c r="R124" s="211"/>
    </row>
    <row r="125" spans="1:18" s="213" customFormat="1" ht="12.75">
      <c r="A125" s="48" t="s">
        <v>356</v>
      </c>
      <c r="B125" s="48" t="s">
        <v>404</v>
      </c>
      <c r="C125" s="49">
        <v>140243</v>
      </c>
      <c r="D125" s="50">
        <v>12</v>
      </c>
      <c r="E125" s="209">
        <f t="shared" si="2"/>
        <v>73464.66666666666</v>
      </c>
      <c r="F125" s="210">
        <f>89968*(2/3)</f>
        <v>59978.666666666664</v>
      </c>
      <c r="G125" s="210"/>
      <c r="H125" s="211">
        <f>20229*(2/3)</f>
        <v>13486</v>
      </c>
      <c r="I125" s="211">
        <v>0</v>
      </c>
      <c r="J125" s="210"/>
      <c r="K125" s="211"/>
      <c r="L125" s="212">
        <f t="shared" si="3"/>
        <v>0</v>
      </c>
      <c r="M125" s="210"/>
      <c r="N125" s="210"/>
      <c r="O125" s="211"/>
      <c r="P125" s="211">
        <v>0</v>
      </c>
      <c r="Q125" s="210"/>
      <c r="R125" s="211"/>
    </row>
    <row r="126" spans="1:18" s="213" customFormat="1" ht="12.75">
      <c r="A126" s="48" t="s">
        <v>356</v>
      </c>
      <c r="B126" s="48" t="s">
        <v>405</v>
      </c>
      <c r="C126" s="49">
        <v>140085</v>
      </c>
      <c r="D126" s="50">
        <v>12</v>
      </c>
      <c r="E126" s="209">
        <f t="shared" si="2"/>
        <v>70714</v>
      </c>
      <c r="F126" s="210">
        <f>102635*(2/3)</f>
        <v>68423.33333333333</v>
      </c>
      <c r="G126" s="210"/>
      <c r="H126" s="211">
        <f>3436*(2/3)</f>
        <v>2290.6666666666665</v>
      </c>
      <c r="I126" s="211">
        <v>0</v>
      </c>
      <c r="J126" s="210"/>
      <c r="K126" s="211"/>
      <c r="L126" s="212">
        <f t="shared" si="3"/>
        <v>0</v>
      </c>
      <c r="M126" s="210"/>
      <c r="N126" s="210"/>
      <c r="O126" s="211"/>
      <c r="P126" s="211">
        <v>0</v>
      </c>
      <c r="Q126" s="210"/>
      <c r="R126" s="211"/>
    </row>
    <row r="127" spans="1:18" s="213" customFormat="1" ht="12.75">
      <c r="A127" s="48" t="s">
        <v>356</v>
      </c>
      <c r="B127" s="48" t="s">
        <v>406</v>
      </c>
      <c r="C127" s="49">
        <v>140599</v>
      </c>
      <c r="D127" s="50">
        <v>12</v>
      </c>
      <c r="E127" s="209">
        <f t="shared" si="2"/>
        <v>51542</v>
      </c>
      <c r="F127" s="210">
        <f>72181*(2/3)</f>
        <v>48120.666666666664</v>
      </c>
      <c r="G127" s="210"/>
      <c r="H127" s="211">
        <f>5132*(2/3)</f>
        <v>3421.333333333333</v>
      </c>
      <c r="I127" s="211">
        <v>0</v>
      </c>
      <c r="J127" s="210"/>
      <c r="K127" s="211"/>
      <c r="L127" s="212">
        <f t="shared" si="3"/>
        <v>0</v>
      </c>
      <c r="M127" s="210"/>
      <c r="N127" s="210"/>
      <c r="O127" s="211"/>
      <c r="P127" s="211">
        <v>0</v>
      </c>
      <c r="Q127" s="210"/>
      <c r="R127" s="211"/>
    </row>
    <row r="128" spans="1:18" s="213" customFormat="1" ht="12.75">
      <c r="A128" s="48" t="s">
        <v>356</v>
      </c>
      <c r="B128" s="48" t="s">
        <v>407</v>
      </c>
      <c r="C128" s="49">
        <v>140678</v>
      </c>
      <c r="D128" s="50">
        <v>12</v>
      </c>
      <c r="E128" s="209">
        <f t="shared" si="2"/>
        <v>55934</v>
      </c>
      <c r="F128" s="210">
        <f>75829*(2/3)</f>
        <v>50552.666666666664</v>
      </c>
      <c r="G128" s="210"/>
      <c r="H128" s="211">
        <f>8072*(2/3)</f>
        <v>5381.333333333333</v>
      </c>
      <c r="I128" s="211">
        <v>0</v>
      </c>
      <c r="J128" s="210"/>
      <c r="K128" s="211"/>
      <c r="L128" s="212">
        <f t="shared" si="3"/>
        <v>0</v>
      </c>
      <c r="M128" s="210"/>
      <c r="N128" s="210"/>
      <c r="O128" s="211"/>
      <c r="P128" s="211">
        <v>0</v>
      </c>
      <c r="Q128" s="210"/>
      <c r="R128" s="211"/>
    </row>
    <row r="129" spans="1:18" s="213" customFormat="1" ht="12.75">
      <c r="A129" s="48" t="s">
        <v>356</v>
      </c>
      <c r="B129" s="48" t="s">
        <v>408</v>
      </c>
      <c r="C129" s="49">
        <v>366456</v>
      </c>
      <c r="D129" s="50">
        <v>12</v>
      </c>
      <c r="E129" s="209">
        <f t="shared" si="2"/>
        <v>43163.99999999999</v>
      </c>
      <c r="F129" s="210">
        <f>59963*(2/3)</f>
        <v>39975.33333333333</v>
      </c>
      <c r="G129" s="210"/>
      <c r="H129" s="211">
        <f>4783*(2/3)</f>
        <v>3188.6666666666665</v>
      </c>
      <c r="I129" s="211">
        <v>0</v>
      </c>
      <c r="J129" s="210"/>
      <c r="K129" s="211"/>
      <c r="L129" s="212">
        <f t="shared" si="3"/>
        <v>0</v>
      </c>
      <c r="M129" s="210"/>
      <c r="N129" s="210"/>
      <c r="O129" s="211"/>
      <c r="P129" s="211">
        <v>0</v>
      </c>
      <c r="Q129" s="210"/>
      <c r="R129" s="211"/>
    </row>
    <row r="130" spans="1:18" s="213" customFormat="1" ht="12.75">
      <c r="A130" s="48" t="s">
        <v>356</v>
      </c>
      <c r="B130" s="48" t="s">
        <v>409</v>
      </c>
      <c r="C130" s="49">
        <v>141273</v>
      </c>
      <c r="D130" s="50">
        <v>12</v>
      </c>
      <c r="E130" s="209">
        <f t="shared" si="2"/>
        <v>58128.666666666664</v>
      </c>
      <c r="F130" s="210">
        <f>76541*(2/3)</f>
        <v>51027.33333333333</v>
      </c>
      <c r="G130" s="210"/>
      <c r="H130" s="211">
        <f>10652*(2/3)</f>
        <v>7101.333333333333</v>
      </c>
      <c r="I130" s="211">
        <v>0</v>
      </c>
      <c r="J130" s="210"/>
      <c r="K130" s="211"/>
      <c r="L130" s="212">
        <f t="shared" si="3"/>
        <v>0</v>
      </c>
      <c r="M130" s="210"/>
      <c r="N130" s="210"/>
      <c r="O130" s="211"/>
      <c r="P130" s="211">
        <v>0</v>
      </c>
      <c r="Q130" s="210"/>
      <c r="R130" s="211"/>
    </row>
    <row r="131" spans="1:18" s="213" customFormat="1" ht="12.75">
      <c r="A131" s="48" t="s">
        <v>356</v>
      </c>
      <c r="B131" s="48" t="s">
        <v>410</v>
      </c>
      <c r="C131" s="49">
        <v>366465</v>
      </c>
      <c r="D131" s="50">
        <v>12</v>
      </c>
      <c r="E131" s="209">
        <f t="shared" si="2"/>
        <v>57636.666666666664</v>
      </c>
      <c r="F131" s="210">
        <f>81955*(2/3)</f>
        <v>54636.666666666664</v>
      </c>
      <c r="G131" s="210"/>
      <c r="H131" s="211">
        <f>4500*(2/3)</f>
        <v>3000</v>
      </c>
      <c r="I131" s="211">
        <v>0</v>
      </c>
      <c r="J131" s="210"/>
      <c r="K131" s="211"/>
      <c r="L131" s="212">
        <f t="shared" si="3"/>
        <v>0</v>
      </c>
      <c r="M131" s="210"/>
      <c r="N131" s="210"/>
      <c r="O131" s="211"/>
      <c r="P131" s="211">
        <v>0</v>
      </c>
      <c r="Q131" s="210"/>
      <c r="R131" s="211"/>
    </row>
    <row r="132" spans="1:18" s="213" customFormat="1" ht="12.75">
      <c r="A132" s="48" t="s">
        <v>356</v>
      </c>
      <c r="B132" s="48" t="s">
        <v>411</v>
      </c>
      <c r="C132" s="49">
        <v>248776</v>
      </c>
      <c r="D132" s="50">
        <v>12</v>
      </c>
      <c r="E132" s="209">
        <f t="shared" si="2"/>
        <v>48651.99999999999</v>
      </c>
      <c r="F132" s="210">
        <f>69989*(2/3)</f>
        <v>46659.33333333333</v>
      </c>
      <c r="G132" s="210"/>
      <c r="H132" s="211">
        <f>2989*(2/3)</f>
        <v>1992.6666666666665</v>
      </c>
      <c r="I132" s="211">
        <v>0</v>
      </c>
      <c r="J132" s="210"/>
      <c r="K132" s="211"/>
      <c r="L132" s="212">
        <f t="shared" si="3"/>
        <v>0</v>
      </c>
      <c r="M132" s="210"/>
      <c r="N132" s="210"/>
      <c r="O132" s="211"/>
      <c r="P132" s="211">
        <v>0</v>
      </c>
      <c r="Q132" s="210"/>
      <c r="R132" s="211"/>
    </row>
    <row r="133" spans="1:18" s="213" customFormat="1" ht="12.75">
      <c r="A133" s="48" t="s">
        <v>356</v>
      </c>
      <c r="B133" s="48" t="s">
        <v>412</v>
      </c>
      <c r="C133" s="49">
        <v>140942</v>
      </c>
      <c r="D133" s="50">
        <v>12</v>
      </c>
      <c r="E133" s="209">
        <f t="shared" si="2"/>
        <v>96099.33333333333</v>
      </c>
      <c r="F133" s="210">
        <f>136931*(2/3)</f>
        <v>91287.33333333333</v>
      </c>
      <c r="G133" s="210"/>
      <c r="H133" s="211">
        <f>7218*(2/3)</f>
        <v>4812</v>
      </c>
      <c r="I133" s="211">
        <v>0</v>
      </c>
      <c r="J133" s="210"/>
      <c r="K133" s="211"/>
      <c r="L133" s="212">
        <f t="shared" si="3"/>
        <v>0</v>
      </c>
      <c r="M133" s="210"/>
      <c r="N133" s="210"/>
      <c r="O133" s="211"/>
      <c r="P133" s="211">
        <v>0</v>
      </c>
      <c r="Q133" s="210"/>
      <c r="R133" s="211"/>
    </row>
    <row r="134" spans="1:18" s="213" customFormat="1" ht="12.75">
      <c r="A134" s="48" t="s">
        <v>356</v>
      </c>
      <c r="B134" s="48" t="s">
        <v>413</v>
      </c>
      <c r="C134" s="49">
        <v>141006</v>
      </c>
      <c r="D134" s="50">
        <v>12</v>
      </c>
      <c r="E134" s="209">
        <f aca="true" t="shared" si="4" ref="E134:E198">SUM(F134:K134)</f>
        <v>52252.666666666664</v>
      </c>
      <c r="F134" s="210">
        <f>75549*(2/3)</f>
        <v>50366</v>
      </c>
      <c r="G134" s="210"/>
      <c r="H134" s="211">
        <f>2830*(2/3)</f>
        <v>1886.6666666666665</v>
      </c>
      <c r="I134" s="211">
        <v>0</v>
      </c>
      <c r="J134" s="210"/>
      <c r="K134" s="211"/>
      <c r="L134" s="212">
        <f aca="true" t="shared" si="5" ref="L134:L198">SUM(M134:R134)</f>
        <v>0</v>
      </c>
      <c r="M134" s="210"/>
      <c r="N134" s="210"/>
      <c r="O134" s="211"/>
      <c r="P134" s="211">
        <v>0</v>
      </c>
      <c r="Q134" s="210"/>
      <c r="R134" s="211"/>
    </row>
    <row r="135" spans="1:18" s="213" customFormat="1" ht="12.75">
      <c r="A135" s="48" t="s">
        <v>356</v>
      </c>
      <c r="B135" s="48" t="s">
        <v>414</v>
      </c>
      <c r="C135" s="49">
        <v>368911</v>
      </c>
      <c r="D135" s="50">
        <v>12</v>
      </c>
      <c r="E135" s="209">
        <f t="shared" si="4"/>
        <v>35720</v>
      </c>
      <c r="F135" s="210">
        <f>45197*(2/3)</f>
        <v>30131.333333333332</v>
      </c>
      <c r="G135" s="210"/>
      <c r="H135" s="211">
        <f>8383*(2/3)</f>
        <v>5588.666666666666</v>
      </c>
      <c r="I135" s="211">
        <v>0</v>
      </c>
      <c r="J135" s="210"/>
      <c r="K135" s="211"/>
      <c r="L135" s="212">
        <f t="shared" si="5"/>
        <v>0</v>
      </c>
      <c r="M135" s="210"/>
      <c r="N135" s="210"/>
      <c r="O135" s="211"/>
      <c r="P135" s="211">
        <v>0</v>
      </c>
      <c r="Q135" s="210"/>
      <c r="R135" s="211"/>
    </row>
    <row r="136" spans="1:18" s="213" customFormat="1" ht="12.75">
      <c r="A136" s="48" t="s">
        <v>356</v>
      </c>
      <c r="B136" s="48" t="s">
        <v>415</v>
      </c>
      <c r="C136" s="49">
        <v>141158</v>
      </c>
      <c r="D136" s="50">
        <v>12</v>
      </c>
      <c r="E136" s="209">
        <f t="shared" si="4"/>
        <v>43705.53333333333</v>
      </c>
      <c r="F136" s="210">
        <f>61723.3*(2/3)</f>
        <v>41148.86666666667</v>
      </c>
      <c r="G136" s="210"/>
      <c r="H136" s="211">
        <f>3835*(2/3)</f>
        <v>2556.6666666666665</v>
      </c>
      <c r="I136" s="211">
        <v>0</v>
      </c>
      <c r="J136" s="210"/>
      <c r="K136" s="211"/>
      <c r="L136" s="212">
        <f t="shared" si="5"/>
        <v>0</v>
      </c>
      <c r="M136" s="210"/>
      <c r="N136" s="210"/>
      <c r="O136" s="211"/>
      <c r="P136" s="211">
        <v>0</v>
      </c>
      <c r="Q136" s="210"/>
      <c r="R136" s="211"/>
    </row>
    <row r="137" spans="1:18" s="213" customFormat="1" ht="12.75">
      <c r="A137" s="48" t="s">
        <v>356</v>
      </c>
      <c r="B137" s="48" t="s">
        <v>416</v>
      </c>
      <c r="C137" s="49">
        <v>141255</v>
      </c>
      <c r="D137" s="50">
        <v>12</v>
      </c>
      <c r="E137" s="209">
        <f t="shared" si="4"/>
        <v>66274</v>
      </c>
      <c r="F137" s="210">
        <f>93610*(2/3)</f>
        <v>62406.666666666664</v>
      </c>
      <c r="G137" s="210"/>
      <c r="H137" s="211">
        <f>5801*(2/3)</f>
        <v>3867.333333333333</v>
      </c>
      <c r="I137" s="211">
        <v>0</v>
      </c>
      <c r="J137" s="210"/>
      <c r="K137" s="211"/>
      <c r="L137" s="212">
        <f t="shared" si="5"/>
        <v>0</v>
      </c>
      <c r="M137" s="210"/>
      <c r="N137" s="210"/>
      <c r="O137" s="211"/>
      <c r="P137" s="211">
        <v>0</v>
      </c>
      <c r="Q137" s="210"/>
      <c r="R137" s="211"/>
    </row>
    <row r="138" spans="1:18" s="213" customFormat="1" ht="12.75">
      <c r="A138" s="48" t="s">
        <v>356</v>
      </c>
      <c r="B138" s="48" t="s">
        <v>417</v>
      </c>
      <c r="C138" s="49">
        <v>139278</v>
      </c>
      <c r="D138" s="50">
        <v>12</v>
      </c>
      <c r="E138" s="209">
        <f t="shared" si="4"/>
        <v>60490.666666666664</v>
      </c>
      <c r="F138" s="210">
        <f>88862*(2/3)</f>
        <v>59241.33333333333</v>
      </c>
      <c r="G138" s="210"/>
      <c r="H138" s="211">
        <f>1874*(2/3)</f>
        <v>1249.3333333333333</v>
      </c>
      <c r="I138" s="211">
        <v>0</v>
      </c>
      <c r="J138" s="210"/>
      <c r="K138" s="211"/>
      <c r="L138" s="212">
        <f t="shared" si="5"/>
        <v>0</v>
      </c>
      <c r="M138" s="210"/>
      <c r="N138" s="210"/>
      <c r="O138" s="211"/>
      <c r="P138" s="211">
        <v>0</v>
      </c>
      <c r="Q138" s="210"/>
      <c r="R138" s="211"/>
    </row>
    <row r="139" spans="1:18" s="213" customFormat="1" ht="12.75">
      <c r="A139" s="48" t="s">
        <v>356</v>
      </c>
      <c r="B139" s="48" t="s">
        <v>418</v>
      </c>
      <c r="C139" s="49">
        <v>141228</v>
      </c>
      <c r="D139" s="50">
        <v>12</v>
      </c>
      <c r="E139" s="209">
        <f t="shared" si="4"/>
        <v>52052</v>
      </c>
      <c r="F139" s="210">
        <f>72123*(2/3)</f>
        <v>48082</v>
      </c>
      <c r="G139" s="210"/>
      <c r="H139" s="211">
        <f>5955*(2/3)</f>
        <v>3970</v>
      </c>
      <c r="I139" s="211">
        <v>0</v>
      </c>
      <c r="J139" s="210"/>
      <c r="K139" s="211"/>
      <c r="L139" s="212">
        <f t="shared" si="5"/>
        <v>0</v>
      </c>
      <c r="M139" s="210"/>
      <c r="N139" s="210"/>
      <c r="O139" s="211"/>
      <c r="P139" s="211">
        <v>0</v>
      </c>
      <c r="Q139" s="210"/>
      <c r="R139" s="211"/>
    </row>
    <row r="140" spans="1:18" s="213" customFormat="1" ht="12.75">
      <c r="A140" s="48" t="s">
        <v>356</v>
      </c>
      <c r="B140" s="48" t="s">
        <v>419</v>
      </c>
      <c r="C140" s="49">
        <v>140809</v>
      </c>
      <c r="D140" s="50">
        <v>13</v>
      </c>
      <c r="E140" s="209">
        <f t="shared" si="4"/>
        <v>26257.333333333332</v>
      </c>
      <c r="F140" s="210">
        <f>34961*(2/3)</f>
        <v>23307.333333333332</v>
      </c>
      <c r="G140" s="210"/>
      <c r="H140" s="211">
        <f>4425*(2/3)</f>
        <v>2950</v>
      </c>
      <c r="I140" s="211">
        <v>0</v>
      </c>
      <c r="J140" s="210"/>
      <c r="K140" s="211"/>
      <c r="L140" s="212">
        <f t="shared" si="5"/>
        <v>0</v>
      </c>
      <c r="M140" s="210"/>
      <c r="N140" s="210"/>
      <c r="O140" s="211"/>
      <c r="P140" s="211">
        <v>0</v>
      </c>
      <c r="Q140" s="210"/>
      <c r="R140" s="211"/>
    </row>
    <row r="141" spans="1:18" s="213" customFormat="1" ht="12.75">
      <c r="A141" s="48" t="s">
        <v>356</v>
      </c>
      <c r="B141" s="48" t="s">
        <v>420</v>
      </c>
      <c r="C141" s="49">
        <v>420431</v>
      </c>
      <c r="D141" s="50">
        <v>13</v>
      </c>
      <c r="E141" s="209">
        <f t="shared" si="4"/>
        <v>19979.999999999996</v>
      </c>
      <c r="F141" s="210">
        <f>29722*(2/3)</f>
        <v>19814.666666666664</v>
      </c>
      <c r="G141" s="210"/>
      <c r="H141" s="211">
        <f>248*(2/3)</f>
        <v>165.33333333333331</v>
      </c>
      <c r="I141" s="211">
        <v>0</v>
      </c>
      <c r="J141" s="210"/>
      <c r="K141" s="211"/>
      <c r="L141" s="212">
        <f t="shared" si="5"/>
        <v>0</v>
      </c>
      <c r="M141" s="210"/>
      <c r="N141" s="210"/>
      <c r="O141" s="211"/>
      <c r="P141" s="211">
        <v>0</v>
      </c>
      <c r="Q141" s="210"/>
      <c r="R141" s="211"/>
    </row>
    <row r="142" spans="1:18" s="223" customFormat="1" ht="12.75">
      <c r="A142" s="51" t="s">
        <v>356</v>
      </c>
      <c r="B142" s="51" t="s">
        <v>421</v>
      </c>
      <c r="C142" s="52">
        <v>141121</v>
      </c>
      <c r="D142" s="53">
        <v>13</v>
      </c>
      <c r="E142" s="219">
        <f t="shared" si="4"/>
        <v>19858.666666666668</v>
      </c>
      <c r="F142" s="220">
        <f>28836*(2/3)</f>
        <v>19224</v>
      </c>
      <c r="G142" s="220"/>
      <c r="H142" s="221">
        <f>952*(2/3)</f>
        <v>634.6666666666666</v>
      </c>
      <c r="I142" s="211">
        <v>0</v>
      </c>
      <c r="J142" s="220"/>
      <c r="K142" s="221"/>
      <c r="L142" s="222">
        <f t="shared" si="5"/>
        <v>0</v>
      </c>
      <c r="M142" s="220"/>
      <c r="N142" s="220"/>
      <c r="O142" s="221"/>
      <c r="P142" s="211">
        <v>0</v>
      </c>
      <c r="Q142" s="220"/>
      <c r="R142" s="221"/>
    </row>
    <row r="143" spans="1:18" s="213" customFormat="1" ht="12.75">
      <c r="A143" s="54" t="s">
        <v>422</v>
      </c>
      <c r="B143" s="54" t="s">
        <v>423</v>
      </c>
      <c r="C143" s="55">
        <v>157085</v>
      </c>
      <c r="D143" s="56">
        <v>1</v>
      </c>
      <c r="E143" s="209">
        <f t="shared" si="4"/>
        <v>495804</v>
      </c>
      <c r="F143" s="210">
        <v>487693</v>
      </c>
      <c r="G143" s="210">
        <v>2678</v>
      </c>
      <c r="H143" s="211">
        <v>3603</v>
      </c>
      <c r="I143" s="211">
        <v>822</v>
      </c>
      <c r="J143" s="210">
        <v>1008</v>
      </c>
      <c r="K143" s="211"/>
      <c r="L143" s="212">
        <f t="shared" si="5"/>
        <v>85820</v>
      </c>
      <c r="M143" s="210">
        <v>79329</v>
      </c>
      <c r="N143" s="210">
        <v>4138</v>
      </c>
      <c r="O143" s="211">
        <v>1395</v>
      </c>
      <c r="P143" s="211">
        <v>955</v>
      </c>
      <c r="Q143" s="210">
        <v>3</v>
      </c>
      <c r="R143" s="211"/>
    </row>
    <row r="144" spans="1:18" s="213" customFormat="1" ht="12.75">
      <c r="A144" s="54" t="s">
        <v>422</v>
      </c>
      <c r="B144" s="54" t="s">
        <v>424</v>
      </c>
      <c r="C144" s="55">
        <v>157289</v>
      </c>
      <c r="D144" s="56">
        <v>2</v>
      </c>
      <c r="E144" s="209">
        <f t="shared" si="4"/>
        <v>354021.5</v>
      </c>
      <c r="F144" s="210">
        <v>313559.5</v>
      </c>
      <c r="G144" s="210">
        <v>4974</v>
      </c>
      <c r="H144" s="211">
        <v>34393</v>
      </c>
      <c r="I144" s="211">
        <v>0</v>
      </c>
      <c r="J144" s="210">
        <v>1095</v>
      </c>
      <c r="K144" s="211"/>
      <c r="L144" s="212">
        <f t="shared" si="5"/>
        <v>82421</v>
      </c>
      <c r="M144" s="210">
        <v>63064.5</v>
      </c>
      <c r="N144" s="210">
        <v>8568</v>
      </c>
      <c r="O144" s="211">
        <v>10749.5</v>
      </c>
      <c r="P144" s="211">
        <v>33</v>
      </c>
      <c r="Q144" s="210">
        <v>6</v>
      </c>
      <c r="R144" s="211"/>
    </row>
    <row r="145" spans="1:18" s="213" customFormat="1" ht="12.75">
      <c r="A145" s="54" t="s">
        <v>422</v>
      </c>
      <c r="B145" s="54" t="s">
        <v>425</v>
      </c>
      <c r="C145" s="55">
        <v>156620</v>
      </c>
      <c r="D145" s="56">
        <v>3</v>
      </c>
      <c r="E145" s="209">
        <f t="shared" si="4"/>
        <v>344090</v>
      </c>
      <c r="F145" s="210">
        <v>299210</v>
      </c>
      <c r="G145" s="210">
        <v>29645</v>
      </c>
      <c r="H145" s="211">
        <v>4497</v>
      </c>
      <c r="I145" s="211">
        <v>8735</v>
      </c>
      <c r="J145" s="210">
        <v>2003</v>
      </c>
      <c r="K145" s="211"/>
      <c r="L145" s="212">
        <f t="shared" si="5"/>
        <v>38254</v>
      </c>
      <c r="M145" s="210">
        <v>26383</v>
      </c>
      <c r="N145" s="210">
        <v>8351</v>
      </c>
      <c r="O145" s="211">
        <v>1270</v>
      </c>
      <c r="P145" s="211">
        <v>2235</v>
      </c>
      <c r="Q145" s="210">
        <v>15</v>
      </c>
      <c r="R145" s="211"/>
    </row>
    <row r="146" spans="1:18" s="213" customFormat="1" ht="12.75">
      <c r="A146" s="54" t="s">
        <v>422</v>
      </c>
      <c r="B146" s="54" t="s">
        <v>426</v>
      </c>
      <c r="C146" s="55">
        <v>157401</v>
      </c>
      <c r="D146" s="56">
        <v>3</v>
      </c>
      <c r="E146" s="209">
        <f t="shared" si="4"/>
        <v>229925</v>
      </c>
      <c r="F146" s="210">
        <v>208202</v>
      </c>
      <c r="G146" s="210">
        <v>11996</v>
      </c>
      <c r="H146" s="211">
        <v>5649</v>
      </c>
      <c r="I146" s="211">
        <v>2560</v>
      </c>
      <c r="J146" s="210">
        <v>1518</v>
      </c>
      <c r="K146" s="211"/>
      <c r="L146" s="212">
        <f t="shared" si="5"/>
        <v>27635</v>
      </c>
      <c r="M146" s="210">
        <v>16726</v>
      </c>
      <c r="N146" s="210">
        <v>6094</v>
      </c>
      <c r="O146" s="211">
        <v>2536</v>
      </c>
      <c r="P146" s="211">
        <v>2273</v>
      </c>
      <c r="Q146" s="210">
        <v>6</v>
      </c>
      <c r="R146" s="211"/>
    </row>
    <row r="147" spans="1:18" s="213" customFormat="1" ht="12.75">
      <c r="A147" s="54" t="s">
        <v>422</v>
      </c>
      <c r="B147" s="54" t="s">
        <v>427</v>
      </c>
      <c r="C147" s="55">
        <v>157951</v>
      </c>
      <c r="D147" s="56">
        <v>3</v>
      </c>
      <c r="E147" s="209">
        <f t="shared" si="4"/>
        <v>421641.5</v>
      </c>
      <c r="F147" s="210">
        <v>368210.5</v>
      </c>
      <c r="G147" s="210">
        <v>37812</v>
      </c>
      <c r="H147" s="211">
        <v>9253</v>
      </c>
      <c r="I147" s="211">
        <v>0</v>
      </c>
      <c r="J147" s="210">
        <v>6366</v>
      </c>
      <c r="K147" s="211"/>
      <c r="L147" s="212">
        <f t="shared" si="5"/>
        <v>42732.5</v>
      </c>
      <c r="M147" s="210">
        <v>23847.5</v>
      </c>
      <c r="N147" s="210">
        <v>6590</v>
      </c>
      <c r="O147" s="211">
        <v>9264</v>
      </c>
      <c r="P147" s="211">
        <v>0</v>
      </c>
      <c r="Q147" s="210">
        <v>3031</v>
      </c>
      <c r="R147" s="211"/>
    </row>
    <row r="148" spans="1:18" s="213" customFormat="1" ht="12.75">
      <c r="A148" s="54" t="s">
        <v>422</v>
      </c>
      <c r="B148" s="54" t="s">
        <v>428</v>
      </c>
      <c r="C148" s="55">
        <v>157386</v>
      </c>
      <c r="D148" s="56">
        <v>4</v>
      </c>
      <c r="E148" s="209">
        <f t="shared" si="4"/>
        <v>212911</v>
      </c>
      <c r="F148" s="210">
        <v>192418</v>
      </c>
      <c r="G148" s="210">
        <v>13283</v>
      </c>
      <c r="H148" s="211">
        <v>2647</v>
      </c>
      <c r="I148" s="211">
        <v>4236</v>
      </c>
      <c r="J148" s="210">
        <v>327</v>
      </c>
      <c r="K148" s="211"/>
      <c r="L148" s="212">
        <f t="shared" si="5"/>
        <v>21959</v>
      </c>
      <c r="M148" s="210">
        <v>10040</v>
      </c>
      <c r="N148" s="210">
        <v>5133</v>
      </c>
      <c r="O148" s="211">
        <v>5902</v>
      </c>
      <c r="P148" s="211">
        <v>881</v>
      </c>
      <c r="Q148" s="210">
        <v>3</v>
      </c>
      <c r="R148" s="211"/>
    </row>
    <row r="149" spans="1:18" s="213" customFormat="1" ht="12.75">
      <c r="A149" s="54" t="s">
        <v>422</v>
      </c>
      <c r="B149" s="54" t="s">
        <v>429</v>
      </c>
      <c r="C149" s="55">
        <v>157447</v>
      </c>
      <c r="D149" s="56">
        <v>4</v>
      </c>
      <c r="E149" s="209">
        <f t="shared" si="4"/>
        <v>306066</v>
      </c>
      <c r="F149" s="210">
        <v>292226</v>
      </c>
      <c r="G149" s="210">
        <v>9664</v>
      </c>
      <c r="H149" s="211">
        <v>3006</v>
      </c>
      <c r="I149" s="211">
        <v>0</v>
      </c>
      <c r="J149" s="210">
        <v>1170</v>
      </c>
      <c r="K149" s="211"/>
      <c r="L149" s="212">
        <f t="shared" si="5"/>
        <v>30246.5</v>
      </c>
      <c r="M149" s="210">
        <v>29845.5</v>
      </c>
      <c r="N149" s="210">
        <v>174</v>
      </c>
      <c r="O149" s="211">
        <v>218</v>
      </c>
      <c r="P149" s="211">
        <v>0</v>
      </c>
      <c r="Q149" s="210">
        <v>9</v>
      </c>
      <c r="R149" s="211"/>
    </row>
    <row r="150" spans="1:18" s="213" customFormat="1" ht="12.75">
      <c r="A150" s="54" t="s">
        <v>422</v>
      </c>
      <c r="B150" s="54" t="s">
        <v>430</v>
      </c>
      <c r="C150" s="55">
        <v>157058</v>
      </c>
      <c r="D150" s="56">
        <v>6</v>
      </c>
      <c r="E150" s="209">
        <f t="shared" si="4"/>
        <v>58570</v>
      </c>
      <c r="F150" s="210">
        <v>55264</v>
      </c>
      <c r="G150" s="210">
        <v>0</v>
      </c>
      <c r="H150" s="211">
        <v>2271</v>
      </c>
      <c r="I150" s="211">
        <v>183</v>
      </c>
      <c r="J150" s="210">
        <v>852</v>
      </c>
      <c r="K150" s="211"/>
      <c r="L150" s="212">
        <f t="shared" si="5"/>
        <v>2420</v>
      </c>
      <c r="M150" s="210">
        <v>2384</v>
      </c>
      <c r="N150" s="210">
        <v>0</v>
      </c>
      <c r="O150" s="211">
        <v>33</v>
      </c>
      <c r="P150" s="211">
        <v>0</v>
      </c>
      <c r="Q150" s="210">
        <v>3</v>
      </c>
      <c r="R150" s="211"/>
    </row>
    <row r="151" spans="1:18" s="213" customFormat="1" ht="12.75">
      <c r="A151" s="54" t="s">
        <v>422</v>
      </c>
      <c r="B151" s="54" t="s">
        <v>431</v>
      </c>
      <c r="C151" s="55">
        <v>156921</v>
      </c>
      <c r="D151" s="56">
        <v>8</v>
      </c>
      <c r="E151" s="209">
        <f t="shared" si="4"/>
        <v>177712</v>
      </c>
      <c r="F151" s="210">
        <v>160153</v>
      </c>
      <c r="G151" s="210">
        <v>4920</v>
      </c>
      <c r="H151" s="211">
        <v>10491</v>
      </c>
      <c r="I151" s="211">
        <v>1227</v>
      </c>
      <c r="J151" s="210">
        <v>921</v>
      </c>
      <c r="K151" s="211"/>
      <c r="L151" s="212">
        <f t="shared" si="5"/>
        <v>0</v>
      </c>
      <c r="M151" s="210" t="s">
        <v>432</v>
      </c>
      <c r="N151" s="210" t="s">
        <v>432</v>
      </c>
      <c r="O151" s="211" t="s">
        <v>432</v>
      </c>
      <c r="P151" s="211">
        <v>0</v>
      </c>
      <c r="Q151" s="210" t="s">
        <v>432</v>
      </c>
      <c r="R151" s="211"/>
    </row>
    <row r="152" spans="1:18" s="213" customFormat="1" ht="12.75">
      <c r="A152" s="54" t="s">
        <v>422</v>
      </c>
      <c r="B152" s="54" t="s">
        <v>433</v>
      </c>
      <c r="C152" s="55">
        <v>157173</v>
      </c>
      <c r="D152" s="56">
        <v>8</v>
      </c>
      <c r="E152" s="209">
        <f t="shared" si="4"/>
        <v>187467</v>
      </c>
      <c r="F152" s="210">
        <v>177660</v>
      </c>
      <c r="G152" s="210">
        <v>2686</v>
      </c>
      <c r="H152" s="211">
        <v>6242</v>
      </c>
      <c r="I152" s="211">
        <v>0</v>
      </c>
      <c r="J152" s="210">
        <v>879</v>
      </c>
      <c r="K152" s="211"/>
      <c r="L152" s="212">
        <f t="shared" si="5"/>
        <v>0</v>
      </c>
      <c r="M152" s="210" t="s">
        <v>432</v>
      </c>
      <c r="N152" s="210" t="s">
        <v>432</v>
      </c>
      <c r="O152" s="211" t="s">
        <v>432</v>
      </c>
      <c r="P152" s="211">
        <v>0</v>
      </c>
      <c r="Q152" s="210" t="s">
        <v>432</v>
      </c>
      <c r="R152" s="211"/>
    </row>
    <row r="153" spans="1:18" s="213" customFormat="1" ht="12.75">
      <c r="A153" s="54" t="s">
        <v>422</v>
      </c>
      <c r="B153" s="54" t="s">
        <v>434</v>
      </c>
      <c r="C153" s="55">
        <v>156648</v>
      </c>
      <c r="D153" s="56">
        <v>9</v>
      </c>
      <c r="E153" s="209">
        <f t="shared" si="4"/>
        <v>74194.5</v>
      </c>
      <c r="F153" s="210">
        <v>66333.5</v>
      </c>
      <c r="G153" s="210">
        <v>2662</v>
      </c>
      <c r="H153" s="211">
        <v>3642</v>
      </c>
      <c r="I153" s="211">
        <v>39</v>
      </c>
      <c r="J153" s="210">
        <v>1518</v>
      </c>
      <c r="K153" s="211"/>
      <c r="L153" s="212">
        <f t="shared" si="5"/>
        <v>0</v>
      </c>
      <c r="M153" s="210" t="s">
        <v>432</v>
      </c>
      <c r="N153" s="210" t="s">
        <v>432</v>
      </c>
      <c r="O153" s="211" t="s">
        <v>432</v>
      </c>
      <c r="P153" s="211">
        <v>0</v>
      </c>
      <c r="Q153" s="210" t="s">
        <v>432</v>
      </c>
      <c r="R153" s="211"/>
    </row>
    <row r="154" spans="1:18" s="213" customFormat="1" ht="12.75">
      <c r="A154" s="54" t="s">
        <v>422</v>
      </c>
      <c r="B154" s="54" t="s">
        <v>435</v>
      </c>
      <c r="C154" s="55">
        <v>156790</v>
      </c>
      <c r="D154" s="56">
        <v>9</v>
      </c>
      <c r="E154" s="209">
        <f t="shared" si="4"/>
        <v>72789.8</v>
      </c>
      <c r="F154" s="210">
        <v>60729.9</v>
      </c>
      <c r="G154" s="210">
        <v>3168.9</v>
      </c>
      <c r="H154" s="211">
        <v>5398</v>
      </c>
      <c r="I154" s="211">
        <v>3121</v>
      </c>
      <c r="J154" s="210">
        <v>372</v>
      </c>
      <c r="K154" s="211"/>
      <c r="L154" s="212">
        <f t="shared" si="5"/>
        <v>0</v>
      </c>
      <c r="M154" s="210" t="s">
        <v>432</v>
      </c>
      <c r="N154" s="210" t="s">
        <v>432</v>
      </c>
      <c r="O154" s="211" t="s">
        <v>432</v>
      </c>
      <c r="P154" s="211">
        <v>0</v>
      </c>
      <c r="Q154" s="210" t="s">
        <v>432</v>
      </c>
      <c r="R154" s="211"/>
    </row>
    <row r="155" spans="1:18" s="213" customFormat="1" ht="12.75">
      <c r="A155" s="54" t="s">
        <v>422</v>
      </c>
      <c r="B155" s="54" t="s">
        <v>436</v>
      </c>
      <c r="C155" s="55">
        <v>157739</v>
      </c>
      <c r="D155" s="56">
        <v>9</v>
      </c>
      <c r="E155" s="209">
        <f t="shared" si="4"/>
        <v>70295.5</v>
      </c>
      <c r="F155" s="210">
        <v>23265.5</v>
      </c>
      <c r="G155" s="210">
        <v>38496</v>
      </c>
      <c r="H155" s="211">
        <v>3854</v>
      </c>
      <c r="I155" s="211">
        <v>2907</v>
      </c>
      <c r="J155" s="210">
        <v>1773</v>
      </c>
      <c r="K155" s="211"/>
      <c r="L155" s="212">
        <f t="shared" si="5"/>
        <v>0</v>
      </c>
      <c r="M155" s="210" t="s">
        <v>432</v>
      </c>
      <c r="N155" s="210" t="s">
        <v>432</v>
      </c>
      <c r="O155" s="211" t="s">
        <v>432</v>
      </c>
      <c r="P155" s="211">
        <v>0</v>
      </c>
      <c r="Q155" s="210" t="s">
        <v>432</v>
      </c>
      <c r="R155" s="211"/>
    </row>
    <row r="156" spans="1:18" s="213" customFormat="1" ht="12.75">
      <c r="A156" s="54" t="s">
        <v>422</v>
      </c>
      <c r="B156" s="54" t="s">
        <v>437</v>
      </c>
      <c r="C156" s="55">
        <v>156231</v>
      </c>
      <c r="D156" s="56">
        <v>10</v>
      </c>
      <c r="E156" s="209">
        <f t="shared" si="4"/>
        <v>49668</v>
      </c>
      <c r="F156" s="210">
        <v>41485.2</v>
      </c>
      <c r="G156" s="210">
        <v>5703.8</v>
      </c>
      <c r="H156" s="211">
        <v>2114</v>
      </c>
      <c r="I156" s="211">
        <v>20</v>
      </c>
      <c r="J156" s="210">
        <v>345</v>
      </c>
      <c r="K156" s="211"/>
      <c r="L156" s="212">
        <f t="shared" si="5"/>
        <v>0</v>
      </c>
      <c r="M156" s="210" t="s">
        <v>432</v>
      </c>
      <c r="N156" s="210" t="s">
        <v>432</v>
      </c>
      <c r="O156" s="211" t="s">
        <v>432</v>
      </c>
      <c r="P156" s="211">
        <v>0</v>
      </c>
      <c r="Q156" s="210" t="s">
        <v>432</v>
      </c>
      <c r="R156" s="211"/>
    </row>
    <row r="157" spans="1:18" s="213" customFormat="1" ht="12.75">
      <c r="A157" s="54" t="s">
        <v>422</v>
      </c>
      <c r="B157" s="54" t="s">
        <v>438</v>
      </c>
      <c r="C157" s="55">
        <v>156851</v>
      </c>
      <c r="D157" s="56">
        <v>10</v>
      </c>
      <c r="E157" s="209">
        <f t="shared" si="4"/>
        <v>29632.3</v>
      </c>
      <c r="F157" s="210">
        <v>22979.2</v>
      </c>
      <c r="G157" s="210">
        <v>1397.1</v>
      </c>
      <c r="H157" s="211">
        <v>4821</v>
      </c>
      <c r="I157" s="211">
        <v>435</v>
      </c>
      <c r="J157" s="210">
        <v>0</v>
      </c>
      <c r="K157" s="211"/>
      <c r="L157" s="212">
        <f t="shared" si="5"/>
        <v>0</v>
      </c>
      <c r="M157" s="210" t="s">
        <v>432</v>
      </c>
      <c r="N157" s="210" t="s">
        <v>432</v>
      </c>
      <c r="O157" s="211" t="s">
        <v>432</v>
      </c>
      <c r="P157" s="211">
        <v>0</v>
      </c>
      <c r="Q157" s="210" t="s">
        <v>432</v>
      </c>
      <c r="R157" s="211"/>
    </row>
    <row r="158" spans="1:18" s="213" customFormat="1" ht="12.75">
      <c r="A158" s="54" t="s">
        <v>422</v>
      </c>
      <c r="B158" s="54" t="s">
        <v>439</v>
      </c>
      <c r="C158" s="55">
        <v>156860</v>
      </c>
      <c r="D158" s="56">
        <v>10</v>
      </c>
      <c r="E158" s="209">
        <f t="shared" si="4"/>
        <v>57622</v>
      </c>
      <c r="F158" s="210">
        <v>49409</v>
      </c>
      <c r="G158" s="210">
        <v>5684</v>
      </c>
      <c r="H158" s="211">
        <v>1986</v>
      </c>
      <c r="I158" s="211">
        <v>105</v>
      </c>
      <c r="J158" s="210">
        <v>438</v>
      </c>
      <c r="K158" s="211"/>
      <c r="L158" s="212">
        <f t="shared" si="5"/>
        <v>0</v>
      </c>
      <c r="M158" s="210" t="s">
        <v>432</v>
      </c>
      <c r="N158" s="210" t="s">
        <v>432</v>
      </c>
      <c r="O158" s="211" t="s">
        <v>432</v>
      </c>
      <c r="P158" s="211">
        <v>0</v>
      </c>
      <c r="Q158" s="210" t="s">
        <v>432</v>
      </c>
      <c r="R158" s="211"/>
    </row>
    <row r="159" spans="1:18" s="213" customFormat="1" ht="12.75">
      <c r="A159" s="54" t="s">
        <v>422</v>
      </c>
      <c r="B159" s="54" t="s">
        <v>440</v>
      </c>
      <c r="C159" s="55">
        <v>157304</v>
      </c>
      <c r="D159" s="56">
        <v>10</v>
      </c>
      <c r="E159" s="209">
        <f t="shared" si="4"/>
        <v>62004.7</v>
      </c>
      <c r="F159" s="210">
        <v>45293.7</v>
      </c>
      <c r="G159" s="210">
        <v>11686</v>
      </c>
      <c r="H159" s="211">
        <v>3790</v>
      </c>
      <c r="I159" s="211">
        <v>428</v>
      </c>
      <c r="J159" s="210">
        <v>807</v>
      </c>
      <c r="K159" s="211"/>
      <c r="L159" s="212">
        <f t="shared" si="5"/>
        <v>0</v>
      </c>
      <c r="M159" s="210" t="s">
        <v>432</v>
      </c>
      <c r="N159" s="210" t="s">
        <v>432</v>
      </c>
      <c r="O159" s="211" t="s">
        <v>432</v>
      </c>
      <c r="P159" s="211">
        <v>0</v>
      </c>
      <c r="Q159" s="210" t="s">
        <v>432</v>
      </c>
      <c r="R159" s="211"/>
    </row>
    <row r="160" spans="1:18" s="213" customFormat="1" ht="12.75">
      <c r="A160" s="54" t="s">
        <v>422</v>
      </c>
      <c r="B160" s="54" t="s">
        <v>441</v>
      </c>
      <c r="C160" s="55">
        <v>157331</v>
      </c>
      <c r="D160" s="56">
        <v>10</v>
      </c>
      <c r="E160" s="209">
        <f t="shared" si="4"/>
        <v>39066.1</v>
      </c>
      <c r="F160" s="210">
        <v>14077.1</v>
      </c>
      <c r="G160" s="210">
        <v>12774</v>
      </c>
      <c r="H160" s="211">
        <v>11089</v>
      </c>
      <c r="I160" s="211">
        <v>1126</v>
      </c>
      <c r="J160" s="210">
        <v>0</v>
      </c>
      <c r="K160" s="211"/>
      <c r="L160" s="212">
        <f t="shared" si="5"/>
        <v>0</v>
      </c>
      <c r="M160" s="210" t="s">
        <v>432</v>
      </c>
      <c r="N160" s="210" t="s">
        <v>432</v>
      </c>
      <c r="O160" s="211" t="s">
        <v>432</v>
      </c>
      <c r="P160" s="211">
        <v>0</v>
      </c>
      <c r="Q160" s="210" t="s">
        <v>432</v>
      </c>
      <c r="R160" s="211"/>
    </row>
    <row r="161" spans="1:18" s="213" customFormat="1" ht="12.75">
      <c r="A161" s="54" t="s">
        <v>422</v>
      </c>
      <c r="B161" s="54" t="s">
        <v>442</v>
      </c>
      <c r="C161" s="55">
        <v>247940</v>
      </c>
      <c r="D161" s="56">
        <v>10</v>
      </c>
      <c r="E161" s="209">
        <f t="shared" si="4"/>
        <v>56689.7</v>
      </c>
      <c r="F161" s="210">
        <v>51014.7</v>
      </c>
      <c r="G161" s="210">
        <v>1520</v>
      </c>
      <c r="H161" s="211">
        <v>3495</v>
      </c>
      <c r="I161" s="211">
        <v>0</v>
      </c>
      <c r="J161" s="210">
        <v>660</v>
      </c>
      <c r="K161" s="211"/>
      <c r="L161" s="212">
        <f t="shared" si="5"/>
        <v>0</v>
      </c>
      <c r="M161" s="210" t="s">
        <v>432</v>
      </c>
      <c r="N161" s="210" t="s">
        <v>432</v>
      </c>
      <c r="O161" s="211" t="s">
        <v>432</v>
      </c>
      <c r="P161" s="211">
        <v>0</v>
      </c>
      <c r="Q161" s="210" t="s">
        <v>432</v>
      </c>
      <c r="R161" s="211"/>
    </row>
    <row r="162" spans="1:18" s="213" customFormat="1" ht="12.75">
      <c r="A162" s="54" t="s">
        <v>422</v>
      </c>
      <c r="B162" s="54" t="s">
        <v>443</v>
      </c>
      <c r="C162" s="55">
        <v>157483</v>
      </c>
      <c r="D162" s="56">
        <v>10</v>
      </c>
      <c r="E162" s="209">
        <f t="shared" si="4"/>
        <v>62956.9</v>
      </c>
      <c r="F162" s="210">
        <v>52626.9</v>
      </c>
      <c r="G162" s="210">
        <v>2060</v>
      </c>
      <c r="H162" s="211">
        <v>7913</v>
      </c>
      <c r="I162" s="211">
        <v>0</v>
      </c>
      <c r="J162" s="210">
        <v>357</v>
      </c>
      <c r="K162" s="211"/>
      <c r="L162" s="212">
        <f t="shared" si="5"/>
        <v>0</v>
      </c>
      <c r="M162" s="210" t="s">
        <v>432</v>
      </c>
      <c r="N162" s="210" t="s">
        <v>432</v>
      </c>
      <c r="O162" s="211" t="s">
        <v>432</v>
      </c>
      <c r="P162" s="211">
        <v>0</v>
      </c>
      <c r="Q162" s="210" t="s">
        <v>432</v>
      </c>
      <c r="R162" s="211"/>
    </row>
    <row r="163" spans="1:18" s="213" customFormat="1" ht="12.75">
      <c r="A163" s="54" t="s">
        <v>422</v>
      </c>
      <c r="B163" s="54" t="s">
        <v>444</v>
      </c>
      <c r="C163" s="55">
        <v>157553</v>
      </c>
      <c r="D163" s="56">
        <v>10</v>
      </c>
      <c r="E163" s="209">
        <f t="shared" si="4"/>
        <v>58368.9</v>
      </c>
      <c r="F163" s="210">
        <v>34920.9</v>
      </c>
      <c r="G163" s="210">
        <v>13467</v>
      </c>
      <c r="H163" s="211">
        <v>7865</v>
      </c>
      <c r="I163" s="211">
        <v>583</v>
      </c>
      <c r="J163" s="210">
        <v>1533</v>
      </c>
      <c r="K163" s="211"/>
      <c r="L163" s="212">
        <f t="shared" si="5"/>
        <v>0</v>
      </c>
      <c r="M163" s="210" t="s">
        <v>432</v>
      </c>
      <c r="N163" s="210" t="s">
        <v>432</v>
      </c>
      <c r="O163" s="211" t="s">
        <v>432</v>
      </c>
      <c r="P163" s="211">
        <v>0</v>
      </c>
      <c r="Q163" s="210" t="s">
        <v>432</v>
      </c>
      <c r="R163" s="211"/>
    </row>
    <row r="164" spans="1:18" s="213" customFormat="1" ht="12.75">
      <c r="A164" s="54" t="s">
        <v>422</v>
      </c>
      <c r="B164" s="57" t="s">
        <v>445</v>
      </c>
      <c r="C164" s="55">
        <v>157711</v>
      </c>
      <c r="D164" s="56">
        <v>10</v>
      </c>
      <c r="E164" s="209">
        <f t="shared" si="4"/>
        <v>86137.4</v>
      </c>
      <c r="F164" s="210">
        <v>70984.4</v>
      </c>
      <c r="G164" s="210">
        <v>11317</v>
      </c>
      <c r="H164" s="211">
        <v>1024</v>
      </c>
      <c r="I164" s="211">
        <v>2101</v>
      </c>
      <c r="J164" s="210">
        <v>711</v>
      </c>
      <c r="K164" s="211"/>
      <c r="L164" s="212">
        <f t="shared" si="5"/>
        <v>0</v>
      </c>
      <c r="M164" s="210" t="s">
        <v>432</v>
      </c>
      <c r="N164" s="210" t="s">
        <v>432</v>
      </c>
      <c r="O164" s="211" t="s">
        <v>432</v>
      </c>
      <c r="P164" s="211">
        <v>0</v>
      </c>
      <c r="Q164" s="210" t="s">
        <v>432</v>
      </c>
      <c r="R164" s="211"/>
    </row>
    <row r="165" spans="1:18" s="213" customFormat="1" ht="12.75">
      <c r="A165" s="54" t="s">
        <v>422</v>
      </c>
      <c r="B165" s="54" t="s">
        <v>446</v>
      </c>
      <c r="C165" s="55">
        <v>156392</v>
      </c>
      <c r="D165" s="56">
        <v>12</v>
      </c>
      <c r="E165" s="209">
        <f t="shared" si="4"/>
        <v>62682.2</v>
      </c>
      <c r="F165" s="210">
        <v>57152.2</v>
      </c>
      <c r="G165" s="210">
        <v>0</v>
      </c>
      <c r="H165" s="211">
        <v>5461</v>
      </c>
      <c r="I165" s="211">
        <v>42</v>
      </c>
      <c r="J165" s="210">
        <v>27</v>
      </c>
      <c r="K165" s="211"/>
      <c r="L165" s="212">
        <f t="shared" si="5"/>
        <v>0</v>
      </c>
      <c r="M165" s="210" t="s">
        <v>432</v>
      </c>
      <c r="N165" s="210" t="s">
        <v>432</v>
      </c>
      <c r="O165" s="211" t="s">
        <v>432</v>
      </c>
      <c r="P165" s="211">
        <v>0</v>
      </c>
      <c r="Q165" s="210" t="s">
        <v>432</v>
      </c>
      <c r="R165" s="211"/>
    </row>
    <row r="166" spans="1:18" s="213" customFormat="1" ht="12.75">
      <c r="A166" s="54" t="s">
        <v>422</v>
      </c>
      <c r="B166" s="54" t="s">
        <v>447</v>
      </c>
      <c r="C166" s="55">
        <v>156930</v>
      </c>
      <c r="D166" s="56">
        <v>12</v>
      </c>
      <c r="E166" s="209">
        <f t="shared" si="4"/>
        <v>37572.2</v>
      </c>
      <c r="F166" s="210">
        <v>29469.2</v>
      </c>
      <c r="G166" s="210">
        <v>7935</v>
      </c>
      <c r="H166" s="211">
        <v>0</v>
      </c>
      <c r="I166" s="211">
        <v>168</v>
      </c>
      <c r="J166" s="210">
        <v>0</v>
      </c>
      <c r="K166" s="211"/>
      <c r="L166" s="212">
        <f t="shared" si="5"/>
        <v>0</v>
      </c>
      <c r="M166" s="210" t="s">
        <v>432</v>
      </c>
      <c r="N166" s="210" t="s">
        <v>432</v>
      </c>
      <c r="O166" s="211" t="s">
        <v>432</v>
      </c>
      <c r="P166" s="211">
        <v>0</v>
      </c>
      <c r="Q166" s="210" t="s">
        <v>432</v>
      </c>
      <c r="R166" s="211"/>
    </row>
    <row r="167" spans="1:18" s="213" customFormat="1" ht="12.75">
      <c r="A167" s="54" t="s">
        <v>422</v>
      </c>
      <c r="B167" s="57" t="s">
        <v>448</v>
      </c>
      <c r="C167" s="55">
        <v>157720</v>
      </c>
      <c r="D167" s="56">
        <v>12</v>
      </c>
      <c r="E167" s="209">
        <f t="shared" si="4"/>
        <v>17117.2</v>
      </c>
      <c r="F167" s="210">
        <v>14004.6</v>
      </c>
      <c r="G167" s="210">
        <v>2845.6</v>
      </c>
      <c r="H167" s="211">
        <v>0</v>
      </c>
      <c r="I167" s="211">
        <v>267</v>
      </c>
      <c r="J167" s="210">
        <v>0</v>
      </c>
      <c r="K167" s="211"/>
      <c r="L167" s="212">
        <f t="shared" si="5"/>
        <v>0</v>
      </c>
      <c r="M167" s="210" t="s">
        <v>432</v>
      </c>
      <c r="N167" s="210" t="s">
        <v>432</v>
      </c>
      <c r="O167" s="211" t="s">
        <v>432</v>
      </c>
      <c r="P167" s="211">
        <v>0</v>
      </c>
      <c r="Q167" s="210" t="s">
        <v>432</v>
      </c>
      <c r="R167" s="211"/>
    </row>
    <row r="168" spans="1:18" s="213" customFormat="1" ht="12.75">
      <c r="A168" s="54" t="s">
        <v>422</v>
      </c>
      <c r="B168" s="54" t="s">
        <v>449</v>
      </c>
      <c r="C168" s="55">
        <v>157942</v>
      </c>
      <c r="D168" s="56">
        <v>12</v>
      </c>
      <c r="E168" s="209">
        <f t="shared" si="4"/>
        <v>38023.799999999996</v>
      </c>
      <c r="F168" s="210">
        <v>36583.7</v>
      </c>
      <c r="G168" s="210">
        <v>251.1</v>
      </c>
      <c r="H168" s="211">
        <v>688</v>
      </c>
      <c r="I168" s="211">
        <v>501</v>
      </c>
      <c r="J168" s="210">
        <v>0</v>
      </c>
      <c r="K168" s="211"/>
      <c r="L168" s="212">
        <f t="shared" si="5"/>
        <v>0</v>
      </c>
      <c r="M168" s="210" t="s">
        <v>432</v>
      </c>
      <c r="N168" s="210" t="s">
        <v>432</v>
      </c>
      <c r="O168" s="211" t="s">
        <v>432</v>
      </c>
      <c r="P168" s="211">
        <v>0</v>
      </c>
      <c r="Q168" s="210" t="s">
        <v>432</v>
      </c>
      <c r="R168" s="211"/>
    </row>
    <row r="169" spans="1:18" s="213" customFormat="1" ht="12.75">
      <c r="A169" s="54" t="s">
        <v>422</v>
      </c>
      <c r="B169" s="54" t="s">
        <v>450</v>
      </c>
      <c r="C169" s="55">
        <v>156240</v>
      </c>
      <c r="D169" s="56">
        <v>13</v>
      </c>
      <c r="E169" s="209">
        <f t="shared" si="4"/>
        <v>19236.4</v>
      </c>
      <c r="F169" s="210">
        <v>15208.4</v>
      </c>
      <c r="G169" s="210">
        <v>4028</v>
      </c>
      <c r="H169" s="211">
        <v>0</v>
      </c>
      <c r="I169" s="211">
        <v>0</v>
      </c>
      <c r="J169" s="210">
        <v>0</v>
      </c>
      <c r="K169" s="211"/>
      <c r="L169" s="212">
        <f t="shared" si="5"/>
        <v>0</v>
      </c>
      <c r="M169" s="210" t="s">
        <v>432</v>
      </c>
      <c r="N169" s="210" t="s">
        <v>432</v>
      </c>
      <c r="O169" s="211" t="s">
        <v>432</v>
      </c>
      <c r="P169" s="211">
        <v>0</v>
      </c>
      <c r="Q169" s="210" t="s">
        <v>432</v>
      </c>
      <c r="R169" s="211"/>
    </row>
    <row r="170" spans="1:18" s="213" customFormat="1" ht="12.75">
      <c r="A170" s="54" t="s">
        <v>422</v>
      </c>
      <c r="B170" s="54" t="s">
        <v>451</v>
      </c>
      <c r="C170" s="55">
        <v>156338</v>
      </c>
      <c r="D170" s="56">
        <v>13</v>
      </c>
      <c r="E170" s="209">
        <f t="shared" si="4"/>
        <v>29340</v>
      </c>
      <c r="F170" s="210">
        <v>28883.4</v>
      </c>
      <c r="G170" s="210">
        <v>6.6</v>
      </c>
      <c r="H170" s="211">
        <v>450</v>
      </c>
      <c r="I170" s="211">
        <v>0</v>
      </c>
      <c r="J170" s="210">
        <v>0</v>
      </c>
      <c r="K170" s="211"/>
      <c r="L170" s="212">
        <f t="shared" si="5"/>
        <v>0</v>
      </c>
      <c r="M170" s="210" t="s">
        <v>432</v>
      </c>
      <c r="N170" s="210" t="s">
        <v>432</v>
      </c>
      <c r="O170" s="211" t="s">
        <v>432</v>
      </c>
      <c r="P170" s="211">
        <v>0</v>
      </c>
      <c r="Q170" s="210" t="s">
        <v>432</v>
      </c>
      <c r="R170" s="211"/>
    </row>
    <row r="171" spans="1:18" s="213" customFormat="1" ht="12.75">
      <c r="A171" s="54" t="s">
        <v>422</v>
      </c>
      <c r="B171" s="54" t="s">
        <v>452</v>
      </c>
      <c r="C171" s="55">
        <v>156657</v>
      </c>
      <c r="D171" s="56">
        <v>13</v>
      </c>
      <c r="E171" s="209">
        <f t="shared" si="4"/>
        <v>18505.8</v>
      </c>
      <c r="F171" s="210">
        <v>18388.1</v>
      </c>
      <c r="G171" s="210">
        <v>16.2</v>
      </c>
      <c r="H171" s="211">
        <v>101.5</v>
      </c>
      <c r="I171" s="211">
        <v>0</v>
      </c>
      <c r="J171" s="210">
        <v>0</v>
      </c>
      <c r="K171" s="211"/>
      <c r="L171" s="212">
        <f t="shared" si="5"/>
        <v>0</v>
      </c>
      <c r="M171" s="210" t="s">
        <v>432</v>
      </c>
      <c r="N171" s="210" t="s">
        <v>432</v>
      </c>
      <c r="O171" s="211" t="s">
        <v>432</v>
      </c>
      <c r="P171" s="211">
        <v>0</v>
      </c>
      <c r="Q171" s="210" t="s">
        <v>432</v>
      </c>
      <c r="R171" s="211"/>
    </row>
    <row r="172" spans="1:18" s="213" customFormat="1" ht="12.75">
      <c r="A172" s="54" t="s">
        <v>422</v>
      </c>
      <c r="B172" s="54" t="s">
        <v>453</v>
      </c>
      <c r="C172" s="55">
        <v>157438</v>
      </c>
      <c r="D172" s="56">
        <v>13</v>
      </c>
      <c r="E172" s="209">
        <f t="shared" si="4"/>
        <v>36430.7</v>
      </c>
      <c r="F172" s="210">
        <v>35444.7</v>
      </c>
      <c r="G172" s="210">
        <v>1</v>
      </c>
      <c r="H172" s="211">
        <v>985</v>
      </c>
      <c r="I172" s="211">
        <v>0</v>
      </c>
      <c r="J172" s="210">
        <v>0</v>
      </c>
      <c r="K172" s="211"/>
      <c r="L172" s="212">
        <f t="shared" si="5"/>
        <v>0</v>
      </c>
      <c r="M172" s="210" t="s">
        <v>432</v>
      </c>
      <c r="N172" s="210" t="s">
        <v>432</v>
      </c>
      <c r="O172" s="211" t="s">
        <v>432</v>
      </c>
      <c r="P172" s="211">
        <v>0</v>
      </c>
      <c r="Q172" s="210" t="s">
        <v>432</v>
      </c>
      <c r="R172" s="211"/>
    </row>
    <row r="173" spans="1:18" s="213" customFormat="1" ht="12.75">
      <c r="A173" s="54" t="s">
        <v>422</v>
      </c>
      <c r="B173" s="54" t="s">
        <v>454</v>
      </c>
      <c r="C173" s="55">
        <v>157322</v>
      </c>
      <c r="D173" s="56">
        <v>13</v>
      </c>
      <c r="E173" s="209">
        <f t="shared" si="4"/>
        <v>24465.3</v>
      </c>
      <c r="F173" s="210">
        <v>19357.3</v>
      </c>
      <c r="G173" s="210">
        <v>4644</v>
      </c>
      <c r="H173" s="211">
        <v>464</v>
      </c>
      <c r="I173" s="211">
        <v>0</v>
      </c>
      <c r="J173" s="210">
        <v>0</v>
      </c>
      <c r="K173" s="211"/>
      <c r="L173" s="212">
        <f t="shared" si="5"/>
        <v>0</v>
      </c>
      <c r="M173" s="210" t="s">
        <v>432</v>
      </c>
      <c r="N173" s="210" t="s">
        <v>432</v>
      </c>
      <c r="O173" s="211" t="s">
        <v>432</v>
      </c>
      <c r="P173" s="211">
        <v>0</v>
      </c>
      <c r="Q173" s="210" t="s">
        <v>432</v>
      </c>
      <c r="R173" s="211"/>
    </row>
    <row r="174" spans="1:18" s="213" customFormat="1" ht="12.75">
      <c r="A174" s="54" t="s">
        <v>422</v>
      </c>
      <c r="B174" s="54" t="s">
        <v>455</v>
      </c>
      <c r="C174" s="55">
        <v>408914</v>
      </c>
      <c r="D174" s="56">
        <v>13</v>
      </c>
      <c r="E174" s="209">
        <f t="shared" si="4"/>
        <v>21240.3</v>
      </c>
      <c r="F174" s="210">
        <v>15295.3</v>
      </c>
      <c r="G174" s="210">
        <v>5945</v>
      </c>
      <c r="H174" s="211">
        <v>0</v>
      </c>
      <c r="I174" s="211">
        <v>0</v>
      </c>
      <c r="J174" s="210">
        <v>0</v>
      </c>
      <c r="K174" s="211"/>
      <c r="L174" s="212">
        <f t="shared" si="5"/>
        <v>0</v>
      </c>
      <c r="M174" s="210" t="s">
        <v>432</v>
      </c>
      <c r="N174" s="210" t="s">
        <v>432</v>
      </c>
      <c r="O174" s="211" t="s">
        <v>432</v>
      </c>
      <c r="P174" s="211">
        <v>0</v>
      </c>
      <c r="Q174" s="210" t="s">
        <v>432</v>
      </c>
      <c r="R174" s="211"/>
    </row>
    <row r="175" spans="1:18" s="213" customFormat="1" ht="12.75">
      <c r="A175" s="58" t="s">
        <v>422</v>
      </c>
      <c r="B175" s="58" t="s">
        <v>456</v>
      </c>
      <c r="C175" s="59">
        <v>157605</v>
      </c>
      <c r="D175" s="60">
        <v>13</v>
      </c>
      <c r="E175" s="209">
        <f t="shared" si="4"/>
        <v>10748.5</v>
      </c>
      <c r="F175" s="210">
        <v>9754.5</v>
      </c>
      <c r="G175" s="210">
        <v>0</v>
      </c>
      <c r="H175" s="211">
        <v>994</v>
      </c>
      <c r="I175" s="211">
        <v>0</v>
      </c>
      <c r="J175" s="210">
        <v>0</v>
      </c>
      <c r="K175" s="211"/>
      <c r="L175" s="212">
        <f t="shared" si="5"/>
        <v>0</v>
      </c>
      <c r="M175" s="210" t="s">
        <v>432</v>
      </c>
      <c r="N175" s="210" t="s">
        <v>432</v>
      </c>
      <c r="O175" s="211" t="s">
        <v>432</v>
      </c>
      <c r="P175" s="211">
        <v>0</v>
      </c>
      <c r="Q175" s="210" t="s">
        <v>432</v>
      </c>
      <c r="R175" s="211"/>
    </row>
    <row r="176" spans="1:18" s="227" customFormat="1" ht="12.75">
      <c r="A176" s="61" t="s">
        <v>457</v>
      </c>
      <c r="B176" s="61"/>
      <c r="C176" s="62"/>
      <c r="D176" s="26">
        <v>1</v>
      </c>
      <c r="E176" s="209">
        <f t="shared" si="4"/>
        <v>0</v>
      </c>
      <c r="F176" s="225"/>
      <c r="G176" s="225"/>
      <c r="H176" s="226"/>
      <c r="I176" s="211">
        <v>0</v>
      </c>
      <c r="J176" s="225"/>
      <c r="K176" s="226"/>
      <c r="L176" s="212">
        <f t="shared" si="5"/>
        <v>0</v>
      </c>
      <c r="M176" s="225"/>
      <c r="N176" s="225"/>
      <c r="O176" s="226"/>
      <c r="P176" s="211">
        <v>0</v>
      </c>
      <c r="Q176" s="225"/>
      <c r="R176" s="226"/>
    </row>
    <row r="177" spans="1:18" s="213" customFormat="1" ht="12.75">
      <c r="A177" s="63" t="s">
        <v>458</v>
      </c>
      <c r="B177" s="63" t="s">
        <v>459</v>
      </c>
      <c r="C177" s="64">
        <v>163286</v>
      </c>
      <c r="D177" s="65">
        <v>1</v>
      </c>
      <c r="E177" s="209">
        <f t="shared" si="4"/>
        <v>0</v>
      </c>
      <c r="F177" s="210"/>
      <c r="G177" s="210"/>
      <c r="H177" s="211"/>
      <c r="I177" s="211">
        <v>0</v>
      </c>
      <c r="J177" s="210"/>
      <c r="K177" s="211"/>
      <c r="L177" s="212">
        <f t="shared" si="5"/>
        <v>0</v>
      </c>
      <c r="M177" s="210"/>
      <c r="N177" s="210"/>
      <c r="O177" s="211"/>
      <c r="P177" s="211">
        <v>0</v>
      </c>
      <c r="Q177" s="210"/>
      <c r="R177" s="211"/>
    </row>
    <row r="178" spans="1:18" s="213" customFormat="1" ht="12.75">
      <c r="A178" s="63" t="s">
        <v>458</v>
      </c>
      <c r="B178" s="63" t="s">
        <v>460</v>
      </c>
      <c r="C178" s="64">
        <v>163268</v>
      </c>
      <c r="D178" s="65">
        <v>2</v>
      </c>
      <c r="E178" s="209">
        <f t="shared" si="4"/>
        <v>265482</v>
      </c>
      <c r="F178" s="66">
        <v>263254</v>
      </c>
      <c r="G178" s="66">
        <v>2228</v>
      </c>
      <c r="H178" s="67"/>
      <c r="I178" s="211">
        <v>0</v>
      </c>
      <c r="J178" s="66"/>
      <c r="K178" s="67"/>
      <c r="L178" s="212">
        <f t="shared" si="5"/>
        <v>23742</v>
      </c>
      <c r="M178" s="66">
        <v>20547</v>
      </c>
      <c r="N178" s="66">
        <v>459</v>
      </c>
      <c r="O178" s="67">
        <v>2655</v>
      </c>
      <c r="P178" s="211">
        <v>81</v>
      </c>
      <c r="Q178" s="66"/>
      <c r="R178" s="67"/>
    </row>
    <row r="179" spans="1:18" s="213" customFormat="1" ht="12.75">
      <c r="A179" s="63" t="s">
        <v>458</v>
      </c>
      <c r="B179" s="63" t="s">
        <v>461</v>
      </c>
      <c r="C179" s="64">
        <v>164076</v>
      </c>
      <c r="D179" s="65">
        <v>3</v>
      </c>
      <c r="E179" s="209">
        <f t="shared" si="4"/>
        <v>394610</v>
      </c>
      <c r="F179" s="68">
        <v>389651</v>
      </c>
      <c r="G179" s="68">
        <v>4671</v>
      </c>
      <c r="H179" s="69">
        <v>288</v>
      </c>
      <c r="I179" s="211">
        <v>0</v>
      </c>
      <c r="J179" s="68"/>
      <c r="K179" s="69"/>
      <c r="L179" s="212">
        <f t="shared" si="5"/>
        <v>41070</v>
      </c>
      <c r="M179" s="68">
        <v>34231</v>
      </c>
      <c r="N179" s="68">
        <v>6788</v>
      </c>
      <c r="O179" s="69">
        <v>51</v>
      </c>
      <c r="P179" s="211">
        <v>0</v>
      </c>
      <c r="Q179" s="68"/>
      <c r="R179" s="69"/>
    </row>
    <row r="180" spans="1:18" s="213" customFormat="1" ht="12.75">
      <c r="A180" s="63" t="s">
        <v>458</v>
      </c>
      <c r="B180" s="63" t="s">
        <v>462</v>
      </c>
      <c r="C180" s="64">
        <v>162007</v>
      </c>
      <c r="D180" s="65">
        <v>4</v>
      </c>
      <c r="E180" s="209">
        <f t="shared" si="4"/>
        <v>101392</v>
      </c>
      <c r="F180" s="68">
        <v>97984</v>
      </c>
      <c r="G180" s="68"/>
      <c r="H180" s="69">
        <v>861</v>
      </c>
      <c r="I180" s="211">
        <v>2547</v>
      </c>
      <c r="J180" s="68"/>
      <c r="K180" s="69"/>
      <c r="L180" s="212">
        <f t="shared" si="5"/>
        <v>20060</v>
      </c>
      <c r="M180" s="68">
        <v>19559</v>
      </c>
      <c r="N180" s="68"/>
      <c r="O180" s="69">
        <v>501</v>
      </c>
      <c r="P180" s="211">
        <v>0</v>
      </c>
      <c r="Q180" s="68"/>
      <c r="R180" s="69"/>
    </row>
    <row r="181" spans="1:18" s="213" customFormat="1" ht="12.75">
      <c r="A181" s="63" t="s">
        <v>458</v>
      </c>
      <c r="B181" s="63" t="s">
        <v>463</v>
      </c>
      <c r="C181" s="64">
        <v>162584</v>
      </c>
      <c r="D181" s="65">
        <v>4</v>
      </c>
      <c r="E181" s="209">
        <f t="shared" si="4"/>
        <v>126853.5</v>
      </c>
      <c r="F181" s="66">
        <v>122469.5</v>
      </c>
      <c r="G181" s="66">
        <v>2339</v>
      </c>
      <c r="H181" s="67">
        <v>1217</v>
      </c>
      <c r="I181" s="211">
        <v>828</v>
      </c>
      <c r="J181" s="66">
        <v>0</v>
      </c>
      <c r="K181" s="67">
        <v>0</v>
      </c>
      <c r="L181" s="212">
        <f t="shared" si="5"/>
        <v>13530</v>
      </c>
      <c r="M181" s="66">
        <v>7403</v>
      </c>
      <c r="N181" s="66">
        <v>5104</v>
      </c>
      <c r="O181" s="67">
        <v>279</v>
      </c>
      <c r="P181" s="211">
        <v>744</v>
      </c>
      <c r="Q181" s="66">
        <v>0</v>
      </c>
      <c r="R181" s="67">
        <v>0</v>
      </c>
    </row>
    <row r="182" spans="1:18" s="213" customFormat="1" ht="12.75">
      <c r="A182" s="63" t="s">
        <v>458</v>
      </c>
      <c r="B182" s="63" t="s">
        <v>464</v>
      </c>
      <c r="C182" s="64">
        <v>163453</v>
      </c>
      <c r="D182" s="65">
        <v>4</v>
      </c>
      <c r="E182" s="209">
        <f t="shared" si="4"/>
        <v>255</v>
      </c>
      <c r="F182" s="210">
        <v>255</v>
      </c>
      <c r="G182" s="210">
        <v>0</v>
      </c>
      <c r="H182" s="211">
        <v>0</v>
      </c>
      <c r="I182" s="211">
        <v>0</v>
      </c>
      <c r="J182" s="210">
        <v>0</v>
      </c>
      <c r="K182" s="211">
        <v>0</v>
      </c>
      <c r="L182" s="212">
        <f t="shared" si="5"/>
        <v>45</v>
      </c>
      <c r="M182" s="210">
        <v>45</v>
      </c>
      <c r="N182" s="210">
        <v>0</v>
      </c>
      <c r="O182" s="211">
        <v>0</v>
      </c>
      <c r="P182" s="211">
        <v>0</v>
      </c>
      <c r="Q182" s="210">
        <v>0</v>
      </c>
      <c r="R182" s="211">
        <v>0</v>
      </c>
    </row>
    <row r="183" spans="1:18" s="213" customFormat="1" ht="12.75">
      <c r="A183" s="63" t="s">
        <v>458</v>
      </c>
      <c r="B183" s="63" t="s">
        <v>465</v>
      </c>
      <c r="C183" s="64">
        <v>163851</v>
      </c>
      <c r="D183" s="65">
        <v>4</v>
      </c>
      <c r="E183" s="209">
        <f t="shared" si="4"/>
        <v>176043</v>
      </c>
      <c r="F183" s="68">
        <v>175989</v>
      </c>
      <c r="G183" s="68"/>
      <c r="H183" s="69">
        <v>54</v>
      </c>
      <c r="I183" s="211">
        <v>0</v>
      </c>
      <c r="J183" s="68"/>
      <c r="K183" s="69"/>
      <c r="L183" s="212">
        <f t="shared" si="5"/>
        <v>8926</v>
      </c>
      <c r="M183" s="68">
        <v>8728</v>
      </c>
      <c r="N183" s="68">
        <v>111</v>
      </c>
      <c r="O183" s="69">
        <v>87</v>
      </c>
      <c r="P183" s="211">
        <v>0</v>
      </c>
      <c r="Q183" s="68"/>
      <c r="R183" s="69"/>
    </row>
    <row r="184" spans="1:18" s="213" customFormat="1" ht="12.75">
      <c r="A184" s="63" t="s">
        <v>458</v>
      </c>
      <c r="B184" s="63" t="s">
        <v>466</v>
      </c>
      <c r="C184" s="64">
        <v>161873</v>
      </c>
      <c r="D184" s="65">
        <v>4</v>
      </c>
      <c r="E184" s="209">
        <f t="shared" si="4"/>
        <v>42314</v>
      </c>
      <c r="F184" s="66">
        <v>39632</v>
      </c>
      <c r="G184" s="66">
        <v>669</v>
      </c>
      <c r="H184" s="70">
        <v>2013</v>
      </c>
      <c r="I184" s="211">
        <v>0</v>
      </c>
      <c r="J184" s="66">
        <v>0</v>
      </c>
      <c r="K184" s="71">
        <v>0</v>
      </c>
      <c r="L184" s="212">
        <f t="shared" si="5"/>
        <v>51905</v>
      </c>
      <c r="M184" s="66">
        <v>47174</v>
      </c>
      <c r="N184" s="66">
        <v>669</v>
      </c>
      <c r="O184" s="70">
        <v>4062</v>
      </c>
      <c r="P184" s="211">
        <v>0</v>
      </c>
      <c r="Q184" s="66"/>
      <c r="R184" s="71"/>
    </row>
    <row r="185" spans="1:18" s="213" customFormat="1" ht="12.75">
      <c r="A185" s="63" t="s">
        <v>458</v>
      </c>
      <c r="B185" s="63" t="s">
        <v>467</v>
      </c>
      <c r="C185" s="64">
        <v>163338</v>
      </c>
      <c r="D185" s="65">
        <v>4</v>
      </c>
      <c r="E185" s="209">
        <f t="shared" si="4"/>
        <v>96484</v>
      </c>
      <c r="F185" s="68">
        <v>95114</v>
      </c>
      <c r="G185" s="68">
        <v>890</v>
      </c>
      <c r="H185" s="69">
        <v>480</v>
      </c>
      <c r="I185" s="211">
        <v>0</v>
      </c>
      <c r="J185" s="68">
        <v>0</v>
      </c>
      <c r="K185" s="69">
        <v>0</v>
      </c>
      <c r="L185" s="212">
        <f t="shared" si="5"/>
        <v>7462</v>
      </c>
      <c r="M185" s="68">
        <v>7216</v>
      </c>
      <c r="N185" s="68">
        <v>246</v>
      </c>
      <c r="O185" s="69">
        <v>0</v>
      </c>
      <c r="P185" s="211">
        <v>0</v>
      </c>
      <c r="Q185" s="68">
        <v>0</v>
      </c>
      <c r="R185" s="69">
        <v>0</v>
      </c>
    </row>
    <row r="186" spans="1:18" s="213" customFormat="1" ht="12.75">
      <c r="A186" s="63" t="s">
        <v>458</v>
      </c>
      <c r="B186" s="63" t="s">
        <v>561</v>
      </c>
      <c r="C186" s="64">
        <v>162283</v>
      </c>
      <c r="D186" s="65">
        <v>5</v>
      </c>
      <c r="E186" s="209">
        <f t="shared" si="4"/>
        <v>0</v>
      </c>
      <c r="F186" s="68"/>
      <c r="G186" s="68"/>
      <c r="H186" s="69"/>
      <c r="I186" s="211">
        <v>0</v>
      </c>
      <c r="J186" s="68"/>
      <c r="K186" s="69"/>
      <c r="L186" s="212">
        <f t="shared" si="5"/>
        <v>0</v>
      </c>
      <c r="M186" s="68"/>
      <c r="N186" s="68"/>
      <c r="O186" s="69"/>
      <c r="P186" s="211">
        <v>0</v>
      </c>
      <c r="Q186" s="68"/>
      <c r="R186" s="69"/>
    </row>
    <row r="187" spans="1:19" s="213" customFormat="1" ht="12.75">
      <c r="A187" s="63" t="s">
        <v>458</v>
      </c>
      <c r="B187" s="63" t="s">
        <v>468</v>
      </c>
      <c r="C187" s="64">
        <v>163912</v>
      </c>
      <c r="D187" s="65">
        <v>6</v>
      </c>
      <c r="E187" s="209">
        <f t="shared" si="4"/>
        <v>0</v>
      </c>
      <c r="F187" s="210"/>
      <c r="G187" s="210"/>
      <c r="H187" s="211"/>
      <c r="I187" s="211">
        <v>0</v>
      </c>
      <c r="J187" s="210"/>
      <c r="K187" s="211"/>
      <c r="L187" s="212">
        <f t="shared" si="5"/>
        <v>0</v>
      </c>
      <c r="M187" s="210"/>
      <c r="N187" s="210"/>
      <c r="O187" s="211"/>
      <c r="P187" s="211">
        <v>0</v>
      </c>
      <c r="Q187" s="210"/>
      <c r="R187" s="211"/>
      <c r="S187" s="228"/>
    </row>
    <row r="188" spans="1:18" s="213" customFormat="1" ht="12.75">
      <c r="A188" s="63" t="s">
        <v>458</v>
      </c>
      <c r="B188" s="63" t="s">
        <v>562</v>
      </c>
      <c r="C188" s="64">
        <v>163204</v>
      </c>
      <c r="D188" s="65">
        <v>15</v>
      </c>
      <c r="E188" s="229">
        <f t="shared" si="4"/>
        <v>285397</v>
      </c>
      <c r="F188" s="171"/>
      <c r="G188" s="172">
        <v>85481</v>
      </c>
      <c r="H188" s="171">
        <v>199916</v>
      </c>
      <c r="I188" s="211">
        <v>0</v>
      </c>
      <c r="J188" s="173"/>
      <c r="K188" s="171"/>
      <c r="L188" s="229">
        <f t="shared" si="5"/>
        <v>81625</v>
      </c>
      <c r="M188" s="171"/>
      <c r="N188" s="172">
        <v>16334</v>
      </c>
      <c r="O188" s="171">
        <v>65291</v>
      </c>
      <c r="P188" s="211">
        <v>0</v>
      </c>
      <c r="Q188" s="173"/>
      <c r="R188" s="174"/>
    </row>
    <row r="189" spans="1:19" s="213" customFormat="1" ht="12.75">
      <c r="A189" s="63" t="s">
        <v>458</v>
      </c>
      <c r="B189" s="63" t="s">
        <v>469</v>
      </c>
      <c r="C189" s="64">
        <v>161767</v>
      </c>
      <c r="D189" s="65">
        <v>8</v>
      </c>
      <c r="E189" s="209">
        <f t="shared" si="4"/>
        <v>244324</v>
      </c>
      <c r="F189" s="210">
        <v>197350</v>
      </c>
      <c r="G189" s="210">
        <v>22002</v>
      </c>
      <c r="H189" s="230">
        <v>17906</v>
      </c>
      <c r="I189" s="211">
        <v>7066</v>
      </c>
      <c r="J189" s="210">
        <v>0</v>
      </c>
      <c r="K189" s="231">
        <v>0</v>
      </c>
      <c r="L189" s="212">
        <f t="shared" si="5"/>
        <v>0</v>
      </c>
      <c r="M189" s="210"/>
      <c r="N189" s="210"/>
      <c r="O189" s="230"/>
      <c r="P189" s="211">
        <v>0</v>
      </c>
      <c r="Q189" s="210"/>
      <c r="R189" s="231"/>
      <c r="S189" s="228"/>
    </row>
    <row r="190" spans="1:19" s="213" customFormat="1" ht="12.75">
      <c r="A190" s="63" t="s">
        <v>458</v>
      </c>
      <c r="B190" s="63" t="s">
        <v>470</v>
      </c>
      <c r="C190" s="72"/>
      <c r="D190" s="65">
        <v>8</v>
      </c>
      <c r="E190" s="209">
        <f t="shared" si="4"/>
        <v>346665</v>
      </c>
      <c r="F190" s="210">
        <v>329723</v>
      </c>
      <c r="G190" s="210">
        <v>1101</v>
      </c>
      <c r="H190" s="211">
        <v>15841</v>
      </c>
      <c r="I190" s="211">
        <v>0</v>
      </c>
      <c r="J190" s="232" t="s">
        <v>471</v>
      </c>
      <c r="K190" s="233" t="s">
        <v>471</v>
      </c>
      <c r="L190" s="212">
        <f t="shared" si="5"/>
        <v>0</v>
      </c>
      <c r="M190" s="210" t="s">
        <v>471</v>
      </c>
      <c r="N190" s="210" t="s">
        <v>471</v>
      </c>
      <c r="O190" s="211" t="s">
        <v>471</v>
      </c>
      <c r="P190" s="211">
        <v>0</v>
      </c>
      <c r="Q190" s="232" t="s">
        <v>471</v>
      </c>
      <c r="R190" s="233" t="s">
        <v>471</v>
      </c>
      <c r="S190" s="228"/>
    </row>
    <row r="191" spans="1:18" s="213" customFormat="1" ht="12.75">
      <c r="A191" s="63" t="s">
        <v>458</v>
      </c>
      <c r="B191" s="63" t="s">
        <v>472</v>
      </c>
      <c r="C191" s="64">
        <v>163426</v>
      </c>
      <c r="D191" s="65">
        <v>8</v>
      </c>
      <c r="E191" s="209">
        <f t="shared" si="4"/>
        <v>394245</v>
      </c>
      <c r="F191" s="210">
        <v>377836</v>
      </c>
      <c r="G191" s="210">
        <v>2353</v>
      </c>
      <c r="H191" s="211">
        <v>14056</v>
      </c>
      <c r="I191" s="211">
        <v>0</v>
      </c>
      <c r="J191" s="210">
        <v>0</v>
      </c>
      <c r="K191" s="211">
        <v>0</v>
      </c>
      <c r="L191" s="212">
        <f t="shared" si="5"/>
        <v>0</v>
      </c>
      <c r="M191" s="210"/>
      <c r="N191" s="210"/>
      <c r="O191" s="211"/>
      <c r="P191" s="211">
        <v>0</v>
      </c>
      <c r="Q191" s="210"/>
      <c r="R191" s="211"/>
    </row>
    <row r="192" spans="1:18" s="213" customFormat="1" ht="12.75">
      <c r="A192" s="63" t="s">
        <v>458</v>
      </c>
      <c r="B192" s="63" t="s">
        <v>473</v>
      </c>
      <c r="C192" s="64">
        <v>163657</v>
      </c>
      <c r="D192" s="65">
        <v>8</v>
      </c>
      <c r="E192" s="209">
        <f t="shared" si="4"/>
        <v>221472</v>
      </c>
      <c r="F192" s="210">
        <v>202560</v>
      </c>
      <c r="G192" s="210"/>
      <c r="H192" s="211">
        <v>16896</v>
      </c>
      <c r="I192" s="211">
        <v>2016</v>
      </c>
      <c r="J192" s="210"/>
      <c r="K192" s="211"/>
      <c r="L192" s="212">
        <f t="shared" si="5"/>
        <v>0</v>
      </c>
      <c r="M192" s="210"/>
      <c r="N192" s="210"/>
      <c r="O192" s="211"/>
      <c r="P192" s="211">
        <v>0</v>
      </c>
      <c r="Q192" s="210"/>
      <c r="R192" s="211"/>
    </row>
    <row r="193" spans="1:18" s="213" customFormat="1" ht="12.75">
      <c r="A193" s="63" t="s">
        <v>458</v>
      </c>
      <c r="B193" s="63" t="s">
        <v>474</v>
      </c>
      <c r="C193" s="64">
        <v>161864</v>
      </c>
      <c r="D193" s="65">
        <v>9</v>
      </c>
      <c r="E193" s="209">
        <f t="shared" si="4"/>
        <v>135499</v>
      </c>
      <c r="F193" s="210">
        <v>127354</v>
      </c>
      <c r="G193" s="210"/>
      <c r="H193" s="211">
        <v>8145</v>
      </c>
      <c r="I193" s="211">
        <v>0</v>
      </c>
      <c r="J193" s="210"/>
      <c r="K193" s="211"/>
      <c r="L193" s="212">
        <f t="shared" si="5"/>
        <v>0</v>
      </c>
      <c r="M193" s="210"/>
      <c r="N193" s="210"/>
      <c r="O193" s="211"/>
      <c r="P193" s="211">
        <v>0</v>
      </c>
      <c r="Q193" s="210"/>
      <c r="R193" s="211"/>
    </row>
    <row r="194" spans="1:18" s="213" customFormat="1" ht="12.75">
      <c r="A194" s="63" t="s">
        <v>458</v>
      </c>
      <c r="B194" s="63" t="s">
        <v>475</v>
      </c>
      <c r="C194" s="64">
        <v>162122</v>
      </c>
      <c r="D194" s="65">
        <v>9</v>
      </c>
      <c r="E194" s="209">
        <f t="shared" si="4"/>
        <v>114722</v>
      </c>
      <c r="F194" s="210">
        <v>96077</v>
      </c>
      <c r="G194" s="210">
        <v>6722</v>
      </c>
      <c r="H194" s="211">
        <v>7554</v>
      </c>
      <c r="I194" s="211">
        <v>929</v>
      </c>
      <c r="J194" s="210">
        <v>3440</v>
      </c>
      <c r="K194" s="211"/>
      <c r="L194" s="212">
        <f t="shared" si="5"/>
        <v>0</v>
      </c>
      <c r="M194" s="210"/>
      <c r="N194" s="210"/>
      <c r="O194" s="211"/>
      <c r="P194" s="211">
        <v>0</v>
      </c>
      <c r="Q194" s="210"/>
      <c r="R194" s="211"/>
    </row>
    <row r="195" spans="1:18" s="213" customFormat="1" ht="12.75">
      <c r="A195" s="63" t="s">
        <v>458</v>
      </c>
      <c r="B195" s="63" t="s">
        <v>476</v>
      </c>
      <c r="C195" s="64">
        <v>162557</v>
      </c>
      <c r="D195" s="65">
        <v>9</v>
      </c>
      <c r="E195" s="209">
        <f t="shared" si="4"/>
        <v>82654</v>
      </c>
      <c r="F195" s="210">
        <v>72056</v>
      </c>
      <c r="G195" s="210"/>
      <c r="H195" s="211"/>
      <c r="I195" s="211">
        <v>10598</v>
      </c>
      <c r="J195" s="210"/>
      <c r="K195" s="211"/>
      <c r="L195" s="212">
        <f t="shared" si="5"/>
        <v>0</v>
      </c>
      <c r="M195" s="210"/>
      <c r="N195" s="210"/>
      <c r="O195" s="211"/>
      <c r="P195" s="211">
        <v>0</v>
      </c>
      <c r="Q195" s="210"/>
      <c r="R195" s="211"/>
    </row>
    <row r="196" spans="1:18" s="213" customFormat="1" ht="12.75">
      <c r="A196" s="63" t="s">
        <v>458</v>
      </c>
      <c r="B196" s="63" t="s">
        <v>477</v>
      </c>
      <c r="C196" s="64">
        <v>162706</v>
      </c>
      <c r="D196" s="65">
        <v>9</v>
      </c>
      <c r="E196" s="209">
        <f t="shared" si="4"/>
        <v>95171</v>
      </c>
      <c r="F196" s="210">
        <v>85914</v>
      </c>
      <c r="G196" s="210">
        <v>3030</v>
      </c>
      <c r="H196" s="211">
        <v>5908</v>
      </c>
      <c r="I196" s="211">
        <v>0</v>
      </c>
      <c r="J196" s="210">
        <v>319</v>
      </c>
      <c r="K196" s="211">
        <v>0</v>
      </c>
      <c r="L196" s="212">
        <f t="shared" si="5"/>
        <v>0</v>
      </c>
      <c r="M196" s="210"/>
      <c r="N196" s="210"/>
      <c r="O196" s="211"/>
      <c r="P196" s="211">
        <v>0</v>
      </c>
      <c r="Q196" s="210"/>
      <c r="R196" s="211"/>
    </row>
    <row r="197" spans="1:18" s="213" customFormat="1" ht="12.75">
      <c r="A197" s="63" t="s">
        <v>458</v>
      </c>
      <c r="B197" s="63" t="s">
        <v>478</v>
      </c>
      <c r="C197" s="64">
        <v>162779</v>
      </c>
      <c r="D197" s="65">
        <v>9</v>
      </c>
      <c r="E197" s="209">
        <f t="shared" si="4"/>
        <v>109480</v>
      </c>
      <c r="F197" s="210">
        <v>99342</v>
      </c>
      <c r="G197" s="210">
        <v>2312</v>
      </c>
      <c r="H197" s="211">
        <v>6638</v>
      </c>
      <c r="I197" s="211">
        <v>189</v>
      </c>
      <c r="J197" s="210">
        <v>999</v>
      </c>
      <c r="K197" s="211">
        <v>0</v>
      </c>
      <c r="L197" s="212">
        <f t="shared" si="5"/>
        <v>0</v>
      </c>
      <c r="M197" s="210"/>
      <c r="N197" s="210"/>
      <c r="O197" s="211"/>
      <c r="P197" s="211">
        <v>0</v>
      </c>
      <c r="Q197" s="210"/>
      <c r="R197" s="211"/>
    </row>
    <row r="198" spans="1:18" s="213" customFormat="1" ht="12.75">
      <c r="A198" s="63" t="s">
        <v>458</v>
      </c>
      <c r="B198" s="63" t="s">
        <v>479</v>
      </c>
      <c r="C198" s="64">
        <v>161688</v>
      </c>
      <c r="D198" s="65">
        <v>10</v>
      </c>
      <c r="E198" s="209">
        <f t="shared" si="4"/>
        <v>70477</v>
      </c>
      <c r="F198" s="210">
        <v>50518</v>
      </c>
      <c r="G198" s="210">
        <v>16280</v>
      </c>
      <c r="H198" s="211">
        <v>931</v>
      </c>
      <c r="I198" s="211">
        <v>1659</v>
      </c>
      <c r="J198" s="210">
        <v>1089</v>
      </c>
      <c r="K198" s="211">
        <v>0</v>
      </c>
      <c r="L198" s="212">
        <f t="shared" si="5"/>
        <v>0</v>
      </c>
      <c r="M198" s="210"/>
      <c r="N198" s="210"/>
      <c r="O198" s="211"/>
      <c r="P198" s="211">
        <v>0</v>
      </c>
      <c r="Q198" s="210"/>
      <c r="R198" s="211"/>
    </row>
    <row r="199" spans="1:18" s="213" customFormat="1" ht="12.75">
      <c r="A199" s="63" t="s">
        <v>458</v>
      </c>
      <c r="B199" s="63" t="s">
        <v>480</v>
      </c>
      <c r="C199" s="64">
        <v>405872</v>
      </c>
      <c r="D199" s="65">
        <v>10</v>
      </c>
      <c r="E199" s="209">
        <f aca="true" t="shared" si="6" ref="E199:E259">SUM(F199:K199)</f>
        <v>0</v>
      </c>
      <c r="F199" s="210"/>
      <c r="G199" s="210"/>
      <c r="H199" s="211"/>
      <c r="I199" s="211">
        <v>0</v>
      </c>
      <c r="J199" s="210"/>
      <c r="K199" s="211"/>
      <c r="L199" s="212">
        <f aca="true" t="shared" si="7" ref="L199:L259">SUM(M199:R199)</f>
        <v>0</v>
      </c>
      <c r="M199" s="210"/>
      <c r="N199" s="210"/>
      <c r="O199" s="211"/>
      <c r="P199" s="211">
        <v>0</v>
      </c>
      <c r="Q199" s="210"/>
      <c r="R199" s="211"/>
    </row>
    <row r="200" spans="1:18" s="213" customFormat="1" ht="12.75">
      <c r="A200" s="63" t="s">
        <v>458</v>
      </c>
      <c r="B200" s="63" t="s">
        <v>481</v>
      </c>
      <c r="C200" s="64">
        <v>162104</v>
      </c>
      <c r="D200" s="65">
        <v>10</v>
      </c>
      <c r="E200" s="209">
        <f t="shared" si="6"/>
        <v>29718</v>
      </c>
      <c r="F200" s="210">
        <v>27980</v>
      </c>
      <c r="G200" s="210">
        <v>835</v>
      </c>
      <c r="H200" s="211">
        <v>777</v>
      </c>
      <c r="I200" s="211">
        <v>0</v>
      </c>
      <c r="J200" s="210">
        <v>0</v>
      </c>
      <c r="K200" s="211">
        <v>126</v>
      </c>
      <c r="L200" s="212">
        <f t="shared" si="7"/>
        <v>0</v>
      </c>
      <c r="M200" s="210"/>
      <c r="N200" s="210"/>
      <c r="O200" s="211"/>
      <c r="P200" s="211">
        <v>0</v>
      </c>
      <c r="Q200" s="210"/>
      <c r="R200" s="211"/>
    </row>
    <row r="201" spans="1:18" s="213" customFormat="1" ht="12.75">
      <c r="A201" s="63" t="s">
        <v>458</v>
      </c>
      <c r="B201" s="63" t="s">
        <v>482</v>
      </c>
      <c r="C201" s="64">
        <v>162168</v>
      </c>
      <c r="D201" s="65">
        <v>10</v>
      </c>
      <c r="E201" s="209">
        <f t="shared" si="6"/>
        <v>41125</v>
      </c>
      <c r="F201" s="66">
        <v>28151</v>
      </c>
      <c r="G201" s="66">
        <v>7392</v>
      </c>
      <c r="H201" s="67">
        <v>1939</v>
      </c>
      <c r="I201" s="211">
        <v>3011</v>
      </c>
      <c r="J201" s="66">
        <v>632</v>
      </c>
      <c r="K201" s="67">
        <v>0</v>
      </c>
      <c r="L201" s="212">
        <f t="shared" si="7"/>
        <v>0</v>
      </c>
      <c r="M201" s="66"/>
      <c r="N201" s="66"/>
      <c r="O201" s="67"/>
      <c r="P201" s="211">
        <v>0</v>
      </c>
      <c r="Q201" s="66"/>
      <c r="R201" s="67"/>
    </row>
    <row r="202" spans="1:18" s="213" customFormat="1" ht="12.75">
      <c r="A202" s="63" t="s">
        <v>458</v>
      </c>
      <c r="B202" s="63" t="s">
        <v>483</v>
      </c>
      <c r="C202" s="64">
        <v>162609</v>
      </c>
      <c r="D202" s="65">
        <v>10</v>
      </c>
      <c r="E202" s="209">
        <f t="shared" si="6"/>
        <v>13403</v>
      </c>
      <c r="F202" s="210">
        <v>11614</v>
      </c>
      <c r="G202" s="210">
        <v>803</v>
      </c>
      <c r="H202" s="211">
        <v>550</v>
      </c>
      <c r="I202" s="211">
        <v>436</v>
      </c>
      <c r="J202" s="210">
        <v>0</v>
      </c>
      <c r="K202" s="211">
        <v>0</v>
      </c>
      <c r="L202" s="212">
        <f t="shared" si="7"/>
        <v>0</v>
      </c>
      <c r="M202" s="210"/>
      <c r="N202" s="210"/>
      <c r="O202" s="211"/>
      <c r="P202" s="211">
        <v>0</v>
      </c>
      <c r="Q202" s="210"/>
      <c r="R202" s="211"/>
    </row>
    <row r="203" spans="1:18" s="213" customFormat="1" ht="12.75">
      <c r="A203" s="63" t="s">
        <v>458</v>
      </c>
      <c r="B203" s="63" t="s">
        <v>484</v>
      </c>
      <c r="C203" s="64">
        <v>162690</v>
      </c>
      <c r="D203" s="65">
        <v>10</v>
      </c>
      <c r="E203" s="209">
        <f t="shared" si="6"/>
        <v>46160</v>
      </c>
      <c r="F203" s="210">
        <v>42967</v>
      </c>
      <c r="G203" s="210">
        <v>999</v>
      </c>
      <c r="H203" s="211">
        <v>1587</v>
      </c>
      <c r="I203" s="211">
        <v>0</v>
      </c>
      <c r="J203" s="210">
        <v>473</v>
      </c>
      <c r="K203" s="211">
        <v>134</v>
      </c>
      <c r="L203" s="212">
        <f t="shared" si="7"/>
        <v>0</v>
      </c>
      <c r="M203" s="210"/>
      <c r="N203" s="210"/>
      <c r="O203" s="211"/>
      <c r="P203" s="211">
        <v>0</v>
      </c>
      <c r="Q203" s="210"/>
      <c r="R203" s="211"/>
    </row>
    <row r="204" spans="1:18" s="223" customFormat="1" ht="12.75">
      <c r="A204" s="73" t="s">
        <v>458</v>
      </c>
      <c r="B204" s="73" t="s">
        <v>485</v>
      </c>
      <c r="C204" s="74">
        <v>164313</v>
      </c>
      <c r="D204" s="75">
        <v>10</v>
      </c>
      <c r="E204" s="219">
        <f t="shared" si="6"/>
        <v>55685</v>
      </c>
      <c r="F204" s="220">
        <v>52120</v>
      </c>
      <c r="G204" s="220">
        <v>635</v>
      </c>
      <c r="H204" s="221">
        <v>1997</v>
      </c>
      <c r="I204" s="211">
        <v>90</v>
      </c>
      <c r="J204" s="220">
        <v>843</v>
      </c>
      <c r="K204" s="221">
        <v>0</v>
      </c>
      <c r="L204" s="222">
        <f t="shared" si="7"/>
        <v>0</v>
      </c>
      <c r="M204" s="220"/>
      <c r="N204" s="220"/>
      <c r="O204" s="221"/>
      <c r="P204" s="211">
        <v>0</v>
      </c>
      <c r="Q204" s="220"/>
      <c r="R204" s="221"/>
    </row>
    <row r="205" spans="1:18" s="81" customFormat="1" ht="12.75">
      <c r="A205" s="76" t="s">
        <v>13</v>
      </c>
      <c r="B205" s="76" t="s">
        <v>16</v>
      </c>
      <c r="C205" s="77">
        <v>176372</v>
      </c>
      <c r="D205" s="78">
        <v>1</v>
      </c>
      <c r="E205" s="209">
        <f t="shared" si="6"/>
        <v>339484</v>
      </c>
      <c r="F205" s="79">
        <v>280513</v>
      </c>
      <c r="G205" s="79">
        <v>36745</v>
      </c>
      <c r="H205" s="80">
        <v>18509</v>
      </c>
      <c r="I205" s="211">
        <v>2402</v>
      </c>
      <c r="J205" s="79">
        <v>150</v>
      </c>
      <c r="K205" s="80">
        <v>1165</v>
      </c>
      <c r="L205" s="212">
        <f t="shared" si="7"/>
        <v>58052</v>
      </c>
      <c r="M205" s="79">
        <v>43170</v>
      </c>
      <c r="N205" s="79">
        <v>8775</v>
      </c>
      <c r="O205" s="80">
        <v>4762</v>
      </c>
      <c r="P205" s="211">
        <v>1233</v>
      </c>
      <c r="Q205" s="79">
        <v>108</v>
      </c>
      <c r="R205" s="80">
        <v>4</v>
      </c>
    </row>
    <row r="206" spans="1:18" s="213" customFormat="1" ht="12.75">
      <c r="A206" s="61" t="s">
        <v>13</v>
      </c>
      <c r="B206" s="61" t="s">
        <v>14</v>
      </c>
      <c r="C206" s="62">
        <v>176080</v>
      </c>
      <c r="D206" s="26">
        <v>2</v>
      </c>
      <c r="E206" s="209">
        <f t="shared" si="6"/>
        <v>358263</v>
      </c>
      <c r="F206" s="234">
        <v>333267</v>
      </c>
      <c r="G206" s="234">
        <v>13224</v>
      </c>
      <c r="H206" s="214">
        <v>5480</v>
      </c>
      <c r="I206" s="211">
        <v>2964</v>
      </c>
      <c r="J206" s="234">
        <v>30</v>
      </c>
      <c r="K206" s="214">
        <v>3298</v>
      </c>
      <c r="L206" s="212">
        <f t="shared" si="7"/>
        <v>53639</v>
      </c>
      <c r="M206" s="234">
        <v>45419</v>
      </c>
      <c r="N206" s="234">
        <v>3013</v>
      </c>
      <c r="O206" s="214">
        <v>3115</v>
      </c>
      <c r="P206" s="211">
        <v>1339</v>
      </c>
      <c r="Q206" s="234">
        <v>753</v>
      </c>
      <c r="R206" s="214"/>
    </row>
    <row r="207" spans="1:18" s="81" customFormat="1" ht="12.75">
      <c r="A207" s="76" t="s">
        <v>13</v>
      </c>
      <c r="B207" s="76" t="s">
        <v>15</v>
      </c>
      <c r="C207" s="77">
        <v>176017</v>
      </c>
      <c r="D207" s="78">
        <v>2</v>
      </c>
      <c r="E207" s="209">
        <f t="shared" si="6"/>
        <v>335170</v>
      </c>
      <c r="F207" s="79">
        <v>314426</v>
      </c>
      <c r="G207" s="79">
        <v>9267</v>
      </c>
      <c r="H207" s="80">
        <v>5973</v>
      </c>
      <c r="I207" s="211">
        <v>3505</v>
      </c>
      <c r="J207" s="79"/>
      <c r="K207" s="80">
        <v>1999</v>
      </c>
      <c r="L207" s="212">
        <f t="shared" si="7"/>
        <v>57033</v>
      </c>
      <c r="M207" s="79">
        <v>52281</v>
      </c>
      <c r="N207" s="79">
        <v>3919</v>
      </c>
      <c r="O207" s="80">
        <v>597</v>
      </c>
      <c r="P207" s="211">
        <v>236</v>
      </c>
      <c r="Q207" s="79"/>
      <c r="R207" s="80"/>
    </row>
    <row r="208" spans="1:18" s="213" customFormat="1" ht="12.75">
      <c r="A208" s="61" t="s">
        <v>13</v>
      </c>
      <c r="B208" s="61" t="s">
        <v>17</v>
      </c>
      <c r="C208" s="62">
        <v>175856</v>
      </c>
      <c r="D208" s="26">
        <v>3</v>
      </c>
      <c r="E208" s="209">
        <f t="shared" si="6"/>
        <v>164401</v>
      </c>
      <c r="F208" s="234">
        <v>156780</v>
      </c>
      <c r="G208" s="234">
        <v>6604</v>
      </c>
      <c r="H208" s="214">
        <v>1017</v>
      </c>
      <c r="I208" s="211">
        <v>0</v>
      </c>
      <c r="J208" s="234"/>
      <c r="K208" s="214"/>
      <c r="L208" s="212">
        <f t="shared" si="7"/>
        <v>22195</v>
      </c>
      <c r="M208" s="234">
        <v>16756</v>
      </c>
      <c r="N208" s="234">
        <v>5373</v>
      </c>
      <c r="O208" s="214">
        <v>66</v>
      </c>
      <c r="P208" s="211">
        <v>0</v>
      </c>
      <c r="Q208" s="234"/>
      <c r="R208" s="214"/>
    </row>
    <row r="209" spans="1:18" s="213" customFormat="1" ht="12.75">
      <c r="A209" s="61" t="s">
        <v>13</v>
      </c>
      <c r="B209" s="61" t="s">
        <v>18</v>
      </c>
      <c r="C209" s="62">
        <v>175342</v>
      </c>
      <c r="D209" s="26">
        <v>4</v>
      </c>
      <c r="E209" s="209">
        <f t="shared" si="6"/>
        <v>80867</v>
      </c>
      <c r="F209" s="234">
        <v>80277</v>
      </c>
      <c r="G209" s="234"/>
      <c r="H209" s="214"/>
      <c r="I209" s="211">
        <v>542</v>
      </c>
      <c r="J209" s="234">
        <v>48</v>
      </c>
      <c r="K209" s="214"/>
      <c r="L209" s="212">
        <f t="shared" si="7"/>
        <v>9653</v>
      </c>
      <c r="M209" s="234">
        <v>8755</v>
      </c>
      <c r="N209" s="234"/>
      <c r="O209" s="214">
        <v>898</v>
      </c>
      <c r="P209" s="211">
        <v>0</v>
      </c>
      <c r="Q209" s="234"/>
      <c r="R209" s="214"/>
    </row>
    <row r="210" spans="1:18" s="213" customFormat="1" ht="12.75">
      <c r="A210" s="61" t="s">
        <v>13</v>
      </c>
      <c r="B210" s="61" t="s">
        <v>19</v>
      </c>
      <c r="C210" s="62">
        <v>175616</v>
      </c>
      <c r="D210" s="26">
        <v>4</v>
      </c>
      <c r="E210" s="209">
        <f t="shared" si="6"/>
        <v>85693</v>
      </c>
      <c r="F210" s="234">
        <v>82388</v>
      </c>
      <c r="G210" s="234">
        <v>2231</v>
      </c>
      <c r="H210" s="214">
        <v>702</v>
      </c>
      <c r="I210" s="211">
        <v>0</v>
      </c>
      <c r="J210" s="234"/>
      <c r="K210" s="214">
        <v>372</v>
      </c>
      <c r="L210" s="212">
        <f t="shared" si="7"/>
        <v>11164</v>
      </c>
      <c r="M210" s="234">
        <v>9682</v>
      </c>
      <c r="N210" s="234">
        <v>693</v>
      </c>
      <c r="O210" s="214">
        <v>771</v>
      </c>
      <c r="P210" s="211">
        <v>0</v>
      </c>
      <c r="Q210" s="234"/>
      <c r="R210" s="214">
        <v>18</v>
      </c>
    </row>
    <row r="211" spans="1:18" s="213" customFormat="1" ht="12.75">
      <c r="A211" s="61" t="s">
        <v>13</v>
      </c>
      <c r="B211" s="61" t="s">
        <v>20</v>
      </c>
      <c r="C211" s="62">
        <v>176035</v>
      </c>
      <c r="D211" s="26">
        <v>5</v>
      </c>
      <c r="E211" s="209">
        <f t="shared" si="6"/>
        <v>53525</v>
      </c>
      <c r="F211" s="234">
        <v>51959</v>
      </c>
      <c r="G211" s="234"/>
      <c r="H211" s="214">
        <v>1566</v>
      </c>
      <c r="I211" s="211">
        <v>0</v>
      </c>
      <c r="J211" s="234"/>
      <c r="K211" s="214"/>
      <c r="L211" s="212">
        <f t="shared" si="7"/>
        <v>2765</v>
      </c>
      <c r="M211" s="234">
        <v>2636</v>
      </c>
      <c r="N211" s="234"/>
      <c r="O211" s="214">
        <v>129</v>
      </c>
      <c r="P211" s="211">
        <v>0</v>
      </c>
      <c r="Q211" s="234"/>
      <c r="R211" s="214"/>
    </row>
    <row r="212" spans="1:18" s="223" customFormat="1" ht="12.75">
      <c r="A212" s="82" t="s">
        <v>13</v>
      </c>
      <c r="B212" s="82" t="s">
        <v>21</v>
      </c>
      <c r="C212" s="83">
        <v>176044</v>
      </c>
      <c r="D212" s="84">
        <v>5</v>
      </c>
      <c r="E212" s="219">
        <f t="shared" si="6"/>
        <v>94648</v>
      </c>
      <c r="F212" s="235">
        <v>90107</v>
      </c>
      <c r="G212" s="235">
        <v>2931</v>
      </c>
      <c r="H212" s="236"/>
      <c r="I212" s="211">
        <v>0</v>
      </c>
      <c r="J212" s="235"/>
      <c r="K212" s="236">
        <v>1610</v>
      </c>
      <c r="L212" s="222">
        <f t="shared" si="7"/>
        <v>8606</v>
      </c>
      <c r="M212" s="235">
        <v>4390</v>
      </c>
      <c r="N212" s="235">
        <v>4216</v>
      </c>
      <c r="O212" s="236"/>
      <c r="P212" s="211">
        <v>0</v>
      </c>
      <c r="Q212" s="235"/>
      <c r="R212" s="236"/>
    </row>
    <row r="213" spans="1:18" s="213" customFormat="1" ht="12.75">
      <c r="A213" s="85" t="s">
        <v>13</v>
      </c>
      <c r="B213" s="85" t="s">
        <v>486</v>
      </c>
      <c r="C213" s="86">
        <v>175786</v>
      </c>
      <c r="D213" s="87">
        <v>8</v>
      </c>
      <c r="E213" s="209">
        <f t="shared" si="6"/>
        <v>248034</v>
      </c>
      <c r="F213" s="210">
        <v>234503</v>
      </c>
      <c r="G213" s="210"/>
      <c r="H213" s="211">
        <v>13531</v>
      </c>
      <c r="I213" s="211">
        <v>0</v>
      </c>
      <c r="J213" s="210"/>
      <c r="K213" s="211"/>
      <c r="L213" s="212">
        <f t="shared" si="7"/>
        <v>0</v>
      </c>
      <c r="M213" s="210"/>
      <c r="N213" s="210"/>
      <c r="O213" s="211"/>
      <c r="P213" s="211">
        <v>0</v>
      </c>
      <c r="Q213" s="210"/>
      <c r="R213" s="211"/>
    </row>
    <row r="214" spans="1:18" s="213" customFormat="1" ht="12.75">
      <c r="A214" s="85" t="s">
        <v>13</v>
      </c>
      <c r="B214" s="85" t="s">
        <v>487</v>
      </c>
      <c r="C214" s="86">
        <v>176071</v>
      </c>
      <c r="D214" s="87">
        <v>8</v>
      </c>
      <c r="E214" s="209">
        <f t="shared" si="6"/>
        <v>238239</v>
      </c>
      <c r="F214" s="210">
        <v>220900</v>
      </c>
      <c r="G214" s="210"/>
      <c r="H214" s="211">
        <v>17339</v>
      </c>
      <c r="I214" s="211">
        <v>0</v>
      </c>
      <c r="J214" s="210"/>
      <c r="K214" s="211"/>
      <c r="L214" s="212">
        <f t="shared" si="7"/>
        <v>0</v>
      </c>
      <c r="M214" s="210"/>
      <c r="N214" s="210"/>
      <c r="O214" s="211"/>
      <c r="P214" s="211">
        <v>0</v>
      </c>
      <c r="Q214" s="210"/>
      <c r="R214" s="211"/>
    </row>
    <row r="215" spans="1:18" s="213" customFormat="1" ht="12.75">
      <c r="A215" s="85" t="s">
        <v>13</v>
      </c>
      <c r="B215" s="85" t="s">
        <v>488</v>
      </c>
      <c r="C215" s="86">
        <v>175573</v>
      </c>
      <c r="D215" s="87">
        <v>9</v>
      </c>
      <c r="E215" s="209">
        <f t="shared" si="6"/>
        <v>81948</v>
      </c>
      <c r="F215" s="210">
        <v>77477</v>
      </c>
      <c r="G215" s="210"/>
      <c r="H215" s="211">
        <v>4471</v>
      </c>
      <c r="I215" s="211">
        <v>0</v>
      </c>
      <c r="J215" s="210"/>
      <c r="K215" s="211"/>
      <c r="L215" s="212">
        <f t="shared" si="7"/>
        <v>0</v>
      </c>
      <c r="M215" s="210"/>
      <c r="N215" s="210"/>
      <c r="O215" s="211"/>
      <c r="P215" s="211">
        <v>0</v>
      </c>
      <c r="Q215" s="210"/>
      <c r="R215" s="211"/>
    </row>
    <row r="216" spans="1:18" s="213" customFormat="1" ht="12.75">
      <c r="A216" s="85" t="s">
        <v>13</v>
      </c>
      <c r="B216" s="85" t="s">
        <v>489</v>
      </c>
      <c r="C216" s="86">
        <v>175652</v>
      </c>
      <c r="D216" s="87">
        <v>9</v>
      </c>
      <c r="E216" s="209">
        <f t="shared" si="6"/>
        <v>98405</v>
      </c>
      <c r="F216" s="210">
        <v>86582</v>
      </c>
      <c r="G216" s="210"/>
      <c r="H216" s="211">
        <v>11823</v>
      </c>
      <c r="I216" s="211">
        <v>0</v>
      </c>
      <c r="J216" s="210"/>
      <c r="K216" s="211"/>
      <c r="L216" s="212">
        <f t="shared" si="7"/>
        <v>0</v>
      </c>
      <c r="M216" s="210"/>
      <c r="N216" s="210"/>
      <c r="O216" s="211"/>
      <c r="P216" s="211">
        <v>0</v>
      </c>
      <c r="Q216" s="210"/>
      <c r="R216" s="211"/>
    </row>
    <row r="217" spans="1:18" s="213" customFormat="1" ht="12.75">
      <c r="A217" s="85" t="s">
        <v>13</v>
      </c>
      <c r="B217" s="85" t="s">
        <v>490</v>
      </c>
      <c r="C217" s="86">
        <v>175810</v>
      </c>
      <c r="D217" s="87">
        <v>9</v>
      </c>
      <c r="E217" s="209">
        <f t="shared" si="6"/>
        <v>98338</v>
      </c>
      <c r="F217" s="210">
        <v>94765</v>
      </c>
      <c r="G217" s="210"/>
      <c r="H217" s="211">
        <v>3573</v>
      </c>
      <c r="I217" s="211">
        <v>0</v>
      </c>
      <c r="J217" s="210"/>
      <c r="K217" s="211"/>
      <c r="L217" s="212">
        <f t="shared" si="7"/>
        <v>0</v>
      </c>
      <c r="M217" s="210"/>
      <c r="N217" s="210"/>
      <c r="O217" s="211"/>
      <c r="P217" s="211">
        <v>0</v>
      </c>
      <c r="Q217" s="210"/>
      <c r="R217" s="211"/>
    </row>
    <row r="218" spans="1:18" s="213" customFormat="1" ht="12.75">
      <c r="A218" s="85" t="s">
        <v>13</v>
      </c>
      <c r="B218" s="85" t="s">
        <v>491</v>
      </c>
      <c r="C218" s="86">
        <v>175829</v>
      </c>
      <c r="D218" s="87">
        <v>9</v>
      </c>
      <c r="E218" s="209">
        <f t="shared" si="6"/>
        <v>112070</v>
      </c>
      <c r="F218" s="210">
        <v>98461</v>
      </c>
      <c r="G218" s="210"/>
      <c r="H218" s="211">
        <v>13609</v>
      </c>
      <c r="I218" s="211">
        <v>0</v>
      </c>
      <c r="J218" s="210"/>
      <c r="K218" s="211"/>
      <c r="L218" s="212">
        <f t="shared" si="7"/>
        <v>0</v>
      </c>
      <c r="M218" s="210"/>
      <c r="N218" s="210"/>
      <c r="O218" s="211"/>
      <c r="P218" s="211">
        <v>0</v>
      </c>
      <c r="Q218" s="210"/>
      <c r="R218" s="211"/>
    </row>
    <row r="219" spans="1:18" s="213" customFormat="1" ht="12.75">
      <c r="A219" s="85" t="s">
        <v>13</v>
      </c>
      <c r="B219" s="85" t="s">
        <v>492</v>
      </c>
      <c r="C219" s="86">
        <v>175883</v>
      </c>
      <c r="D219" s="87">
        <v>9</v>
      </c>
      <c r="E219" s="209">
        <f t="shared" si="6"/>
        <v>139934</v>
      </c>
      <c r="F219" s="210">
        <v>139934</v>
      </c>
      <c r="G219" s="210"/>
      <c r="H219" s="211">
        <v>0</v>
      </c>
      <c r="I219" s="211">
        <v>0</v>
      </c>
      <c r="J219" s="210"/>
      <c r="K219" s="211"/>
      <c r="L219" s="212">
        <f t="shared" si="7"/>
        <v>0</v>
      </c>
      <c r="M219" s="210"/>
      <c r="N219" s="210"/>
      <c r="O219" s="211"/>
      <c r="P219" s="211">
        <v>0</v>
      </c>
      <c r="Q219" s="210"/>
      <c r="R219" s="211"/>
    </row>
    <row r="220" spans="1:18" s="213" customFormat="1" ht="12.75">
      <c r="A220" s="85" t="s">
        <v>13</v>
      </c>
      <c r="B220" s="85" t="s">
        <v>493</v>
      </c>
      <c r="C220" s="86">
        <v>175935</v>
      </c>
      <c r="D220" s="87">
        <v>9</v>
      </c>
      <c r="E220" s="209">
        <f t="shared" si="6"/>
        <v>87949</v>
      </c>
      <c r="F220" s="210">
        <v>83716</v>
      </c>
      <c r="G220" s="210"/>
      <c r="H220" s="211">
        <v>4233</v>
      </c>
      <c r="I220" s="211">
        <v>0</v>
      </c>
      <c r="J220" s="210"/>
      <c r="K220" s="211"/>
      <c r="L220" s="212">
        <f t="shared" si="7"/>
        <v>0</v>
      </c>
      <c r="M220" s="210"/>
      <c r="N220" s="210"/>
      <c r="O220" s="211"/>
      <c r="P220" s="211">
        <v>0</v>
      </c>
      <c r="Q220" s="210"/>
      <c r="R220" s="211"/>
    </row>
    <row r="221" spans="1:18" s="213" customFormat="1" ht="12.75">
      <c r="A221" s="85" t="s">
        <v>13</v>
      </c>
      <c r="B221" s="85" t="s">
        <v>494</v>
      </c>
      <c r="C221" s="86">
        <v>176008</v>
      </c>
      <c r="D221" s="87">
        <v>9</v>
      </c>
      <c r="E221" s="209">
        <f t="shared" si="6"/>
        <v>87521</v>
      </c>
      <c r="F221" s="210">
        <v>80355</v>
      </c>
      <c r="G221" s="210"/>
      <c r="H221" s="211">
        <v>7166</v>
      </c>
      <c r="I221" s="211">
        <v>0</v>
      </c>
      <c r="J221" s="210"/>
      <c r="K221" s="211"/>
      <c r="L221" s="212">
        <f t="shared" si="7"/>
        <v>0</v>
      </c>
      <c r="M221" s="210"/>
      <c r="N221" s="210"/>
      <c r="O221" s="211"/>
      <c r="P221" s="211">
        <v>0</v>
      </c>
      <c r="Q221" s="210"/>
      <c r="R221" s="211"/>
    </row>
    <row r="222" spans="1:18" s="213" customFormat="1" ht="12.75">
      <c r="A222" s="85" t="s">
        <v>13</v>
      </c>
      <c r="B222" s="85" t="s">
        <v>495</v>
      </c>
      <c r="C222" s="86">
        <v>176169</v>
      </c>
      <c r="D222" s="87">
        <v>9</v>
      </c>
      <c r="E222" s="209">
        <f t="shared" si="6"/>
        <v>89977</v>
      </c>
      <c r="F222" s="210">
        <v>87161</v>
      </c>
      <c r="G222" s="210"/>
      <c r="H222" s="211">
        <v>2816</v>
      </c>
      <c r="I222" s="211">
        <v>0</v>
      </c>
      <c r="J222" s="210"/>
      <c r="K222" s="211"/>
      <c r="L222" s="212">
        <f t="shared" si="7"/>
        <v>0</v>
      </c>
      <c r="M222" s="210"/>
      <c r="N222" s="210"/>
      <c r="O222" s="211"/>
      <c r="P222" s="211">
        <v>0</v>
      </c>
      <c r="Q222" s="210"/>
      <c r="R222" s="211"/>
    </row>
    <row r="223" spans="1:18" s="213" customFormat="1" ht="12.75">
      <c r="A223" s="85" t="s">
        <v>13</v>
      </c>
      <c r="B223" s="85" t="s">
        <v>496</v>
      </c>
      <c r="C223" s="86">
        <v>176178</v>
      </c>
      <c r="D223" s="87">
        <v>9</v>
      </c>
      <c r="E223" s="209">
        <f t="shared" si="6"/>
        <v>151869</v>
      </c>
      <c r="F223" s="210">
        <v>148207</v>
      </c>
      <c r="G223" s="210"/>
      <c r="H223" s="211">
        <v>3662</v>
      </c>
      <c r="I223" s="211">
        <v>0</v>
      </c>
      <c r="J223" s="210"/>
      <c r="K223" s="211"/>
      <c r="L223" s="212">
        <f t="shared" si="7"/>
        <v>0</v>
      </c>
      <c r="M223" s="210"/>
      <c r="N223" s="210"/>
      <c r="O223" s="211"/>
      <c r="P223" s="211">
        <v>0</v>
      </c>
      <c r="Q223" s="210"/>
      <c r="R223" s="211"/>
    </row>
    <row r="224" spans="1:18" s="213" customFormat="1" ht="12.75">
      <c r="A224" s="85" t="s">
        <v>13</v>
      </c>
      <c r="B224" s="85" t="s">
        <v>497</v>
      </c>
      <c r="C224" s="86">
        <v>176239</v>
      </c>
      <c r="D224" s="87">
        <v>9</v>
      </c>
      <c r="E224" s="209">
        <f t="shared" si="6"/>
        <v>90060</v>
      </c>
      <c r="F224" s="210">
        <v>85107</v>
      </c>
      <c r="G224" s="210"/>
      <c r="H224" s="211">
        <v>4953</v>
      </c>
      <c r="I224" s="211">
        <v>0</v>
      </c>
      <c r="J224" s="210"/>
      <c r="K224" s="211"/>
      <c r="L224" s="212">
        <f t="shared" si="7"/>
        <v>0</v>
      </c>
      <c r="M224" s="210"/>
      <c r="N224" s="210"/>
      <c r="O224" s="211"/>
      <c r="P224" s="211">
        <v>0</v>
      </c>
      <c r="Q224" s="210"/>
      <c r="R224" s="211"/>
    </row>
    <row r="225" spans="1:18" s="213" customFormat="1" ht="12.75">
      <c r="A225" s="85" t="s">
        <v>13</v>
      </c>
      <c r="B225" s="85" t="s">
        <v>498</v>
      </c>
      <c r="C225" s="86">
        <v>175519</v>
      </c>
      <c r="D225" s="87">
        <v>10</v>
      </c>
      <c r="E225" s="209">
        <f t="shared" si="6"/>
        <v>46961</v>
      </c>
      <c r="F225" s="210">
        <v>44131</v>
      </c>
      <c r="G225" s="210"/>
      <c r="H225" s="211">
        <v>2830</v>
      </c>
      <c r="I225" s="211">
        <v>0</v>
      </c>
      <c r="J225" s="210"/>
      <c r="K225" s="211"/>
      <c r="L225" s="212">
        <f t="shared" si="7"/>
        <v>0</v>
      </c>
      <c r="M225" s="210"/>
      <c r="N225" s="210"/>
      <c r="O225" s="211"/>
      <c r="P225" s="211">
        <v>0</v>
      </c>
      <c r="Q225" s="210"/>
      <c r="R225" s="211"/>
    </row>
    <row r="226" spans="1:18" s="213" customFormat="1" ht="12.75">
      <c r="A226" s="85" t="s">
        <v>13</v>
      </c>
      <c r="B226" s="85" t="s">
        <v>499</v>
      </c>
      <c r="C226" s="86">
        <v>175643</v>
      </c>
      <c r="D226" s="87">
        <v>10</v>
      </c>
      <c r="E226" s="209">
        <f t="shared" si="6"/>
        <v>65702</v>
      </c>
      <c r="F226" s="210">
        <v>61625</v>
      </c>
      <c r="G226" s="210"/>
      <c r="H226" s="211">
        <v>4077</v>
      </c>
      <c r="I226" s="211">
        <v>0</v>
      </c>
      <c r="J226" s="210"/>
      <c r="K226" s="211"/>
      <c r="L226" s="212">
        <f t="shared" si="7"/>
        <v>0</v>
      </c>
      <c r="M226" s="210"/>
      <c r="N226" s="210"/>
      <c r="O226" s="211"/>
      <c r="P226" s="211">
        <v>0</v>
      </c>
      <c r="Q226" s="210"/>
      <c r="R226" s="211"/>
    </row>
    <row r="227" spans="1:18" s="213" customFormat="1" ht="12.75">
      <c r="A227" s="88" t="s">
        <v>13</v>
      </c>
      <c r="B227" s="88" t="s">
        <v>500</v>
      </c>
      <c r="C227" s="89">
        <v>176354</v>
      </c>
      <c r="D227" s="90">
        <v>10</v>
      </c>
      <c r="E227" s="209">
        <f t="shared" si="6"/>
        <v>51268</v>
      </c>
      <c r="F227" s="210">
        <v>48020</v>
      </c>
      <c r="G227" s="210"/>
      <c r="H227" s="211">
        <v>3248</v>
      </c>
      <c r="I227" s="211">
        <v>0</v>
      </c>
      <c r="J227" s="210"/>
      <c r="K227" s="211"/>
      <c r="L227" s="212">
        <f t="shared" si="7"/>
        <v>0</v>
      </c>
      <c r="M227" s="210"/>
      <c r="N227" s="210"/>
      <c r="O227" s="211"/>
      <c r="P227" s="211">
        <v>0</v>
      </c>
      <c r="Q227" s="210"/>
      <c r="R227" s="211"/>
    </row>
    <row r="228" spans="1:18" s="213" customFormat="1" ht="12.75">
      <c r="A228" s="91" t="s">
        <v>23</v>
      </c>
      <c r="B228" s="91" t="s">
        <v>501</v>
      </c>
      <c r="C228" s="92">
        <v>199193</v>
      </c>
      <c r="D228" s="35">
        <v>1</v>
      </c>
      <c r="E228" s="209">
        <f t="shared" si="6"/>
        <v>640586</v>
      </c>
      <c r="F228" s="210">
        <v>623204</v>
      </c>
      <c r="G228" s="210">
        <v>17382</v>
      </c>
      <c r="H228" s="211">
        <v>0</v>
      </c>
      <c r="I228" s="211">
        <v>0</v>
      </c>
      <c r="J228" s="210"/>
      <c r="K228" s="211"/>
      <c r="L228" s="212">
        <f t="shared" si="7"/>
        <v>97576</v>
      </c>
      <c r="M228" s="210">
        <v>89555</v>
      </c>
      <c r="N228" s="210">
        <v>6874</v>
      </c>
      <c r="O228" s="211">
        <v>946</v>
      </c>
      <c r="P228" s="211">
        <v>0</v>
      </c>
      <c r="Q228" s="210">
        <v>201</v>
      </c>
      <c r="R228" s="211"/>
    </row>
    <row r="229" spans="1:18" s="213" customFormat="1" ht="12.75">
      <c r="A229" s="91" t="s">
        <v>23</v>
      </c>
      <c r="B229" s="91" t="s">
        <v>502</v>
      </c>
      <c r="C229" s="92">
        <v>199120</v>
      </c>
      <c r="D229" s="35">
        <v>1</v>
      </c>
      <c r="E229" s="209">
        <f t="shared" si="6"/>
        <v>459154</v>
      </c>
      <c r="F229" s="210">
        <v>450894</v>
      </c>
      <c r="G229" s="210">
        <v>1869</v>
      </c>
      <c r="H229" s="211">
        <v>6391</v>
      </c>
      <c r="I229" s="211">
        <v>0</v>
      </c>
      <c r="J229" s="210"/>
      <c r="K229" s="211"/>
      <c r="L229" s="212">
        <f t="shared" si="7"/>
        <v>117626</v>
      </c>
      <c r="M229" s="210">
        <v>108814</v>
      </c>
      <c r="N229" s="210">
        <v>6981</v>
      </c>
      <c r="O229" s="211">
        <v>1831</v>
      </c>
      <c r="P229" s="211">
        <v>0</v>
      </c>
      <c r="Q229" s="210"/>
      <c r="R229" s="211"/>
    </row>
    <row r="230" spans="1:18" s="213" customFormat="1" ht="12.75">
      <c r="A230" s="91" t="s">
        <v>23</v>
      </c>
      <c r="B230" s="91" t="s">
        <v>503</v>
      </c>
      <c r="C230" s="92">
        <v>199148</v>
      </c>
      <c r="D230" s="35">
        <v>2</v>
      </c>
      <c r="E230" s="209">
        <f t="shared" si="6"/>
        <v>307916</v>
      </c>
      <c r="F230" s="210">
        <v>293658</v>
      </c>
      <c r="G230" s="210">
        <v>9717</v>
      </c>
      <c r="H230" s="211">
        <v>4376</v>
      </c>
      <c r="I230" s="211">
        <v>165</v>
      </c>
      <c r="J230" s="210"/>
      <c r="K230" s="211"/>
      <c r="L230" s="212">
        <f t="shared" si="7"/>
        <v>62070</v>
      </c>
      <c r="M230" s="210">
        <v>52512</v>
      </c>
      <c r="N230" s="210">
        <v>4637</v>
      </c>
      <c r="O230" s="211">
        <v>4231</v>
      </c>
      <c r="P230" s="211">
        <v>690</v>
      </c>
      <c r="Q230" s="210"/>
      <c r="R230" s="211"/>
    </row>
    <row r="231" spans="1:18" s="213" customFormat="1" ht="12.75">
      <c r="A231" s="91" t="s">
        <v>23</v>
      </c>
      <c r="B231" s="91" t="s">
        <v>504</v>
      </c>
      <c r="C231" s="92">
        <v>197869</v>
      </c>
      <c r="D231" s="35">
        <v>3</v>
      </c>
      <c r="E231" s="209">
        <f t="shared" si="6"/>
        <v>379608</v>
      </c>
      <c r="F231" s="210">
        <v>372643</v>
      </c>
      <c r="G231" s="210">
        <v>6833</v>
      </c>
      <c r="H231" s="211">
        <v>132</v>
      </c>
      <c r="I231" s="211">
        <v>0</v>
      </c>
      <c r="J231" s="210"/>
      <c r="K231" s="211"/>
      <c r="L231" s="212">
        <f t="shared" si="7"/>
        <v>28763</v>
      </c>
      <c r="M231" s="210">
        <v>20900</v>
      </c>
      <c r="N231" s="210">
        <v>7405</v>
      </c>
      <c r="O231" s="211">
        <v>453</v>
      </c>
      <c r="P231" s="211">
        <v>0</v>
      </c>
      <c r="Q231" s="210">
        <v>5</v>
      </c>
      <c r="R231" s="211"/>
    </row>
    <row r="232" spans="1:18" s="213" customFormat="1" ht="12.75">
      <c r="A232" s="91" t="s">
        <v>23</v>
      </c>
      <c r="B232" s="91" t="s">
        <v>505</v>
      </c>
      <c r="C232" s="92">
        <v>198464</v>
      </c>
      <c r="D232" s="35">
        <v>3</v>
      </c>
      <c r="E232" s="209">
        <f t="shared" si="6"/>
        <v>499394</v>
      </c>
      <c r="F232" s="210">
        <v>476898</v>
      </c>
      <c r="G232" s="210">
        <v>420</v>
      </c>
      <c r="H232" s="211">
        <v>22076</v>
      </c>
      <c r="I232" s="211">
        <v>0</v>
      </c>
      <c r="J232" s="210"/>
      <c r="K232" s="211"/>
      <c r="L232" s="212">
        <f t="shared" si="7"/>
        <v>74767</v>
      </c>
      <c r="M232" s="210">
        <v>49585</v>
      </c>
      <c r="N232" s="210">
        <v>3173</v>
      </c>
      <c r="O232" s="211">
        <v>21625</v>
      </c>
      <c r="P232" s="211">
        <v>0</v>
      </c>
      <c r="Q232" s="210">
        <v>384</v>
      </c>
      <c r="R232" s="211"/>
    </row>
    <row r="233" spans="1:18" s="213" customFormat="1" ht="12.75">
      <c r="A233" s="91" t="s">
        <v>23</v>
      </c>
      <c r="B233" s="91" t="s">
        <v>506</v>
      </c>
      <c r="C233" s="92">
        <v>199102</v>
      </c>
      <c r="D233" s="35">
        <v>3</v>
      </c>
      <c r="E233" s="209">
        <f t="shared" si="6"/>
        <v>257228</v>
      </c>
      <c r="F233" s="210">
        <v>253441</v>
      </c>
      <c r="G233" s="210">
        <v>104</v>
      </c>
      <c r="H233" s="211">
        <v>3683</v>
      </c>
      <c r="I233" s="211">
        <v>0</v>
      </c>
      <c r="J233" s="210"/>
      <c r="K233" s="211"/>
      <c r="L233" s="212">
        <f t="shared" si="7"/>
        <v>26576</v>
      </c>
      <c r="M233" s="210">
        <v>22306</v>
      </c>
      <c r="N233" s="210">
        <v>1734</v>
      </c>
      <c r="O233" s="211">
        <v>2536</v>
      </c>
      <c r="P233" s="211">
        <v>0</v>
      </c>
      <c r="Q233" s="210"/>
      <c r="R233" s="211"/>
    </row>
    <row r="234" spans="1:18" s="213" customFormat="1" ht="12.75">
      <c r="A234" s="91" t="s">
        <v>23</v>
      </c>
      <c r="B234" s="91" t="s">
        <v>507</v>
      </c>
      <c r="C234" s="92">
        <v>199157</v>
      </c>
      <c r="D234" s="35">
        <v>3</v>
      </c>
      <c r="E234" s="209">
        <f t="shared" si="6"/>
        <v>146215</v>
      </c>
      <c r="F234" s="210">
        <v>141726</v>
      </c>
      <c r="G234" s="210">
        <v>1668</v>
      </c>
      <c r="H234" s="211">
        <v>2797</v>
      </c>
      <c r="I234" s="211">
        <v>24</v>
      </c>
      <c r="J234" s="210"/>
      <c r="K234" s="211"/>
      <c r="L234" s="212">
        <f t="shared" si="7"/>
        <v>27924</v>
      </c>
      <c r="M234" s="210">
        <v>26907</v>
      </c>
      <c r="N234" s="210">
        <v>408</v>
      </c>
      <c r="O234" s="211">
        <v>561</v>
      </c>
      <c r="P234" s="211">
        <v>48</v>
      </c>
      <c r="Q234" s="210"/>
      <c r="R234" s="211"/>
    </row>
    <row r="235" spans="1:18" s="213" customFormat="1" ht="12.75">
      <c r="A235" s="91" t="s">
        <v>23</v>
      </c>
      <c r="B235" s="91" t="s">
        <v>508</v>
      </c>
      <c r="C235" s="92">
        <v>199139</v>
      </c>
      <c r="D235" s="35">
        <v>3</v>
      </c>
      <c r="E235" s="209">
        <f t="shared" si="6"/>
        <v>415444</v>
      </c>
      <c r="F235" s="210">
        <v>413041</v>
      </c>
      <c r="G235" s="210">
        <v>105</v>
      </c>
      <c r="H235" s="211">
        <v>2298</v>
      </c>
      <c r="I235" s="211">
        <v>0</v>
      </c>
      <c r="J235" s="210"/>
      <c r="K235" s="211"/>
      <c r="L235" s="212">
        <f t="shared" si="7"/>
        <v>51391</v>
      </c>
      <c r="M235" s="210">
        <v>48290</v>
      </c>
      <c r="N235" s="210">
        <v>1131</v>
      </c>
      <c r="O235" s="211">
        <v>1226</v>
      </c>
      <c r="P235" s="211">
        <v>744</v>
      </c>
      <c r="Q235" s="210"/>
      <c r="R235" s="211"/>
    </row>
    <row r="236" spans="1:18" s="213" customFormat="1" ht="12.75">
      <c r="A236" s="91" t="s">
        <v>23</v>
      </c>
      <c r="B236" s="91" t="s">
        <v>509</v>
      </c>
      <c r="C236" s="92">
        <v>199218</v>
      </c>
      <c r="D236" s="93">
        <v>3</v>
      </c>
      <c r="E236" s="209">
        <f t="shared" si="6"/>
        <v>289075</v>
      </c>
      <c r="F236" s="210">
        <v>279805</v>
      </c>
      <c r="G236" s="210">
        <v>3428</v>
      </c>
      <c r="H236" s="211">
        <v>5605</v>
      </c>
      <c r="I236" s="211">
        <v>6</v>
      </c>
      <c r="J236" s="210">
        <v>231</v>
      </c>
      <c r="K236" s="211"/>
      <c r="L236" s="212">
        <f t="shared" si="7"/>
        <v>13775</v>
      </c>
      <c r="M236" s="210">
        <v>13293</v>
      </c>
      <c r="N236" s="210">
        <v>156</v>
      </c>
      <c r="O236" s="211">
        <v>273</v>
      </c>
      <c r="P236" s="211">
        <v>0</v>
      </c>
      <c r="Q236" s="210">
        <v>53</v>
      </c>
      <c r="R236" s="211"/>
    </row>
    <row r="237" spans="1:18" s="213" customFormat="1" ht="12.75">
      <c r="A237" s="91" t="s">
        <v>23</v>
      </c>
      <c r="B237" s="91" t="s">
        <v>510</v>
      </c>
      <c r="C237" s="92">
        <v>200004</v>
      </c>
      <c r="D237" s="35">
        <v>3</v>
      </c>
      <c r="E237" s="209">
        <f t="shared" si="6"/>
        <v>168064</v>
      </c>
      <c r="F237" s="210">
        <v>160917</v>
      </c>
      <c r="G237" s="210">
        <v>5379</v>
      </c>
      <c r="H237" s="211">
        <v>328</v>
      </c>
      <c r="I237" s="211">
        <v>1380</v>
      </c>
      <c r="J237" s="210">
        <v>60</v>
      </c>
      <c r="K237" s="211"/>
      <c r="L237" s="212">
        <f t="shared" si="7"/>
        <v>22244</v>
      </c>
      <c r="M237" s="210">
        <v>10423</v>
      </c>
      <c r="N237" s="210">
        <v>9616</v>
      </c>
      <c r="O237" s="211">
        <v>1869</v>
      </c>
      <c r="P237" s="211">
        <v>267</v>
      </c>
      <c r="Q237" s="210">
        <v>69</v>
      </c>
      <c r="R237" s="211"/>
    </row>
    <row r="238" spans="1:18" s="213" customFormat="1" ht="12.75">
      <c r="A238" s="91" t="s">
        <v>23</v>
      </c>
      <c r="B238" s="91" t="s">
        <v>511</v>
      </c>
      <c r="C238" s="92">
        <v>198543</v>
      </c>
      <c r="D238" s="35">
        <v>4</v>
      </c>
      <c r="E238" s="209">
        <f t="shared" si="6"/>
        <v>135188</v>
      </c>
      <c r="F238" s="210">
        <v>129718</v>
      </c>
      <c r="G238" s="210">
        <v>5470</v>
      </c>
      <c r="H238" s="211">
        <v>0</v>
      </c>
      <c r="I238" s="211">
        <v>0</v>
      </c>
      <c r="J238" s="210"/>
      <c r="K238" s="211"/>
      <c r="L238" s="212">
        <f t="shared" si="7"/>
        <v>7342</v>
      </c>
      <c r="M238" s="210">
        <v>5761</v>
      </c>
      <c r="N238" s="210">
        <v>1581</v>
      </c>
      <c r="O238" s="211">
        <v>0</v>
      </c>
      <c r="P238" s="211">
        <v>0</v>
      </c>
      <c r="Q238" s="210"/>
      <c r="R238" s="211"/>
    </row>
    <row r="239" spans="1:18" s="213" customFormat="1" ht="12.75">
      <c r="A239" s="91" t="s">
        <v>23</v>
      </c>
      <c r="B239" s="91" t="s">
        <v>512</v>
      </c>
      <c r="C239" s="92">
        <v>199281</v>
      </c>
      <c r="D239" s="35">
        <v>5</v>
      </c>
      <c r="E239" s="209">
        <f t="shared" si="6"/>
        <v>112373</v>
      </c>
      <c r="F239" s="210">
        <v>102856</v>
      </c>
      <c r="G239" s="210">
        <v>9517</v>
      </c>
      <c r="H239" s="211"/>
      <c r="I239" s="211">
        <v>0</v>
      </c>
      <c r="J239" s="210"/>
      <c r="K239" s="211"/>
      <c r="L239" s="212">
        <f t="shared" si="7"/>
        <v>6064</v>
      </c>
      <c r="M239" s="210">
        <v>4490</v>
      </c>
      <c r="N239" s="210">
        <v>1310</v>
      </c>
      <c r="O239" s="211">
        <v>219</v>
      </c>
      <c r="P239" s="211">
        <v>45</v>
      </c>
      <c r="Q239" s="210"/>
      <c r="R239" s="211"/>
    </row>
    <row r="240" spans="1:18" s="213" customFormat="1" ht="12.75">
      <c r="A240" s="91" t="s">
        <v>23</v>
      </c>
      <c r="B240" s="91" t="s">
        <v>513</v>
      </c>
      <c r="C240" s="92">
        <v>198507</v>
      </c>
      <c r="D240" s="35">
        <v>6</v>
      </c>
      <c r="E240" s="209">
        <f t="shared" si="6"/>
        <v>66540</v>
      </c>
      <c r="F240" s="210">
        <v>62986</v>
      </c>
      <c r="G240" s="210">
        <v>433</v>
      </c>
      <c r="H240" s="211">
        <v>3121</v>
      </c>
      <c r="I240" s="211">
        <v>0</v>
      </c>
      <c r="J240" s="210"/>
      <c r="K240" s="211"/>
      <c r="L240" s="212">
        <f t="shared" si="7"/>
        <v>276</v>
      </c>
      <c r="M240" s="210">
        <v>276</v>
      </c>
      <c r="N240" s="210">
        <v>0</v>
      </c>
      <c r="O240" s="211">
        <v>0</v>
      </c>
      <c r="P240" s="211">
        <v>0</v>
      </c>
      <c r="Q240" s="210"/>
      <c r="R240" s="211"/>
    </row>
    <row r="241" spans="1:18" s="213" customFormat="1" ht="12.75">
      <c r="A241" s="91" t="s">
        <v>23</v>
      </c>
      <c r="B241" s="91" t="s">
        <v>514</v>
      </c>
      <c r="C241" s="92">
        <v>199111</v>
      </c>
      <c r="D241" s="35">
        <v>6</v>
      </c>
      <c r="E241" s="209">
        <f t="shared" si="6"/>
        <v>89016</v>
      </c>
      <c r="F241" s="210">
        <v>87532</v>
      </c>
      <c r="G241" s="210">
        <v>734</v>
      </c>
      <c r="H241" s="211">
        <v>72</v>
      </c>
      <c r="I241" s="211">
        <v>678</v>
      </c>
      <c r="J241" s="210"/>
      <c r="K241" s="211"/>
      <c r="L241" s="212">
        <f t="shared" si="7"/>
        <v>320</v>
      </c>
      <c r="M241" s="210">
        <v>314</v>
      </c>
      <c r="N241" s="210">
        <v>0</v>
      </c>
      <c r="O241" s="211"/>
      <c r="P241" s="211">
        <v>6</v>
      </c>
      <c r="Q241" s="210"/>
      <c r="R241" s="211"/>
    </row>
    <row r="242" spans="1:18" s="213" customFormat="1" ht="12.75">
      <c r="A242" s="94" t="s">
        <v>23</v>
      </c>
      <c r="B242" s="94" t="s">
        <v>515</v>
      </c>
      <c r="C242" s="95">
        <v>199999</v>
      </c>
      <c r="D242" s="38">
        <v>6</v>
      </c>
      <c r="E242" s="209">
        <f t="shared" si="6"/>
        <v>107210</v>
      </c>
      <c r="F242" s="210">
        <v>102615</v>
      </c>
      <c r="G242" s="210">
        <v>4595</v>
      </c>
      <c r="H242" s="211">
        <v>0</v>
      </c>
      <c r="I242" s="211">
        <v>0</v>
      </c>
      <c r="J242" s="210"/>
      <c r="K242" s="211"/>
      <c r="L242" s="212">
        <f t="shared" si="7"/>
        <v>3000</v>
      </c>
      <c r="M242" s="210">
        <v>3000</v>
      </c>
      <c r="N242" s="210">
        <v>0</v>
      </c>
      <c r="O242" s="211"/>
      <c r="P242" s="211">
        <v>0</v>
      </c>
      <c r="Q242" s="210"/>
      <c r="R242" s="211"/>
    </row>
    <row r="243" spans="1:18" s="239" customFormat="1" ht="12.75">
      <c r="A243" s="96" t="s">
        <v>23</v>
      </c>
      <c r="B243" s="96" t="s">
        <v>78</v>
      </c>
      <c r="C243" s="97">
        <v>197887</v>
      </c>
      <c r="D243" s="41">
        <v>8</v>
      </c>
      <c r="E243" s="209">
        <f t="shared" si="6"/>
        <v>174909.07</v>
      </c>
      <c r="F243" s="68">
        <v>149538.535</v>
      </c>
      <c r="G243" s="68">
        <v>16966.535000000003</v>
      </c>
      <c r="H243" s="211">
        <v>4729</v>
      </c>
      <c r="I243" s="211">
        <v>984</v>
      </c>
      <c r="J243" s="210">
        <v>2691</v>
      </c>
      <c r="K243" s="237"/>
      <c r="L243" s="238">
        <f t="shared" si="7"/>
        <v>0</v>
      </c>
      <c r="M243" s="68"/>
      <c r="N243" s="68"/>
      <c r="O243" s="211"/>
      <c r="P243" s="211">
        <v>0</v>
      </c>
      <c r="Q243" s="210"/>
      <c r="R243" s="237"/>
    </row>
    <row r="244" spans="1:18" s="239" customFormat="1" ht="12.75">
      <c r="A244" s="96" t="s">
        <v>23</v>
      </c>
      <c r="B244" s="96" t="s">
        <v>73</v>
      </c>
      <c r="C244" s="97">
        <v>198154</v>
      </c>
      <c r="D244" s="41">
        <v>8</v>
      </c>
      <c r="E244" s="209">
        <f t="shared" si="6"/>
        <v>215594.06</v>
      </c>
      <c r="F244" s="68">
        <v>192396.03</v>
      </c>
      <c r="G244" s="68">
        <v>16746.03</v>
      </c>
      <c r="H244" s="211">
        <v>5597</v>
      </c>
      <c r="I244" s="211">
        <v>0</v>
      </c>
      <c r="J244" s="210">
        <v>855</v>
      </c>
      <c r="K244" s="237"/>
      <c r="L244" s="238">
        <f t="shared" si="7"/>
        <v>0</v>
      </c>
      <c r="M244" s="68"/>
      <c r="N244" s="68"/>
      <c r="O244" s="211"/>
      <c r="P244" s="211">
        <v>0</v>
      </c>
      <c r="Q244" s="210"/>
      <c r="R244" s="237"/>
    </row>
    <row r="245" spans="1:18" s="239" customFormat="1" ht="12.75">
      <c r="A245" s="96" t="s">
        <v>23</v>
      </c>
      <c r="B245" s="96" t="s">
        <v>70</v>
      </c>
      <c r="C245" s="97">
        <v>198251</v>
      </c>
      <c r="D245" s="41">
        <v>8</v>
      </c>
      <c r="E245" s="209">
        <f t="shared" si="6"/>
        <v>169813.05</v>
      </c>
      <c r="F245" s="68">
        <v>96795.525</v>
      </c>
      <c r="G245" s="68">
        <v>57428.524999999994</v>
      </c>
      <c r="H245" s="211">
        <v>6662</v>
      </c>
      <c r="I245" s="211">
        <v>1384</v>
      </c>
      <c r="J245" s="210">
        <v>7543</v>
      </c>
      <c r="K245" s="237"/>
      <c r="L245" s="238">
        <f t="shared" si="7"/>
        <v>0</v>
      </c>
      <c r="M245" s="68"/>
      <c r="N245" s="68"/>
      <c r="O245" s="211"/>
      <c r="P245" s="211">
        <v>0</v>
      </c>
      <c r="Q245" s="210"/>
      <c r="R245" s="237"/>
    </row>
    <row r="246" spans="1:18" s="239" customFormat="1" ht="12.75">
      <c r="A246" s="96" t="s">
        <v>23</v>
      </c>
      <c r="B246" s="96" t="s">
        <v>69</v>
      </c>
      <c r="C246" s="97">
        <v>198260</v>
      </c>
      <c r="D246" s="41">
        <v>8</v>
      </c>
      <c r="E246" s="209">
        <f t="shared" si="6"/>
        <v>391854.49</v>
      </c>
      <c r="F246" s="68">
        <v>326115.245</v>
      </c>
      <c r="G246" s="68">
        <v>31417.244999999995</v>
      </c>
      <c r="H246" s="211">
        <v>27971</v>
      </c>
      <c r="I246" s="211">
        <v>111</v>
      </c>
      <c r="J246" s="210">
        <v>6240</v>
      </c>
      <c r="K246" s="237"/>
      <c r="L246" s="238">
        <f t="shared" si="7"/>
        <v>0</v>
      </c>
      <c r="M246" s="68"/>
      <c r="N246" s="68"/>
      <c r="O246" s="211"/>
      <c r="P246" s="211">
        <v>0</v>
      </c>
      <c r="Q246" s="210"/>
      <c r="R246" s="237"/>
    </row>
    <row r="247" spans="1:18" s="239" customFormat="1" ht="12.75">
      <c r="A247" s="96" t="s">
        <v>23</v>
      </c>
      <c r="B247" s="96" t="s">
        <v>61</v>
      </c>
      <c r="C247" s="97">
        <v>198534</v>
      </c>
      <c r="D247" s="41">
        <v>8</v>
      </c>
      <c r="E247" s="209">
        <f t="shared" si="6"/>
        <v>326117.82</v>
      </c>
      <c r="F247" s="68">
        <v>227734.91</v>
      </c>
      <c r="G247" s="68">
        <v>60328.91</v>
      </c>
      <c r="H247" s="211">
        <v>35260</v>
      </c>
      <c r="I247" s="211">
        <v>1262</v>
      </c>
      <c r="J247" s="210">
        <v>1532</v>
      </c>
      <c r="K247" s="237"/>
      <c r="L247" s="238">
        <f t="shared" si="7"/>
        <v>0</v>
      </c>
      <c r="M247" s="68"/>
      <c r="N247" s="68"/>
      <c r="O247" s="211"/>
      <c r="P247" s="211">
        <v>0</v>
      </c>
      <c r="Q247" s="210"/>
      <c r="R247" s="237"/>
    </row>
    <row r="248" spans="1:18" s="239" customFormat="1" ht="12.75">
      <c r="A248" s="96" t="s">
        <v>23</v>
      </c>
      <c r="B248" s="96" t="s">
        <v>60</v>
      </c>
      <c r="C248" s="97">
        <v>198552</v>
      </c>
      <c r="D248" s="41">
        <v>8</v>
      </c>
      <c r="E248" s="209">
        <f t="shared" si="6"/>
        <v>210524.5</v>
      </c>
      <c r="F248" s="68">
        <v>146710.25</v>
      </c>
      <c r="G248" s="68">
        <v>35361.25</v>
      </c>
      <c r="H248" s="211">
        <v>25736</v>
      </c>
      <c r="I248" s="211">
        <v>1384</v>
      </c>
      <c r="J248" s="210">
        <v>1333</v>
      </c>
      <c r="K248" s="237"/>
      <c r="L248" s="238">
        <f t="shared" si="7"/>
        <v>0</v>
      </c>
      <c r="M248" s="68"/>
      <c r="N248" s="68"/>
      <c r="O248" s="211"/>
      <c r="P248" s="211">
        <v>0</v>
      </c>
      <c r="Q248" s="210"/>
      <c r="R248" s="237"/>
    </row>
    <row r="249" spans="1:18" s="239" customFormat="1" ht="12.75">
      <c r="A249" s="96" t="s">
        <v>23</v>
      </c>
      <c r="B249" s="96" t="s">
        <v>58</v>
      </c>
      <c r="C249" s="97">
        <v>198622</v>
      </c>
      <c r="D249" s="41">
        <v>8</v>
      </c>
      <c r="E249" s="209">
        <f t="shared" si="6"/>
        <v>251422.62</v>
      </c>
      <c r="F249" s="68">
        <v>217966.31</v>
      </c>
      <c r="G249" s="68">
        <v>17583.31</v>
      </c>
      <c r="H249" s="211">
        <v>14081</v>
      </c>
      <c r="I249" s="211">
        <v>51</v>
      </c>
      <c r="J249" s="210">
        <v>1741</v>
      </c>
      <c r="K249" s="237"/>
      <c r="L249" s="238">
        <f t="shared" si="7"/>
        <v>0</v>
      </c>
      <c r="M249" s="68"/>
      <c r="N249" s="68"/>
      <c r="O249" s="211"/>
      <c r="P249" s="211">
        <v>0</v>
      </c>
      <c r="Q249" s="210"/>
      <c r="R249" s="237"/>
    </row>
    <row r="250" spans="1:18" s="239" customFormat="1" ht="12.75">
      <c r="A250" s="96" t="s">
        <v>23</v>
      </c>
      <c r="B250" s="96" t="s">
        <v>43</v>
      </c>
      <c r="C250" s="97">
        <v>199333</v>
      </c>
      <c r="D250" s="41">
        <v>8</v>
      </c>
      <c r="E250" s="209">
        <f t="shared" si="6"/>
        <v>169703.04</v>
      </c>
      <c r="F250" s="68">
        <v>125944.52</v>
      </c>
      <c r="G250" s="68">
        <v>26165.52</v>
      </c>
      <c r="H250" s="211">
        <v>17471</v>
      </c>
      <c r="I250" s="211">
        <v>122</v>
      </c>
      <c r="J250" s="210"/>
      <c r="K250" s="237"/>
      <c r="L250" s="238">
        <f t="shared" si="7"/>
        <v>0</v>
      </c>
      <c r="M250" s="68"/>
      <c r="N250" s="68"/>
      <c r="O250" s="211"/>
      <c r="P250" s="211">
        <v>0</v>
      </c>
      <c r="Q250" s="210"/>
      <c r="R250" s="237"/>
    </row>
    <row r="251" spans="1:18" s="239" customFormat="1" ht="12.75">
      <c r="A251" s="96" t="s">
        <v>23</v>
      </c>
      <c r="B251" s="96" t="s">
        <v>27</v>
      </c>
      <c r="C251" s="97">
        <v>199856</v>
      </c>
      <c r="D251" s="41">
        <v>8</v>
      </c>
      <c r="E251" s="209">
        <f t="shared" si="6"/>
        <v>334704.2</v>
      </c>
      <c r="F251" s="68">
        <v>255060.1</v>
      </c>
      <c r="G251" s="68">
        <v>64704.1</v>
      </c>
      <c r="H251" s="211">
        <v>12340</v>
      </c>
      <c r="I251" s="211">
        <v>0</v>
      </c>
      <c r="J251" s="210">
        <v>2600</v>
      </c>
      <c r="K251" s="237"/>
      <c r="L251" s="238">
        <f t="shared" si="7"/>
        <v>0</v>
      </c>
      <c r="M251" s="68"/>
      <c r="N251" s="68"/>
      <c r="O251" s="211"/>
      <c r="P251" s="211">
        <v>0</v>
      </c>
      <c r="Q251" s="210"/>
      <c r="R251" s="237"/>
    </row>
    <row r="252" spans="1:18" s="239" customFormat="1" ht="12.75">
      <c r="A252" s="96" t="s">
        <v>23</v>
      </c>
      <c r="B252" s="96" t="s">
        <v>79</v>
      </c>
      <c r="C252" s="97">
        <v>199786</v>
      </c>
      <c r="D252" s="41">
        <v>9</v>
      </c>
      <c r="E252" s="209">
        <f t="shared" si="6"/>
        <v>116609.71000000002</v>
      </c>
      <c r="F252" s="68">
        <v>95403.85500000001</v>
      </c>
      <c r="G252" s="68">
        <v>16663.855000000003</v>
      </c>
      <c r="H252" s="211">
        <v>4505</v>
      </c>
      <c r="I252" s="211">
        <v>0</v>
      </c>
      <c r="J252" s="210">
        <v>37</v>
      </c>
      <c r="K252" s="237"/>
      <c r="L252" s="238">
        <f t="shared" si="7"/>
        <v>0</v>
      </c>
      <c r="M252" s="68"/>
      <c r="N252" s="68"/>
      <c r="O252" s="211"/>
      <c r="P252" s="211">
        <v>0</v>
      </c>
      <c r="Q252" s="210"/>
      <c r="R252" s="237"/>
    </row>
    <row r="253" spans="1:18" s="239" customFormat="1" ht="12.75">
      <c r="A253" s="96" t="s">
        <v>23</v>
      </c>
      <c r="B253" s="96" t="s">
        <v>75</v>
      </c>
      <c r="C253" s="97">
        <v>198039</v>
      </c>
      <c r="D253" s="41">
        <v>9</v>
      </c>
      <c r="E253" s="209">
        <f t="shared" si="6"/>
        <v>80480.72</v>
      </c>
      <c r="F253" s="68">
        <v>68221.36</v>
      </c>
      <c r="G253" s="68">
        <v>10835.36</v>
      </c>
      <c r="H253" s="211">
        <v>1295</v>
      </c>
      <c r="I253" s="211">
        <v>129</v>
      </c>
      <c r="J253" s="210"/>
      <c r="K253" s="237"/>
      <c r="L253" s="238">
        <f t="shared" si="7"/>
        <v>0</v>
      </c>
      <c r="M253" s="68"/>
      <c r="N253" s="68"/>
      <c r="O253" s="211"/>
      <c r="P253" s="211">
        <v>0</v>
      </c>
      <c r="Q253" s="210"/>
      <c r="R253" s="237"/>
    </row>
    <row r="254" spans="1:18" s="239" customFormat="1" ht="12.75">
      <c r="A254" s="96" t="s">
        <v>23</v>
      </c>
      <c r="B254" s="96" t="s">
        <v>516</v>
      </c>
      <c r="C254" s="97">
        <v>198118</v>
      </c>
      <c r="D254" s="41">
        <v>9</v>
      </c>
      <c r="E254" s="209">
        <f t="shared" si="6"/>
        <v>114376.15</v>
      </c>
      <c r="F254" s="68">
        <v>83940.075</v>
      </c>
      <c r="G254" s="68">
        <v>21711.074999999997</v>
      </c>
      <c r="H254" s="211">
        <v>4374</v>
      </c>
      <c r="I254" s="211">
        <v>627</v>
      </c>
      <c r="J254" s="210">
        <v>3724</v>
      </c>
      <c r="K254" s="237"/>
      <c r="L254" s="238">
        <f t="shared" si="7"/>
        <v>0</v>
      </c>
      <c r="M254" s="68"/>
      <c r="N254" s="68"/>
      <c r="O254" s="211"/>
      <c r="P254" s="211">
        <v>0</v>
      </c>
      <c r="Q254" s="210"/>
      <c r="R254" s="237"/>
    </row>
    <row r="255" spans="1:18" s="239" customFormat="1" ht="12.75">
      <c r="A255" s="96" t="s">
        <v>23</v>
      </c>
      <c r="B255" s="96" t="s">
        <v>71</v>
      </c>
      <c r="C255" s="97">
        <v>198233</v>
      </c>
      <c r="D255" s="41">
        <v>9</v>
      </c>
      <c r="E255" s="209">
        <f t="shared" si="6"/>
        <v>152827.25</v>
      </c>
      <c r="F255" s="68">
        <v>120410.625</v>
      </c>
      <c r="G255" s="68">
        <v>15959.625</v>
      </c>
      <c r="H255" s="211">
        <v>8961</v>
      </c>
      <c r="I255" s="211">
        <v>1962</v>
      </c>
      <c r="J255" s="210">
        <v>5534</v>
      </c>
      <c r="K255" s="237"/>
      <c r="L255" s="238">
        <f t="shared" si="7"/>
        <v>0</v>
      </c>
      <c r="M255" s="68"/>
      <c r="N255" s="68"/>
      <c r="O255" s="211"/>
      <c r="P255" s="211">
        <v>0</v>
      </c>
      <c r="Q255" s="210"/>
      <c r="R255" s="237"/>
    </row>
    <row r="256" spans="1:18" s="239" customFormat="1" ht="12.75">
      <c r="A256" s="96" t="s">
        <v>23</v>
      </c>
      <c r="B256" s="96" t="s">
        <v>68</v>
      </c>
      <c r="C256" s="97">
        <v>198321</v>
      </c>
      <c r="D256" s="41">
        <v>9</v>
      </c>
      <c r="E256" s="209">
        <f t="shared" si="6"/>
        <v>86484.48999999999</v>
      </c>
      <c r="F256" s="68">
        <v>69525.245</v>
      </c>
      <c r="G256" s="68">
        <v>14535.245000000003</v>
      </c>
      <c r="H256" s="211">
        <v>2424</v>
      </c>
      <c r="I256" s="211">
        <v>0</v>
      </c>
      <c r="J256" s="210">
        <v>0</v>
      </c>
      <c r="K256" s="237"/>
      <c r="L256" s="238">
        <f t="shared" si="7"/>
        <v>0</v>
      </c>
      <c r="M256" s="68"/>
      <c r="N256" s="68"/>
      <c r="O256" s="211"/>
      <c r="P256" s="211">
        <v>0</v>
      </c>
      <c r="Q256" s="210"/>
      <c r="R256" s="237"/>
    </row>
    <row r="257" spans="1:18" s="239" customFormat="1" ht="12.75">
      <c r="A257" s="96" t="s">
        <v>23</v>
      </c>
      <c r="B257" s="96" t="s">
        <v>67</v>
      </c>
      <c r="C257" s="97">
        <v>198330</v>
      </c>
      <c r="D257" s="41">
        <v>9</v>
      </c>
      <c r="E257" s="209">
        <f t="shared" si="6"/>
        <v>139980.87</v>
      </c>
      <c r="F257" s="68">
        <v>111450.435</v>
      </c>
      <c r="G257" s="68">
        <v>19837.434999999998</v>
      </c>
      <c r="H257" s="211">
        <v>8483</v>
      </c>
      <c r="I257" s="211">
        <v>19</v>
      </c>
      <c r="J257" s="210">
        <v>191</v>
      </c>
      <c r="K257" s="237"/>
      <c r="L257" s="238">
        <f t="shared" si="7"/>
        <v>0</v>
      </c>
      <c r="M257" s="68"/>
      <c r="N257" s="68"/>
      <c r="O257" s="211"/>
      <c r="P257" s="211">
        <v>0</v>
      </c>
      <c r="Q257" s="210"/>
      <c r="R257" s="237"/>
    </row>
    <row r="258" spans="1:18" s="239" customFormat="1" ht="12.75">
      <c r="A258" s="96" t="s">
        <v>23</v>
      </c>
      <c r="B258" s="96" t="s">
        <v>66</v>
      </c>
      <c r="C258" s="97">
        <v>197814</v>
      </c>
      <c r="D258" s="41">
        <v>9</v>
      </c>
      <c r="E258" s="209">
        <f t="shared" si="6"/>
        <v>71593.47</v>
      </c>
      <c r="F258" s="68">
        <v>38046.735</v>
      </c>
      <c r="G258" s="68">
        <v>19255.735</v>
      </c>
      <c r="H258" s="211">
        <v>11838</v>
      </c>
      <c r="I258" s="211">
        <v>2009</v>
      </c>
      <c r="J258" s="210">
        <v>444</v>
      </c>
      <c r="K258" s="237"/>
      <c r="L258" s="238">
        <f t="shared" si="7"/>
        <v>0</v>
      </c>
      <c r="M258" s="68"/>
      <c r="N258" s="68"/>
      <c r="O258" s="211"/>
      <c r="P258" s="211">
        <v>0</v>
      </c>
      <c r="Q258" s="210"/>
      <c r="R258" s="237"/>
    </row>
    <row r="259" spans="1:18" s="239" customFormat="1" ht="12.75">
      <c r="A259" s="96" t="s">
        <v>23</v>
      </c>
      <c r="B259" s="96" t="s">
        <v>65</v>
      </c>
      <c r="C259" s="97">
        <v>198367</v>
      </c>
      <c r="D259" s="41">
        <v>9</v>
      </c>
      <c r="E259" s="209">
        <f t="shared" si="6"/>
        <v>89058.4</v>
      </c>
      <c r="F259" s="68">
        <v>61930.2</v>
      </c>
      <c r="G259" s="68">
        <v>16938.2</v>
      </c>
      <c r="H259" s="211">
        <v>7666</v>
      </c>
      <c r="I259" s="211">
        <v>0</v>
      </c>
      <c r="J259" s="210">
        <v>2524</v>
      </c>
      <c r="K259" s="237"/>
      <c r="L259" s="238">
        <f t="shared" si="7"/>
        <v>0</v>
      </c>
      <c r="M259" s="68"/>
      <c r="N259" s="68"/>
      <c r="O259" s="211"/>
      <c r="P259" s="211">
        <v>0</v>
      </c>
      <c r="Q259" s="210"/>
      <c r="R259" s="237"/>
    </row>
    <row r="260" spans="1:18" s="239" customFormat="1" ht="12.75">
      <c r="A260" s="96" t="s">
        <v>23</v>
      </c>
      <c r="B260" s="96" t="s">
        <v>64</v>
      </c>
      <c r="C260" s="97">
        <v>198376</v>
      </c>
      <c r="D260" s="41">
        <v>9</v>
      </c>
      <c r="E260" s="209">
        <f aca="true" t="shared" si="8" ref="E260:E323">SUM(F260:K260)</f>
        <v>105101.89000000001</v>
      </c>
      <c r="F260" s="68">
        <v>86940.945</v>
      </c>
      <c r="G260" s="68">
        <v>11545.945</v>
      </c>
      <c r="H260" s="211">
        <v>5809</v>
      </c>
      <c r="I260" s="211">
        <v>0</v>
      </c>
      <c r="J260" s="210">
        <v>806</v>
      </c>
      <c r="K260" s="237"/>
      <c r="L260" s="238">
        <f aca="true" t="shared" si="9" ref="L260:L323">SUM(M260:R260)</f>
        <v>0</v>
      </c>
      <c r="M260" s="68"/>
      <c r="N260" s="68"/>
      <c r="O260" s="211"/>
      <c r="P260" s="211">
        <v>0</v>
      </c>
      <c r="Q260" s="210"/>
      <c r="R260" s="237"/>
    </row>
    <row r="261" spans="1:18" s="239" customFormat="1" ht="12.75">
      <c r="A261" s="96" t="s">
        <v>23</v>
      </c>
      <c r="B261" s="96" t="s">
        <v>63</v>
      </c>
      <c r="C261" s="97">
        <v>198455</v>
      </c>
      <c r="D261" s="41">
        <v>9</v>
      </c>
      <c r="E261" s="209">
        <f t="shared" si="8"/>
        <v>149701.45</v>
      </c>
      <c r="F261" s="68">
        <v>126744.725</v>
      </c>
      <c r="G261" s="68">
        <v>15803.725000000006</v>
      </c>
      <c r="H261" s="211">
        <v>5302</v>
      </c>
      <c r="I261" s="211">
        <v>0</v>
      </c>
      <c r="J261" s="210">
        <v>1851</v>
      </c>
      <c r="K261" s="237"/>
      <c r="L261" s="238">
        <f t="shared" si="9"/>
        <v>0</v>
      </c>
      <c r="M261" s="68"/>
      <c r="N261" s="68"/>
      <c r="O261" s="211"/>
      <c r="P261" s="211">
        <v>0</v>
      </c>
      <c r="Q261" s="210"/>
      <c r="R261" s="237"/>
    </row>
    <row r="262" spans="1:18" s="239" customFormat="1" ht="12.75">
      <c r="A262" s="96" t="s">
        <v>23</v>
      </c>
      <c r="B262" s="96" t="s">
        <v>62</v>
      </c>
      <c r="C262" s="97">
        <v>198491</v>
      </c>
      <c r="D262" s="41">
        <v>9</v>
      </c>
      <c r="E262" s="209">
        <f t="shared" si="8"/>
        <v>81682.75</v>
      </c>
      <c r="F262" s="68">
        <v>57890.375</v>
      </c>
      <c r="G262" s="68">
        <v>20497.375</v>
      </c>
      <c r="H262" s="211">
        <v>2669</v>
      </c>
      <c r="I262" s="211">
        <v>255</v>
      </c>
      <c r="J262" s="210">
        <v>371</v>
      </c>
      <c r="K262" s="237"/>
      <c r="L262" s="238">
        <f t="shared" si="9"/>
        <v>0</v>
      </c>
      <c r="M262" s="68"/>
      <c r="N262" s="68"/>
      <c r="O262" s="211"/>
      <c r="P262" s="211">
        <v>0</v>
      </c>
      <c r="Q262" s="210"/>
      <c r="R262" s="237"/>
    </row>
    <row r="263" spans="1:18" s="239" customFormat="1" ht="12.75">
      <c r="A263" s="96" t="s">
        <v>23</v>
      </c>
      <c r="B263" s="96" t="s">
        <v>59</v>
      </c>
      <c r="C263" s="97">
        <v>198570</v>
      </c>
      <c r="D263" s="41">
        <v>9</v>
      </c>
      <c r="E263" s="209">
        <f t="shared" si="8"/>
        <v>149368.84</v>
      </c>
      <c r="F263" s="68">
        <v>112646.42</v>
      </c>
      <c r="G263" s="68">
        <v>28777.42</v>
      </c>
      <c r="H263" s="211">
        <v>6341</v>
      </c>
      <c r="I263" s="211">
        <v>324</v>
      </c>
      <c r="J263" s="210">
        <v>1280</v>
      </c>
      <c r="K263" s="237"/>
      <c r="L263" s="238">
        <f t="shared" si="9"/>
        <v>0</v>
      </c>
      <c r="M263" s="68"/>
      <c r="N263" s="68"/>
      <c r="O263" s="211"/>
      <c r="P263" s="211">
        <v>0</v>
      </c>
      <c r="Q263" s="210"/>
      <c r="R263" s="237"/>
    </row>
    <row r="264" spans="1:18" s="239" customFormat="1" ht="12.75">
      <c r="A264" s="96" t="s">
        <v>23</v>
      </c>
      <c r="B264" s="96" t="s">
        <v>53</v>
      </c>
      <c r="C264" s="97">
        <v>198774</v>
      </c>
      <c r="D264" s="41">
        <v>9</v>
      </c>
      <c r="E264" s="209">
        <f t="shared" si="8"/>
        <v>119158.54999999999</v>
      </c>
      <c r="F264" s="68">
        <v>75009.275</v>
      </c>
      <c r="G264" s="68">
        <v>39844.275</v>
      </c>
      <c r="H264" s="211">
        <v>3158</v>
      </c>
      <c r="I264" s="211">
        <v>458</v>
      </c>
      <c r="J264" s="210">
        <v>689</v>
      </c>
      <c r="K264" s="237"/>
      <c r="L264" s="238">
        <f t="shared" si="9"/>
        <v>0</v>
      </c>
      <c r="M264" s="68"/>
      <c r="N264" s="68"/>
      <c r="O264" s="211"/>
      <c r="P264" s="211">
        <v>0</v>
      </c>
      <c r="Q264" s="210"/>
      <c r="R264" s="237"/>
    </row>
    <row r="265" spans="1:18" s="239" customFormat="1" ht="12.75">
      <c r="A265" s="96" t="s">
        <v>23</v>
      </c>
      <c r="B265" s="96" t="s">
        <v>52</v>
      </c>
      <c r="C265" s="97">
        <v>198817</v>
      </c>
      <c r="D265" s="41">
        <v>9</v>
      </c>
      <c r="E265" s="209">
        <f t="shared" si="8"/>
        <v>98580</v>
      </c>
      <c r="F265" s="68">
        <v>71286</v>
      </c>
      <c r="G265" s="68">
        <v>21726</v>
      </c>
      <c r="H265" s="211">
        <v>4358</v>
      </c>
      <c r="I265" s="211">
        <v>168</v>
      </c>
      <c r="J265" s="210">
        <v>1042</v>
      </c>
      <c r="K265" s="237"/>
      <c r="L265" s="238">
        <f t="shared" si="9"/>
        <v>0</v>
      </c>
      <c r="M265" s="68"/>
      <c r="N265" s="68"/>
      <c r="O265" s="211"/>
      <c r="P265" s="211">
        <v>0</v>
      </c>
      <c r="Q265" s="210"/>
      <c r="R265" s="237"/>
    </row>
    <row r="266" spans="1:18" s="239" customFormat="1" ht="12.75">
      <c r="A266" s="96" t="s">
        <v>23</v>
      </c>
      <c r="B266" s="96" t="s">
        <v>48</v>
      </c>
      <c r="C266" s="97">
        <v>198987</v>
      </c>
      <c r="D266" s="41">
        <v>9</v>
      </c>
      <c r="E266" s="209">
        <f t="shared" si="8"/>
        <v>74084.34</v>
      </c>
      <c r="F266" s="68">
        <v>59912.17</v>
      </c>
      <c r="G266" s="68">
        <v>12304.17</v>
      </c>
      <c r="H266" s="211">
        <v>1834</v>
      </c>
      <c r="I266" s="211">
        <v>0</v>
      </c>
      <c r="J266" s="210">
        <v>34</v>
      </c>
      <c r="K266" s="237"/>
      <c r="L266" s="238">
        <f t="shared" si="9"/>
        <v>0</v>
      </c>
      <c r="M266" s="68"/>
      <c r="N266" s="68"/>
      <c r="O266" s="211"/>
      <c r="P266" s="211">
        <v>0</v>
      </c>
      <c r="Q266" s="210"/>
      <c r="R266" s="237"/>
    </row>
    <row r="267" spans="1:18" s="239" customFormat="1" ht="12.75">
      <c r="A267" s="96" t="s">
        <v>23</v>
      </c>
      <c r="B267" s="96" t="s">
        <v>46</v>
      </c>
      <c r="C267" s="97">
        <v>199087</v>
      </c>
      <c r="D267" s="41">
        <v>9</v>
      </c>
      <c r="E267" s="209">
        <f t="shared" si="8"/>
        <v>74451.88</v>
      </c>
      <c r="F267" s="68">
        <v>59543.94</v>
      </c>
      <c r="G267" s="68">
        <v>11235.94</v>
      </c>
      <c r="H267" s="211">
        <v>3635</v>
      </c>
      <c r="I267" s="211">
        <v>0</v>
      </c>
      <c r="J267" s="210">
        <v>37</v>
      </c>
      <c r="K267" s="237"/>
      <c r="L267" s="238">
        <f t="shared" si="9"/>
        <v>0</v>
      </c>
      <c r="M267" s="68"/>
      <c r="N267" s="68"/>
      <c r="O267" s="211"/>
      <c r="P267" s="211">
        <v>0</v>
      </c>
      <c r="Q267" s="210"/>
      <c r="R267" s="237"/>
    </row>
    <row r="268" spans="1:18" s="239" customFormat="1" ht="12.75">
      <c r="A268" s="96" t="s">
        <v>23</v>
      </c>
      <c r="B268" s="96" t="s">
        <v>42</v>
      </c>
      <c r="C268" s="97">
        <v>199421</v>
      </c>
      <c r="D268" s="41">
        <v>9</v>
      </c>
      <c r="E268" s="209">
        <f t="shared" si="8"/>
        <v>83155.36</v>
      </c>
      <c r="F268" s="68">
        <v>60868.68</v>
      </c>
      <c r="G268" s="68">
        <v>13324.68</v>
      </c>
      <c r="H268" s="211">
        <v>8962</v>
      </c>
      <c r="I268" s="211">
        <v>0</v>
      </c>
      <c r="J268" s="210">
        <v>0</v>
      </c>
      <c r="K268" s="237"/>
      <c r="L268" s="238">
        <f t="shared" si="9"/>
        <v>0</v>
      </c>
      <c r="M268" s="68"/>
      <c r="N268" s="68"/>
      <c r="O268" s="211"/>
      <c r="P268" s="211">
        <v>0</v>
      </c>
      <c r="Q268" s="210"/>
      <c r="R268" s="237"/>
    </row>
    <row r="269" spans="1:18" s="239" customFormat="1" ht="12.75">
      <c r="A269" s="96" t="s">
        <v>23</v>
      </c>
      <c r="B269" s="96" t="s">
        <v>41</v>
      </c>
      <c r="C269" s="97">
        <v>199449</v>
      </c>
      <c r="D269" s="41">
        <v>9</v>
      </c>
      <c r="E269" s="209">
        <f t="shared" si="8"/>
        <v>64399.14</v>
      </c>
      <c r="F269" s="68">
        <v>51197.57</v>
      </c>
      <c r="G269" s="68">
        <v>12158.57</v>
      </c>
      <c r="H269" s="211">
        <v>855</v>
      </c>
      <c r="I269" s="211">
        <v>0</v>
      </c>
      <c r="J269" s="210">
        <v>188</v>
      </c>
      <c r="K269" s="237"/>
      <c r="L269" s="238">
        <f t="shared" si="9"/>
        <v>0</v>
      </c>
      <c r="M269" s="68"/>
      <c r="N269" s="68"/>
      <c r="O269" s="211"/>
      <c r="P269" s="211">
        <v>0</v>
      </c>
      <c r="Q269" s="210"/>
      <c r="R269" s="237"/>
    </row>
    <row r="270" spans="1:18" s="239" customFormat="1" ht="12.75">
      <c r="A270" s="96" t="s">
        <v>23</v>
      </c>
      <c r="B270" s="96" t="s">
        <v>39</v>
      </c>
      <c r="C270" s="97">
        <v>199476</v>
      </c>
      <c r="D270" s="41">
        <v>9</v>
      </c>
      <c r="E270" s="209">
        <f t="shared" si="8"/>
        <v>108726.09</v>
      </c>
      <c r="F270" s="68">
        <v>72236.045</v>
      </c>
      <c r="G270" s="68">
        <v>36413.045</v>
      </c>
      <c r="H270" s="211">
        <v>77</v>
      </c>
      <c r="I270" s="211">
        <v>0</v>
      </c>
      <c r="J270" s="210">
        <v>0</v>
      </c>
      <c r="K270" s="237"/>
      <c r="L270" s="238">
        <f t="shared" si="9"/>
        <v>0</v>
      </c>
      <c r="M270" s="68"/>
      <c r="N270" s="68"/>
      <c r="O270" s="211"/>
      <c r="P270" s="211">
        <v>0</v>
      </c>
      <c r="Q270" s="210"/>
      <c r="R270" s="237"/>
    </row>
    <row r="271" spans="1:18" s="239" customFormat="1" ht="12.75">
      <c r="A271" s="96" t="s">
        <v>23</v>
      </c>
      <c r="B271" s="96" t="s">
        <v>38</v>
      </c>
      <c r="C271" s="97">
        <v>199485</v>
      </c>
      <c r="D271" s="41">
        <v>9</v>
      </c>
      <c r="E271" s="209">
        <f t="shared" si="8"/>
        <v>67268.25</v>
      </c>
      <c r="F271" s="68">
        <v>52687.125</v>
      </c>
      <c r="G271" s="68">
        <v>10614.125</v>
      </c>
      <c r="H271" s="211">
        <v>2445</v>
      </c>
      <c r="I271" s="211">
        <v>0</v>
      </c>
      <c r="J271" s="210">
        <v>1522</v>
      </c>
      <c r="K271" s="237"/>
      <c r="L271" s="238">
        <f t="shared" si="9"/>
        <v>0</v>
      </c>
      <c r="M271" s="68"/>
      <c r="N271" s="68"/>
      <c r="O271" s="211"/>
      <c r="P271" s="211">
        <v>0</v>
      </c>
      <c r="Q271" s="210"/>
      <c r="R271" s="237"/>
    </row>
    <row r="272" spans="1:18" s="239" customFormat="1" ht="12.75">
      <c r="A272" s="96" t="s">
        <v>23</v>
      </c>
      <c r="B272" s="96" t="s">
        <v>37</v>
      </c>
      <c r="C272" s="97">
        <v>199494</v>
      </c>
      <c r="D272" s="41">
        <v>9</v>
      </c>
      <c r="E272" s="209">
        <f t="shared" si="8"/>
        <v>148309.56</v>
      </c>
      <c r="F272" s="68">
        <v>120541.78</v>
      </c>
      <c r="G272" s="68">
        <v>20536.78</v>
      </c>
      <c r="H272" s="211">
        <v>3246</v>
      </c>
      <c r="I272" s="211">
        <v>1711</v>
      </c>
      <c r="J272" s="210">
        <v>2274</v>
      </c>
      <c r="K272" s="237"/>
      <c r="L272" s="238">
        <f t="shared" si="9"/>
        <v>0</v>
      </c>
      <c r="M272" s="68"/>
      <c r="N272" s="68"/>
      <c r="O272" s="211"/>
      <c r="P272" s="211">
        <v>0</v>
      </c>
      <c r="Q272" s="210"/>
      <c r="R272" s="237"/>
    </row>
    <row r="273" spans="1:18" s="239" customFormat="1" ht="12.75">
      <c r="A273" s="96" t="s">
        <v>23</v>
      </c>
      <c r="B273" s="96" t="s">
        <v>35</v>
      </c>
      <c r="C273" s="97">
        <v>199634</v>
      </c>
      <c r="D273" s="41">
        <v>9</v>
      </c>
      <c r="E273" s="209">
        <f t="shared" si="8"/>
        <v>125484.20000000001</v>
      </c>
      <c r="F273" s="68">
        <v>105677.1</v>
      </c>
      <c r="G273" s="68">
        <v>16233.1</v>
      </c>
      <c r="H273" s="211">
        <v>3537</v>
      </c>
      <c r="I273" s="211">
        <v>0</v>
      </c>
      <c r="J273" s="210">
        <v>37</v>
      </c>
      <c r="K273" s="237"/>
      <c r="L273" s="238">
        <f t="shared" si="9"/>
        <v>0</v>
      </c>
      <c r="M273" s="68"/>
      <c r="N273" s="68"/>
      <c r="O273" s="211"/>
      <c r="P273" s="211">
        <v>0</v>
      </c>
      <c r="Q273" s="210"/>
      <c r="R273" s="237"/>
    </row>
    <row r="274" spans="1:18" s="239" customFormat="1" ht="12.75">
      <c r="A274" s="96" t="s">
        <v>23</v>
      </c>
      <c r="B274" s="96" t="s">
        <v>33</v>
      </c>
      <c r="C274" s="97">
        <v>199722</v>
      </c>
      <c r="D274" s="41">
        <v>9</v>
      </c>
      <c r="E274" s="209">
        <f t="shared" si="8"/>
        <v>81360.58</v>
      </c>
      <c r="F274" s="68">
        <v>55534.29</v>
      </c>
      <c r="G274" s="68">
        <v>17560.29</v>
      </c>
      <c r="H274" s="211">
        <v>4866</v>
      </c>
      <c r="I274" s="211">
        <v>143</v>
      </c>
      <c r="J274" s="210">
        <v>3257</v>
      </c>
      <c r="K274" s="237"/>
      <c r="L274" s="238">
        <f t="shared" si="9"/>
        <v>0</v>
      </c>
      <c r="M274" s="68"/>
      <c r="N274" s="68"/>
      <c r="O274" s="211"/>
      <c r="P274" s="211">
        <v>0</v>
      </c>
      <c r="Q274" s="210"/>
      <c r="R274" s="237"/>
    </row>
    <row r="275" spans="1:18" s="239" customFormat="1" ht="12.75">
      <c r="A275" s="96" t="s">
        <v>23</v>
      </c>
      <c r="B275" s="96" t="s">
        <v>32</v>
      </c>
      <c r="C275" s="97">
        <v>199731</v>
      </c>
      <c r="D275" s="41">
        <v>9</v>
      </c>
      <c r="E275" s="209">
        <f t="shared" si="8"/>
        <v>68925.21</v>
      </c>
      <c r="F275" s="68">
        <v>42121.605</v>
      </c>
      <c r="G275" s="68">
        <v>19857.605000000003</v>
      </c>
      <c r="H275" s="211">
        <v>3971</v>
      </c>
      <c r="I275" s="211">
        <v>2507</v>
      </c>
      <c r="J275" s="210">
        <v>468</v>
      </c>
      <c r="K275" s="237"/>
      <c r="L275" s="238">
        <f t="shared" si="9"/>
        <v>0</v>
      </c>
      <c r="M275" s="68"/>
      <c r="N275" s="68"/>
      <c r="O275" s="211"/>
      <c r="P275" s="211">
        <v>0</v>
      </c>
      <c r="Q275" s="210"/>
      <c r="R275" s="237"/>
    </row>
    <row r="276" spans="1:18" s="239" customFormat="1" ht="12.75">
      <c r="A276" s="96" t="s">
        <v>23</v>
      </c>
      <c r="B276" s="96" t="s">
        <v>30</v>
      </c>
      <c r="C276" s="97">
        <v>199768</v>
      </c>
      <c r="D276" s="41">
        <v>9</v>
      </c>
      <c r="E276" s="209">
        <f t="shared" si="8"/>
        <v>112037.23999999999</v>
      </c>
      <c r="F276" s="68">
        <v>92025.62</v>
      </c>
      <c r="G276" s="68">
        <v>15192.62</v>
      </c>
      <c r="H276" s="211">
        <v>3064</v>
      </c>
      <c r="I276" s="211">
        <v>1069</v>
      </c>
      <c r="J276" s="210">
        <v>686</v>
      </c>
      <c r="K276" s="237"/>
      <c r="L276" s="238">
        <f t="shared" si="9"/>
        <v>0</v>
      </c>
      <c r="M276" s="68"/>
      <c r="N276" s="68"/>
      <c r="O276" s="211"/>
      <c r="P276" s="211">
        <v>0</v>
      </c>
      <c r="Q276" s="210"/>
      <c r="R276" s="237"/>
    </row>
    <row r="277" spans="1:18" s="239" customFormat="1" ht="12.75">
      <c r="A277" s="96" t="s">
        <v>23</v>
      </c>
      <c r="B277" s="96" t="s">
        <v>28</v>
      </c>
      <c r="C277" s="97">
        <v>199838</v>
      </c>
      <c r="D277" s="41">
        <v>9</v>
      </c>
      <c r="E277" s="209">
        <f t="shared" si="8"/>
        <v>143110.73</v>
      </c>
      <c r="F277" s="68">
        <v>111155.365</v>
      </c>
      <c r="G277" s="68">
        <v>30012.365000000005</v>
      </c>
      <c r="H277" s="211">
        <v>1943</v>
      </c>
      <c r="I277" s="211">
        <v>0</v>
      </c>
      <c r="J277" s="210">
        <v>0</v>
      </c>
      <c r="K277" s="237"/>
      <c r="L277" s="238">
        <f t="shared" si="9"/>
        <v>0</v>
      </c>
      <c r="M277" s="68"/>
      <c r="N277" s="68"/>
      <c r="O277" s="211"/>
      <c r="P277" s="211">
        <v>0</v>
      </c>
      <c r="Q277" s="210"/>
      <c r="R277" s="237"/>
    </row>
    <row r="278" spans="1:18" s="239" customFormat="1" ht="12.75">
      <c r="A278" s="96" t="s">
        <v>23</v>
      </c>
      <c r="B278" s="96" t="s">
        <v>26</v>
      </c>
      <c r="C278" s="97">
        <v>199892</v>
      </c>
      <c r="D278" s="41">
        <v>9</v>
      </c>
      <c r="E278" s="209">
        <f t="shared" si="8"/>
        <v>115998.98000000001</v>
      </c>
      <c r="F278" s="68">
        <v>83183.49</v>
      </c>
      <c r="G278" s="68">
        <v>28036.49</v>
      </c>
      <c r="H278" s="211">
        <v>4776</v>
      </c>
      <c r="I278" s="211">
        <v>3</v>
      </c>
      <c r="J278" s="210">
        <v>0</v>
      </c>
      <c r="K278" s="237"/>
      <c r="L278" s="238">
        <f t="shared" si="9"/>
        <v>0</v>
      </c>
      <c r="M278" s="68"/>
      <c r="N278" s="68"/>
      <c r="O278" s="211"/>
      <c r="P278" s="211">
        <v>0</v>
      </c>
      <c r="Q278" s="210"/>
      <c r="R278" s="237"/>
    </row>
    <row r="279" spans="1:18" s="239" customFormat="1" ht="12.75">
      <c r="A279" s="96" t="s">
        <v>23</v>
      </c>
      <c r="B279" s="96" t="s">
        <v>25</v>
      </c>
      <c r="C279" s="97">
        <v>199908</v>
      </c>
      <c r="D279" s="41">
        <v>9</v>
      </c>
      <c r="E279" s="209">
        <f t="shared" si="8"/>
        <v>100994.63</v>
      </c>
      <c r="F279" s="68">
        <v>68431.315</v>
      </c>
      <c r="G279" s="68">
        <v>20611.315000000002</v>
      </c>
      <c r="H279" s="211">
        <v>11217</v>
      </c>
      <c r="I279" s="211">
        <v>107</v>
      </c>
      <c r="J279" s="210">
        <v>628</v>
      </c>
      <c r="K279" s="237"/>
      <c r="L279" s="238">
        <f t="shared" si="9"/>
        <v>0</v>
      </c>
      <c r="M279" s="68"/>
      <c r="N279" s="68"/>
      <c r="O279" s="211"/>
      <c r="P279" s="211">
        <v>0</v>
      </c>
      <c r="Q279" s="210"/>
      <c r="R279" s="237"/>
    </row>
    <row r="280" spans="1:18" s="239" customFormat="1" ht="12.75">
      <c r="A280" s="96" t="s">
        <v>23</v>
      </c>
      <c r="B280" s="96" t="s">
        <v>24</v>
      </c>
      <c r="C280" s="97">
        <v>199926</v>
      </c>
      <c r="D280" s="41">
        <v>9</v>
      </c>
      <c r="E280" s="209">
        <f t="shared" si="8"/>
        <v>98817.68</v>
      </c>
      <c r="F280" s="68">
        <v>73323.84</v>
      </c>
      <c r="G280" s="68">
        <v>18394.84</v>
      </c>
      <c r="H280" s="211">
        <v>4007</v>
      </c>
      <c r="I280" s="211">
        <v>2735</v>
      </c>
      <c r="J280" s="210">
        <v>357</v>
      </c>
      <c r="K280" s="237"/>
      <c r="L280" s="238">
        <f t="shared" si="9"/>
        <v>0</v>
      </c>
      <c r="M280" s="68"/>
      <c r="N280" s="68"/>
      <c r="O280" s="211"/>
      <c r="P280" s="211">
        <v>0</v>
      </c>
      <c r="Q280" s="210"/>
      <c r="R280" s="237"/>
    </row>
    <row r="281" spans="1:18" s="239" customFormat="1" ht="12.75">
      <c r="A281" s="96" t="s">
        <v>23</v>
      </c>
      <c r="B281" s="96" t="s">
        <v>22</v>
      </c>
      <c r="C281" s="97">
        <v>199953</v>
      </c>
      <c r="D281" s="41">
        <v>9</v>
      </c>
      <c r="E281" s="209">
        <f t="shared" si="8"/>
        <v>73853.62</v>
      </c>
      <c r="F281" s="68">
        <v>56320.81</v>
      </c>
      <c r="G281" s="68">
        <v>9286.81</v>
      </c>
      <c r="H281" s="211">
        <v>2614</v>
      </c>
      <c r="I281" s="211">
        <v>0</v>
      </c>
      <c r="J281" s="210">
        <v>5632</v>
      </c>
      <c r="K281" s="237"/>
      <c r="L281" s="238">
        <f t="shared" si="9"/>
        <v>0</v>
      </c>
      <c r="M281" s="68"/>
      <c r="N281" s="68"/>
      <c r="O281" s="211"/>
      <c r="P281" s="211">
        <v>0</v>
      </c>
      <c r="Q281" s="210"/>
      <c r="R281" s="237"/>
    </row>
    <row r="282" spans="1:18" s="239" customFormat="1" ht="12.75">
      <c r="A282" s="96" t="s">
        <v>23</v>
      </c>
      <c r="B282" s="96" t="s">
        <v>77</v>
      </c>
      <c r="C282" s="97">
        <v>197996</v>
      </c>
      <c r="D282" s="41">
        <v>10</v>
      </c>
      <c r="E282" s="209">
        <f t="shared" si="8"/>
        <v>60852.89</v>
      </c>
      <c r="F282" s="68">
        <v>43069.445</v>
      </c>
      <c r="G282" s="68">
        <v>13601.445</v>
      </c>
      <c r="H282" s="211">
        <v>2321</v>
      </c>
      <c r="I282" s="211">
        <v>1754</v>
      </c>
      <c r="J282" s="210">
        <v>107</v>
      </c>
      <c r="K282" s="237"/>
      <c r="L282" s="238">
        <f t="shared" si="9"/>
        <v>0</v>
      </c>
      <c r="M282" s="68"/>
      <c r="N282" s="68"/>
      <c r="O282" s="211"/>
      <c r="P282" s="211">
        <v>0</v>
      </c>
      <c r="Q282" s="210"/>
      <c r="R282" s="237"/>
    </row>
    <row r="283" spans="1:18" s="239" customFormat="1" ht="12.75">
      <c r="A283" s="96" t="s">
        <v>23</v>
      </c>
      <c r="B283" s="96" t="s">
        <v>76</v>
      </c>
      <c r="C283" s="97">
        <v>198011</v>
      </c>
      <c r="D283" s="41">
        <v>10</v>
      </c>
      <c r="E283" s="209">
        <f t="shared" si="8"/>
        <v>47829.28</v>
      </c>
      <c r="F283" s="68">
        <v>38988.64</v>
      </c>
      <c r="G283" s="68">
        <v>8688.64</v>
      </c>
      <c r="H283" s="211">
        <v>151</v>
      </c>
      <c r="I283" s="211">
        <v>0</v>
      </c>
      <c r="J283" s="210">
        <v>1</v>
      </c>
      <c r="K283" s="237"/>
      <c r="L283" s="238">
        <f t="shared" si="9"/>
        <v>0</v>
      </c>
      <c r="M283" s="68"/>
      <c r="N283" s="68"/>
      <c r="O283" s="211"/>
      <c r="P283" s="211">
        <v>0</v>
      </c>
      <c r="Q283" s="210"/>
      <c r="R283" s="237"/>
    </row>
    <row r="284" spans="1:18" s="239" customFormat="1" ht="12.75">
      <c r="A284" s="96" t="s">
        <v>23</v>
      </c>
      <c r="B284" s="96" t="s">
        <v>74</v>
      </c>
      <c r="C284" s="97">
        <v>198084</v>
      </c>
      <c r="D284" s="41">
        <v>10</v>
      </c>
      <c r="E284" s="209">
        <f t="shared" si="8"/>
        <v>41282.83</v>
      </c>
      <c r="F284" s="68">
        <v>34886.415</v>
      </c>
      <c r="G284" s="68">
        <v>4377.415000000001</v>
      </c>
      <c r="H284" s="211">
        <v>1556</v>
      </c>
      <c r="I284" s="211">
        <v>37</v>
      </c>
      <c r="J284" s="210">
        <v>426</v>
      </c>
      <c r="K284" s="237"/>
      <c r="L284" s="238">
        <f t="shared" si="9"/>
        <v>0</v>
      </c>
      <c r="M284" s="68"/>
      <c r="N284" s="68"/>
      <c r="O284" s="211"/>
      <c r="P284" s="211">
        <v>0</v>
      </c>
      <c r="Q284" s="210"/>
      <c r="R284" s="237"/>
    </row>
    <row r="285" spans="1:18" s="239" customFormat="1" ht="12.75">
      <c r="A285" s="96" t="s">
        <v>23</v>
      </c>
      <c r="B285" s="96" t="s">
        <v>72</v>
      </c>
      <c r="C285" s="97">
        <v>198206</v>
      </c>
      <c r="D285" s="41">
        <v>10</v>
      </c>
      <c r="E285" s="209">
        <f t="shared" si="8"/>
        <v>57891.17</v>
      </c>
      <c r="F285" s="68">
        <v>42800.585</v>
      </c>
      <c r="G285" s="68">
        <v>9693.585</v>
      </c>
      <c r="H285" s="211">
        <v>5383</v>
      </c>
      <c r="I285" s="211">
        <v>0</v>
      </c>
      <c r="J285" s="210">
        <v>14</v>
      </c>
      <c r="K285" s="237"/>
      <c r="L285" s="238">
        <f t="shared" si="9"/>
        <v>0</v>
      </c>
      <c r="M285" s="68"/>
      <c r="N285" s="68"/>
      <c r="O285" s="211"/>
      <c r="P285" s="211">
        <v>0</v>
      </c>
      <c r="Q285" s="210"/>
      <c r="R285" s="237"/>
    </row>
    <row r="286" spans="1:18" s="239" customFormat="1" ht="12.75">
      <c r="A286" s="96" t="s">
        <v>23</v>
      </c>
      <c r="B286" s="96" t="s">
        <v>57</v>
      </c>
      <c r="C286" s="97">
        <v>198640</v>
      </c>
      <c r="D286" s="41">
        <v>10</v>
      </c>
      <c r="E286" s="209">
        <f t="shared" si="8"/>
        <v>58950</v>
      </c>
      <c r="F286" s="68">
        <v>45614</v>
      </c>
      <c r="G286" s="68">
        <v>8279</v>
      </c>
      <c r="H286" s="211">
        <v>3709</v>
      </c>
      <c r="I286" s="211">
        <v>93</v>
      </c>
      <c r="J286" s="210">
        <v>1255</v>
      </c>
      <c r="K286" s="237"/>
      <c r="L286" s="238">
        <f t="shared" si="9"/>
        <v>0</v>
      </c>
      <c r="M286" s="68"/>
      <c r="N286" s="68"/>
      <c r="O286" s="211"/>
      <c r="P286" s="211">
        <v>0</v>
      </c>
      <c r="Q286" s="210"/>
      <c r="R286" s="237"/>
    </row>
    <row r="287" spans="1:18" s="239" customFormat="1" ht="12.75">
      <c r="A287" s="96" t="s">
        <v>23</v>
      </c>
      <c r="B287" s="96" t="s">
        <v>56</v>
      </c>
      <c r="C287" s="97">
        <v>198668</v>
      </c>
      <c r="D287" s="41">
        <v>10</v>
      </c>
      <c r="E287" s="209">
        <f t="shared" si="8"/>
        <v>62816.23000000001</v>
      </c>
      <c r="F287" s="68">
        <v>53103.115000000005</v>
      </c>
      <c r="G287" s="68">
        <v>3891.1150000000016</v>
      </c>
      <c r="H287" s="211">
        <v>5131</v>
      </c>
      <c r="I287" s="211">
        <v>0</v>
      </c>
      <c r="J287" s="210">
        <v>691</v>
      </c>
      <c r="K287" s="237"/>
      <c r="L287" s="238">
        <f t="shared" si="9"/>
        <v>0</v>
      </c>
      <c r="M287" s="68"/>
      <c r="N287" s="68"/>
      <c r="O287" s="211"/>
      <c r="P287" s="211">
        <v>0</v>
      </c>
      <c r="Q287" s="210"/>
      <c r="R287" s="237"/>
    </row>
    <row r="288" spans="1:18" s="239" customFormat="1" ht="12.75">
      <c r="A288" s="96" t="s">
        <v>23</v>
      </c>
      <c r="B288" s="96" t="s">
        <v>55</v>
      </c>
      <c r="C288" s="97">
        <v>198710</v>
      </c>
      <c r="D288" s="41">
        <v>10</v>
      </c>
      <c r="E288" s="209">
        <f t="shared" si="8"/>
        <v>71314.06</v>
      </c>
      <c r="F288" s="68">
        <v>59930.03</v>
      </c>
      <c r="G288" s="68">
        <v>9168.03</v>
      </c>
      <c r="H288" s="211">
        <v>2118</v>
      </c>
      <c r="I288" s="211">
        <v>0</v>
      </c>
      <c r="J288" s="210">
        <v>98</v>
      </c>
      <c r="K288" s="237"/>
      <c r="L288" s="238">
        <f t="shared" si="9"/>
        <v>0</v>
      </c>
      <c r="M288" s="68"/>
      <c r="N288" s="68"/>
      <c r="O288" s="211"/>
      <c r="P288" s="211">
        <v>0</v>
      </c>
      <c r="Q288" s="210"/>
      <c r="R288" s="237"/>
    </row>
    <row r="289" spans="1:18" s="239" customFormat="1" ht="12.75">
      <c r="A289" s="96" t="s">
        <v>23</v>
      </c>
      <c r="B289" s="96" t="s">
        <v>54</v>
      </c>
      <c r="C289" s="97">
        <v>198729</v>
      </c>
      <c r="D289" s="41">
        <v>10</v>
      </c>
      <c r="E289" s="209">
        <f t="shared" si="8"/>
        <v>48027.67999999999</v>
      </c>
      <c r="F289" s="68">
        <v>42576.84</v>
      </c>
      <c r="G289" s="68">
        <v>4034.84</v>
      </c>
      <c r="H289" s="211">
        <v>664</v>
      </c>
      <c r="I289" s="211">
        <v>398</v>
      </c>
      <c r="J289" s="210">
        <v>354</v>
      </c>
      <c r="K289" s="237"/>
      <c r="L289" s="238">
        <f t="shared" si="9"/>
        <v>0</v>
      </c>
      <c r="M289" s="68"/>
      <c r="N289" s="68"/>
      <c r="O289" s="211"/>
      <c r="P289" s="211">
        <v>0</v>
      </c>
      <c r="Q289" s="210"/>
      <c r="R289" s="237"/>
    </row>
    <row r="290" spans="1:18" s="239" customFormat="1" ht="12.75">
      <c r="A290" s="96" t="s">
        <v>23</v>
      </c>
      <c r="B290" s="96" t="s">
        <v>51</v>
      </c>
      <c r="C290" s="97">
        <v>198905</v>
      </c>
      <c r="D290" s="41">
        <v>10</v>
      </c>
      <c r="E290" s="209">
        <f t="shared" si="8"/>
        <v>33926.81</v>
      </c>
      <c r="F290" s="68">
        <v>22437.405</v>
      </c>
      <c r="G290" s="68">
        <v>8748.404999999999</v>
      </c>
      <c r="H290" s="211">
        <v>2373</v>
      </c>
      <c r="I290" s="211">
        <v>289</v>
      </c>
      <c r="J290" s="210">
        <v>79</v>
      </c>
      <c r="K290" s="237"/>
      <c r="L290" s="238">
        <f t="shared" si="9"/>
        <v>0</v>
      </c>
      <c r="M290" s="68"/>
      <c r="N290" s="68"/>
      <c r="O290" s="211"/>
      <c r="P290" s="211">
        <v>0</v>
      </c>
      <c r="Q290" s="210"/>
      <c r="R290" s="237"/>
    </row>
    <row r="291" spans="1:18" s="239" customFormat="1" ht="12.75">
      <c r="A291" s="96" t="s">
        <v>23</v>
      </c>
      <c r="B291" s="96" t="s">
        <v>50</v>
      </c>
      <c r="C291" s="97">
        <v>198914</v>
      </c>
      <c r="D291" s="41">
        <v>10</v>
      </c>
      <c r="E291" s="209">
        <f t="shared" si="8"/>
        <v>46004.79</v>
      </c>
      <c r="F291" s="68">
        <v>25228.395</v>
      </c>
      <c r="G291" s="68">
        <v>17980.395</v>
      </c>
      <c r="H291" s="211">
        <v>1219</v>
      </c>
      <c r="I291" s="211">
        <v>1102</v>
      </c>
      <c r="J291" s="210">
        <v>475</v>
      </c>
      <c r="K291" s="237"/>
      <c r="L291" s="238">
        <f t="shared" si="9"/>
        <v>0</v>
      </c>
      <c r="M291" s="68"/>
      <c r="N291" s="68"/>
      <c r="O291" s="211"/>
      <c r="P291" s="211">
        <v>0</v>
      </c>
      <c r="Q291" s="210"/>
      <c r="R291" s="237"/>
    </row>
    <row r="292" spans="1:18" s="239" customFormat="1" ht="12.75">
      <c r="A292" s="96" t="s">
        <v>23</v>
      </c>
      <c r="B292" s="96" t="s">
        <v>49</v>
      </c>
      <c r="C292" s="97">
        <v>198923</v>
      </c>
      <c r="D292" s="41">
        <v>10</v>
      </c>
      <c r="E292" s="209">
        <f t="shared" si="8"/>
        <v>44657.399999999994</v>
      </c>
      <c r="F292" s="68">
        <v>34375.7</v>
      </c>
      <c r="G292" s="68">
        <v>10234.7</v>
      </c>
      <c r="H292" s="211">
        <v>47</v>
      </c>
      <c r="I292" s="211">
        <v>0</v>
      </c>
      <c r="J292" s="210">
        <v>0</v>
      </c>
      <c r="K292" s="237"/>
      <c r="L292" s="238">
        <f t="shared" si="9"/>
        <v>0</v>
      </c>
      <c r="M292" s="68"/>
      <c r="N292" s="68"/>
      <c r="O292" s="211"/>
      <c r="P292" s="211">
        <v>0</v>
      </c>
      <c r="Q292" s="210"/>
      <c r="R292" s="237"/>
    </row>
    <row r="293" spans="1:18" s="239" customFormat="1" ht="12.75">
      <c r="A293" s="96" t="s">
        <v>23</v>
      </c>
      <c r="B293" s="96" t="s">
        <v>47</v>
      </c>
      <c r="C293" s="97">
        <v>199023</v>
      </c>
      <c r="D293" s="41">
        <v>10</v>
      </c>
      <c r="E293" s="209">
        <f t="shared" si="8"/>
        <v>30099.86</v>
      </c>
      <c r="F293" s="68">
        <v>24964.93</v>
      </c>
      <c r="G293" s="68">
        <v>3183.93</v>
      </c>
      <c r="H293" s="211">
        <v>928</v>
      </c>
      <c r="I293" s="211">
        <v>865</v>
      </c>
      <c r="J293" s="210">
        <v>158</v>
      </c>
      <c r="K293" s="237"/>
      <c r="L293" s="238">
        <f t="shared" si="9"/>
        <v>0</v>
      </c>
      <c r="M293" s="68"/>
      <c r="N293" s="68"/>
      <c r="O293" s="211"/>
      <c r="P293" s="211">
        <v>0</v>
      </c>
      <c r="Q293" s="210"/>
      <c r="R293" s="237"/>
    </row>
    <row r="294" spans="1:18" s="239" customFormat="1" ht="12.75">
      <c r="A294" s="96" t="s">
        <v>23</v>
      </c>
      <c r="B294" s="96" t="s">
        <v>45</v>
      </c>
      <c r="C294" s="97">
        <v>199263</v>
      </c>
      <c r="D294" s="41">
        <v>10</v>
      </c>
      <c r="E294" s="209">
        <f t="shared" si="8"/>
        <v>15314.5</v>
      </c>
      <c r="F294" s="68">
        <v>7855.25</v>
      </c>
      <c r="G294" s="68">
        <v>6731.25</v>
      </c>
      <c r="H294" s="211">
        <v>728</v>
      </c>
      <c r="I294" s="211">
        <v>0</v>
      </c>
      <c r="J294" s="210">
        <v>0</v>
      </c>
      <c r="K294" s="237"/>
      <c r="L294" s="238">
        <f t="shared" si="9"/>
        <v>0</v>
      </c>
      <c r="M294" s="68"/>
      <c r="N294" s="68"/>
      <c r="O294" s="211"/>
      <c r="P294" s="211">
        <v>0</v>
      </c>
      <c r="Q294" s="210"/>
      <c r="R294" s="237"/>
    </row>
    <row r="295" spans="1:18" s="239" customFormat="1" ht="12.75">
      <c r="A295" s="96" t="s">
        <v>23</v>
      </c>
      <c r="B295" s="96" t="s">
        <v>44</v>
      </c>
      <c r="C295" s="97">
        <v>199324</v>
      </c>
      <c r="D295" s="41">
        <v>10</v>
      </c>
      <c r="E295" s="209">
        <f t="shared" si="8"/>
        <v>71852.74</v>
      </c>
      <c r="F295" s="68">
        <v>38907.37</v>
      </c>
      <c r="G295" s="68">
        <v>22269.37</v>
      </c>
      <c r="H295" s="211">
        <v>7188</v>
      </c>
      <c r="I295" s="211">
        <v>2566</v>
      </c>
      <c r="J295" s="210">
        <v>922</v>
      </c>
      <c r="K295" s="237"/>
      <c r="L295" s="238">
        <f t="shared" si="9"/>
        <v>0</v>
      </c>
      <c r="M295" s="68"/>
      <c r="N295" s="68"/>
      <c r="O295" s="211"/>
      <c r="P295" s="211">
        <v>0</v>
      </c>
      <c r="Q295" s="210"/>
      <c r="R295" s="237"/>
    </row>
    <row r="296" spans="1:18" s="239" customFormat="1" ht="12.75">
      <c r="A296" s="96" t="s">
        <v>23</v>
      </c>
      <c r="B296" s="96" t="s">
        <v>40</v>
      </c>
      <c r="C296" s="97">
        <v>199467</v>
      </c>
      <c r="D296" s="41">
        <v>10</v>
      </c>
      <c r="E296" s="209">
        <f t="shared" si="8"/>
        <v>32978.7</v>
      </c>
      <c r="F296" s="68">
        <v>26541.35</v>
      </c>
      <c r="G296" s="68">
        <v>3909.35</v>
      </c>
      <c r="H296" s="211">
        <v>2246</v>
      </c>
      <c r="I296" s="211">
        <v>0</v>
      </c>
      <c r="J296" s="210">
        <v>282</v>
      </c>
      <c r="K296" s="237"/>
      <c r="L296" s="238">
        <f t="shared" si="9"/>
        <v>0</v>
      </c>
      <c r="M296" s="68"/>
      <c r="N296" s="68"/>
      <c r="O296" s="211"/>
      <c r="P296" s="211">
        <v>0</v>
      </c>
      <c r="Q296" s="210"/>
      <c r="R296" s="237"/>
    </row>
    <row r="297" spans="1:18" s="239" customFormat="1" ht="12.75">
      <c r="A297" s="96" t="s">
        <v>23</v>
      </c>
      <c r="B297" s="96" t="s">
        <v>36</v>
      </c>
      <c r="C297" s="97">
        <v>199625</v>
      </c>
      <c r="D297" s="41">
        <v>10</v>
      </c>
      <c r="E297" s="209">
        <f t="shared" si="8"/>
        <v>57906.22</v>
      </c>
      <c r="F297" s="68">
        <v>45377.11</v>
      </c>
      <c r="G297" s="68">
        <v>10550.11</v>
      </c>
      <c r="H297" s="211">
        <v>1009</v>
      </c>
      <c r="I297" s="211">
        <v>715</v>
      </c>
      <c r="J297" s="210">
        <v>255</v>
      </c>
      <c r="K297" s="237"/>
      <c r="L297" s="238">
        <f t="shared" si="9"/>
        <v>0</v>
      </c>
      <c r="M297" s="68"/>
      <c r="N297" s="68"/>
      <c r="O297" s="211"/>
      <c r="P297" s="211">
        <v>0</v>
      </c>
      <c r="Q297" s="210"/>
      <c r="R297" s="237"/>
    </row>
    <row r="298" spans="1:18" s="239" customFormat="1" ht="12.75">
      <c r="A298" s="96" t="s">
        <v>23</v>
      </c>
      <c r="B298" s="96" t="s">
        <v>34</v>
      </c>
      <c r="C298" s="97">
        <v>197850</v>
      </c>
      <c r="D298" s="41">
        <v>10</v>
      </c>
      <c r="E298" s="209">
        <f t="shared" si="8"/>
        <v>60967.25</v>
      </c>
      <c r="F298" s="68">
        <v>37713.625</v>
      </c>
      <c r="G298" s="68">
        <v>17777.625</v>
      </c>
      <c r="H298" s="211">
        <v>4744</v>
      </c>
      <c r="I298" s="211">
        <v>0</v>
      </c>
      <c r="J298" s="210">
        <v>732</v>
      </c>
      <c r="K298" s="237"/>
      <c r="L298" s="238">
        <f t="shared" si="9"/>
        <v>0</v>
      </c>
      <c r="M298" s="68"/>
      <c r="N298" s="68"/>
      <c r="O298" s="211"/>
      <c r="P298" s="211">
        <v>0</v>
      </c>
      <c r="Q298" s="210"/>
      <c r="R298" s="237"/>
    </row>
    <row r="299" spans="1:18" s="239" customFormat="1" ht="12.75">
      <c r="A299" s="96" t="s">
        <v>23</v>
      </c>
      <c r="B299" s="96" t="s">
        <v>31</v>
      </c>
      <c r="C299" s="97">
        <v>199740</v>
      </c>
      <c r="D299" s="41">
        <v>10</v>
      </c>
      <c r="E299" s="209">
        <f t="shared" si="8"/>
        <v>71498.12</v>
      </c>
      <c r="F299" s="68">
        <v>45699.06</v>
      </c>
      <c r="G299" s="68">
        <v>13141.06</v>
      </c>
      <c r="H299" s="211">
        <v>8110</v>
      </c>
      <c r="I299" s="211">
        <v>950</v>
      </c>
      <c r="J299" s="210">
        <v>3598</v>
      </c>
      <c r="K299" s="237"/>
      <c r="L299" s="238">
        <f t="shared" si="9"/>
        <v>0</v>
      </c>
      <c r="M299" s="68"/>
      <c r="N299" s="68"/>
      <c r="O299" s="211"/>
      <c r="P299" s="211">
        <v>0</v>
      </c>
      <c r="Q299" s="210"/>
      <c r="R299" s="237"/>
    </row>
    <row r="300" spans="1:18" s="239" customFormat="1" ht="12.75">
      <c r="A300" s="96" t="s">
        <v>23</v>
      </c>
      <c r="B300" s="96" t="s">
        <v>29</v>
      </c>
      <c r="C300" s="97">
        <v>199795</v>
      </c>
      <c r="D300" s="41">
        <v>10</v>
      </c>
      <c r="E300" s="209">
        <f t="shared" si="8"/>
        <v>42180.29</v>
      </c>
      <c r="F300" s="68">
        <v>29195.145</v>
      </c>
      <c r="G300" s="68">
        <v>12949.145</v>
      </c>
      <c r="H300" s="211">
        <v>35</v>
      </c>
      <c r="I300" s="211">
        <v>0</v>
      </c>
      <c r="J300" s="210">
        <v>1</v>
      </c>
      <c r="K300" s="237"/>
      <c r="L300" s="238">
        <f t="shared" si="9"/>
        <v>0</v>
      </c>
      <c r="M300" s="68"/>
      <c r="N300" s="68"/>
      <c r="O300" s="211"/>
      <c r="P300" s="211">
        <v>0</v>
      </c>
      <c r="Q300" s="210"/>
      <c r="R300" s="237"/>
    </row>
    <row r="301" spans="1:18" s="213" customFormat="1" ht="12.75">
      <c r="A301" s="98" t="s">
        <v>81</v>
      </c>
      <c r="B301" s="98" t="s">
        <v>131</v>
      </c>
      <c r="C301" s="99">
        <v>207388</v>
      </c>
      <c r="D301" s="47">
        <v>1</v>
      </c>
      <c r="E301" s="209">
        <f t="shared" si="8"/>
        <v>512291</v>
      </c>
      <c r="F301" s="210">
        <v>510411</v>
      </c>
      <c r="G301" s="210"/>
      <c r="H301" s="211">
        <v>490</v>
      </c>
      <c r="I301" s="211">
        <v>201</v>
      </c>
      <c r="J301" s="210">
        <v>21</v>
      </c>
      <c r="K301" s="211">
        <v>1168</v>
      </c>
      <c r="L301" s="212">
        <f t="shared" si="9"/>
        <v>72505</v>
      </c>
      <c r="M301" s="210">
        <v>71065</v>
      </c>
      <c r="N301" s="210"/>
      <c r="O301" s="211">
        <v>1105</v>
      </c>
      <c r="P301" s="211">
        <v>154</v>
      </c>
      <c r="Q301" s="210">
        <v>125</v>
      </c>
      <c r="R301" s="211">
        <v>56</v>
      </c>
    </row>
    <row r="302" spans="1:18" s="213" customFormat="1" ht="12.75">
      <c r="A302" s="98" t="s">
        <v>81</v>
      </c>
      <c r="B302" s="98" t="s">
        <v>130</v>
      </c>
      <c r="C302" s="99" t="s">
        <v>129</v>
      </c>
      <c r="D302" s="47">
        <v>1</v>
      </c>
      <c r="E302" s="209">
        <f t="shared" si="8"/>
        <v>566396</v>
      </c>
      <c r="F302" s="210">
        <v>543296</v>
      </c>
      <c r="G302" s="210">
        <v>5296</v>
      </c>
      <c r="H302" s="211">
        <v>14057</v>
      </c>
      <c r="I302" s="211">
        <v>2133</v>
      </c>
      <c r="J302" s="210">
        <v>1614</v>
      </c>
      <c r="K302" s="211">
        <v>0</v>
      </c>
      <c r="L302" s="212">
        <f t="shared" si="9"/>
        <v>112373</v>
      </c>
      <c r="M302" s="210">
        <v>89784</v>
      </c>
      <c r="N302" s="210">
        <v>16516</v>
      </c>
      <c r="O302" s="211">
        <v>2335</v>
      </c>
      <c r="P302" s="211">
        <v>3453</v>
      </c>
      <c r="Q302" s="210">
        <v>285</v>
      </c>
      <c r="R302" s="211"/>
    </row>
    <row r="303" spans="1:18" s="213" customFormat="1" ht="12.75">
      <c r="A303" s="98" t="s">
        <v>81</v>
      </c>
      <c r="B303" s="98" t="s">
        <v>128</v>
      </c>
      <c r="C303" s="99" t="s">
        <v>127</v>
      </c>
      <c r="D303" s="47">
        <v>3</v>
      </c>
      <c r="E303" s="209">
        <f t="shared" si="8"/>
        <v>314380</v>
      </c>
      <c r="F303" s="210">
        <v>307923</v>
      </c>
      <c r="G303" s="210">
        <v>964</v>
      </c>
      <c r="H303" s="211">
        <v>2135</v>
      </c>
      <c r="I303" s="211">
        <v>249</v>
      </c>
      <c r="J303" s="210">
        <v>3109</v>
      </c>
      <c r="K303" s="211"/>
      <c r="L303" s="212">
        <f t="shared" si="9"/>
        <v>31919</v>
      </c>
      <c r="M303" s="210">
        <v>29470</v>
      </c>
      <c r="N303" s="210">
        <v>779</v>
      </c>
      <c r="O303" s="211">
        <v>438</v>
      </c>
      <c r="P303" s="211">
        <v>354</v>
      </c>
      <c r="Q303" s="210">
        <v>878</v>
      </c>
      <c r="R303" s="211"/>
    </row>
    <row r="304" spans="1:18" s="213" customFormat="1" ht="12.75">
      <c r="A304" s="98" t="s">
        <v>81</v>
      </c>
      <c r="B304" s="98" t="s">
        <v>126</v>
      </c>
      <c r="C304" s="99" t="s">
        <v>125</v>
      </c>
      <c r="D304" s="47">
        <v>4</v>
      </c>
      <c r="E304" s="209">
        <f t="shared" si="8"/>
        <v>208289</v>
      </c>
      <c r="F304" s="210">
        <v>203349</v>
      </c>
      <c r="G304" s="210"/>
      <c r="H304" s="211">
        <v>3288</v>
      </c>
      <c r="I304" s="211">
        <v>1652</v>
      </c>
      <c r="J304" s="210"/>
      <c r="K304" s="211"/>
      <c r="L304" s="212">
        <f t="shared" si="9"/>
        <v>17486</v>
      </c>
      <c r="M304" s="210">
        <v>17339</v>
      </c>
      <c r="N304" s="210"/>
      <c r="O304" s="211">
        <v>117</v>
      </c>
      <c r="P304" s="211">
        <v>30</v>
      </c>
      <c r="Q304" s="210"/>
      <c r="R304" s="211"/>
    </row>
    <row r="305" spans="1:18" s="213" customFormat="1" ht="12.75">
      <c r="A305" s="98" t="s">
        <v>81</v>
      </c>
      <c r="B305" s="98" t="s">
        <v>124</v>
      </c>
      <c r="C305" s="99" t="s">
        <v>123</v>
      </c>
      <c r="D305" s="47">
        <v>5</v>
      </c>
      <c r="E305" s="209">
        <f t="shared" si="8"/>
        <v>120907</v>
      </c>
      <c r="F305" s="210">
        <v>108550</v>
      </c>
      <c r="G305" s="210"/>
      <c r="H305" s="211">
        <v>6795</v>
      </c>
      <c r="I305" s="211">
        <v>4770</v>
      </c>
      <c r="J305" s="210">
        <v>792</v>
      </c>
      <c r="K305" s="211"/>
      <c r="L305" s="212">
        <f t="shared" si="9"/>
        <v>8442</v>
      </c>
      <c r="M305" s="210">
        <v>7160</v>
      </c>
      <c r="N305" s="210">
        <v>502</v>
      </c>
      <c r="O305" s="211">
        <v>429</v>
      </c>
      <c r="P305" s="211">
        <v>351</v>
      </c>
      <c r="Q305" s="210"/>
      <c r="R305" s="211"/>
    </row>
    <row r="306" spans="1:18" s="213" customFormat="1" ht="12.75">
      <c r="A306" s="98" t="s">
        <v>81</v>
      </c>
      <c r="B306" s="98" t="s">
        <v>122</v>
      </c>
      <c r="C306" s="99" t="s">
        <v>121</v>
      </c>
      <c r="D306" s="47">
        <v>5</v>
      </c>
      <c r="E306" s="209">
        <f t="shared" si="8"/>
        <v>98026</v>
      </c>
      <c r="F306" s="210">
        <v>94936</v>
      </c>
      <c r="G306" s="210">
        <v>633</v>
      </c>
      <c r="H306" s="211">
        <v>612</v>
      </c>
      <c r="I306" s="211">
        <v>1845</v>
      </c>
      <c r="J306" s="210"/>
      <c r="K306" s="211"/>
      <c r="L306" s="212">
        <f t="shared" si="9"/>
        <v>13256</v>
      </c>
      <c r="M306" s="210">
        <v>11412</v>
      </c>
      <c r="N306" s="210">
        <v>445</v>
      </c>
      <c r="O306" s="211">
        <v>273</v>
      </c>
      <c r="P306" s="211">
        <v>1126</v>
      </c>
      <c r="Q306" s="210"/>
      <c r="R306" s="211"/>
    </row>
    <row r="307" spans="1:18" s="213" customFormat="1" ht="12.75">
      <c r="A307" s="98" t="s">
        <v>81</v>
      </c>
      <c r="B307" s="98" t="s">
        <v>120</v>
      </c>
      <c r="C307" s="99" t="s">
        <v>119</v>
      </c>
      <c r="D307" s="47">
        <v>5</v>
      </c>
      <c r="E307" s="209">
        <f t="shared" si="8"/>
        <v>48592</v>
      </c>
      <c r="F307" s="210">
        <v>40244</v>
      </c>
      <c r="G307" s="210">
        <v>36</v>
      </c>
      <c r="H307" s="211">
        <v>539</v>
      </c>
      <c r="I307" s="211">
        <v>7299</v>
      </c>
      <c r="J307" s="210">
        <v>474</v>
      </c>
      <c r="K307" s="211"/>
      <c r="L307" s="212">
        <f t="shared" si="9"/>
        <v>3946</v>
      </c>
      <c r="M307" s="210">
        <v>3267</v>
      </c>
      <c r="N307" s="210"/>
      <c r="O307" s="211">
        <v>24</v>
      </c>
      <c r="P307" s="211">
        <v>655</v>
      </c>
      <c r="Q307" s="210"/>
      <c r="R307" s="211"/>
    </row>
    <row r="308" spans="1:18" s="213" customFormat="1" ht="12.75">
      <c r="A308" s="98" t="s">
        <v>81</v>
      </c>
      <c r="B308" s="98" t="s">
        <v>118</v>
      </c>
      <c r="C308" s="99" t="s">
        <v>117</v>
      </c>
      <c r="D308" s="47">
        <v>5</v>
      </c>
      <c r="E308" s="209">
        <f t="shared" si="8"/>
        <v>94953</v>
      </c>
      <c r="F308" s="210">
        <v>87898</v>
      </c>
      <c r="G308" s="210"/>
      <c r="H308" s="211">
        <v>3692</v>
      </c>
      <c r="I308" s="211">
        <v>3363</v>
      </c>
      <c r="J308" s="210"/>
      <c r="K308" s="211"/>
      <c r="L308" s="212">
        <f t="shared" si="9"/>
        <v>6860</v>
      </c>
      <c r="M308" s="210">
        <v>6416</v>
      </c>
      <c r="N308" s="210"/>
      <c r="O308" s="211">
        <v>168</v>
      </c>
      <c r="P308" s="211">
        <v>276</v>
      </c>
      <c r="Q308" s="210"/>
      <c r="R308" s="211"/>
    </row>
    <row r="309" spans="1:18" s="213" customFormat="1" ht="12.75">
      <c r="A309" s="98" t="s">
        <v>81</v>
      </c>
      <c r="B309" s="98" t="s">
        <v>116</v>
      </c>
      <c r="C309" s="99" t="s">
        <v>115</v>
      </c>
      <c r="D309" s="47">
        <v>5</v>
      </c>
      <c r="E309" s="209">
        <f t="shared" si="8"/>
        <v>123907</v>
      </c>
      <c r="F309" s="210">
        <v>119637</v>
      </c>
      <c r="G309" s="210">
        <v>395</v>
      </c>
      <c r="H309" s="211">
        <v>1053</v>
      </c>
      <c r="I309" s="211">
        <v>1186</v>
      </c>
      <c r="J309" s="210">
        <v>1636</v>
      </c>
      <c r="K309" s="211"/>
      <c r="L309" s="212">
        <f t="shared" si="9"/>
        <v>4592</v>
      </c>
      <c r="M309" s="210">
        <v>4046</v>
      </c>
      <c r="N309" s="210"/>
      <c r="O309" s="211">
        <v>90</v>
      </c>
      <c r="P309" s="211">
        <v>456</v>
      </c>
      <c r="Q309" s="210"/>
      <c r="R309" s="211"/>
    </row>
    <row r="310" spans="1:18" s="213" customFormat="1" ht="12.75">
      <c r="A310" s="98" t="s">
        <v>81</v>
      </c>
      <c r="B310" s="98" t="s">
        <v>114</v>
      </c>
      <c r="C310" s="99" t="s">
        <v>113</v>
      </c>
      <c r="D310" s="47">
        <v>6</v>
      </c>
      <c r="E310" s="209">
        <f t="shared" si="8"/>
        <v>74216</v>
      </c>
      <c r="F310" s="210">
        <v>73164</v>
      </c>
      <c r="G310" s="210"/>
      <c r="H310" s="211"/>
      <c r="I310" s="211">
        <v>1052</v>
      </c>
      <c r="J310" s="210"/>
      <c r="K310" s="211"/>
      <c r="L310" s="212">
        <f t="shared" si="9"/>
        <v>1617</v>
      </c>
      <c r="M310" s="210">
        <v>1551</v>
      </c>
      <c r="N310" s="210"/>
      <c r="O310" s="211"/>
      <c r="P310" s="211">
        <v>66</v>
      </c>
      <c r="Q310" s="210"/>
      <c r="R310" s="211"/>
    </row>
    <row r="311" spans="1:18" s="213" customFormat="1" ht="12.75">
      <c r="A311" s="98" t="s">
        <v>81</v>
      </c>
      <c r="B311" s="98" t="s">
        <v>112</v>
      </c>
      <c r="C311" s="99" t="s">
        <v>111</v>
      </c>
      <c r="D311" s="47">
        <v>6</v>
      </c>
      <c r="E311" s="209">
        <f t="shared" si="8"/>
        <v>30458</v>
      </c>
      <c r="F311" s="210">
        <v>30458</v>
      </c>
      <c r="G311" s="210"/>
      <c r="H311" s="211"/>
      <c r="I311" s="211">
        <v>0</v>
      </c>
      <c r="J311" s="210"/>
      <c r="K311" s="211"/>
      <c r="L311" s="212">
        <f t="shared" si="9"/>
        <v>0</v>
      </c>
      <c r="M311" s="210"/>
      <c r="N311" s="210"/>
      <c r="O311" s="211"/>
      <c r="P311" s="211">
        <v>0</v>
      </c>
      <c r="Q311" s="210"/>
      <c r="R311" s="211"/>
    </row>
    <row r="312" spans="1:18" s="213" customFormat="1" ht="12.75">
      <c r="A312" s="98" t="s">
        <v>81</v>
      </c>
      <c r="B312" s="98" t="s">
        <v>110</v>
      </c>
      <c r="C312" s="99" t="s">
        <v>109</v>
      </c>
      <c r="D312" s="47">
        <v>6</v>
      </c>
      <c r="E312" s="209">
        <f t="shared" si="8"/>
        <v>35942</v>
      </c>
      <c r="F312" s="210">
        <v>35547</v>
      </c>
      <c r="G312" s="210">
        <v>326</v>
      </c>
      <c r="H312" s="211"/>
      <c r="I312" s="211">
        <v>69</v>
      </c>
      <c r="J312" s="210"/>
      <c r="K312" s="211"/>
      <c r="L312" s="212">
        <f t="shared" si="9"/>
        <v>0</v>
      </c>
      <c r="M312" s="210"/>
      <c r="N312" s="210"/>
      <c r="O312" s="211"/>
      <c r="P312" s="211">
        <v>0</v>
      </c>
      <c r="Q312" s="210"/>
      <c r="R312" s="211"/>
    </row>
    <row r="313" spans="1:18" s="213" customFormat="1" ht="12.75">
      <c r="A313" s="98" t="s">
        <v>81</v>
      </c>
      <c r="B313" s="98" t="s">
        <v>85</v>
      </c>
      <c r="C313" s="99" t="s">
        <v>84</v>
      </c>
      <c r="D313" s="47">
        <v>7</v>
      </c>
      <c r="E313" s="209">
        <f t="shared" si="8"/>
        <v>74927</v>
      </c>
      <c r="F313" s="210">
        <v>54137</v>
      </c>
      <c r="G313" s="210">
        <v>5023</v>
      </c>
      <c r="H313" s="211">
        <v>11381</v>
      </c>
      <c r="I313" s="211">
        <v>4131</v>
      </c>
      <c r="J313" s="210">
        <v>255</v>
      </c>
      <c r="K313" s="211"/>
      <c r="L313" s="212">
        <f t="shared" si="9"/>
        <v>0</v>
      </c>
      <c r="M313" s="210"/>
      <c r="N313" s="210"/>
      <c r="O313" s="211"/>
      <c r="P313" s="211">
        <v>0</v>
      </c>
      <c r="Q313" s="210"/>
      <c r="R313" s="211"/>
    </row>
    <row r="314" spans="1:18" s="213" customFormat="1" ht="12.75">
      <c r="A314" s="98" t="s">
        <v>81</v>
      </c>
      <c r="B314" s="98" t="s">
        <v>108</v>
      </c>
      <c r="C314" s="99" t="s">
        <v>107</v>
      </c>
      <c r="D314" s="47">
        <v>8</v>
      </c>
      <c r="E314" s="209">
        <f t="shared" si="8"/>
        <v>231277</v>
      </c>
      <c r="F314" s="210">
        <v>189364</v>
      </c>
      <c r="G314" s="210">
        <v>12211</v>
      </c>
      <c r="H314" s="211">
        <v>19438</v>
      </c>
      <c r="I314" s="211">
        <v>478</v>
      </c>
      <c r="J314" s="210">
        <v>4581</v>
      </c>
      <c r="K314" s="211">
        <v>5205</v>
      </c>
      <c r="L314" s="212">
        <f t="shared" si="9"/>
        <v>0</v>
      </c>
      <c r="M314" s="210"/>
      <c r="N314" s="210"/>
      <c r="O314" s="211"/>
      <c r="P314" s="211">
        <v>0</v>
      </c>
      <c r="Q314" s="210"/>
      <c r="R314" s="211"/>
    </row>
    <row r="315" spans="1:18" s="213" customFormat="1" ht="12.75">
      <c r="A315" s="98" t="s">
        <v>81</v>
      </c>
      <c r="B315" s="98" t="s">
        <v>106</v>
      </c>
      <c r="C315" s="99" t="s">
        <v>105</v>
      </c>
      <c r="D315" s="47">
        <v>8</v>
      </c>
      <c r="E315" s="209">
        <f t="shared" si="8"/>
        <v>317142</v>
      </c>
      <c r="F315" s="210">
        <v>265031</v>
      </c>
      <c r="G315" s="210">
        <v>10900</v>
      </c>
      <c r="H315" s="211">
        <v>32654</v>
      </c>
      <c r="I315" s="211">
        <v>714</v>
      </c>
      <c r="J315" s="210">
        <v>7843</v>
      </c>
      <c r="K315" s="211"/>
      <c r="L315" s="212">
        <f t="shared" si="9"/>
        <v>0</v>
      </c>
      <c r="M315" s="210"/>
      <c r="N315" s="210"/>
      <c r="O315" s="211"/>
      <c r="P315" s="211">
        <v>0</v>
      </c>
      <c r="Q315" s="210"/>
      <c r="R315" s="211"/>
    </row>
    <row r="316" spans="1:18" s="213" customFormat="1" ht="12.75">
      <c r="A316" s="98" t="s">
        <v>81</v>
      </c>
      <c r="B316" s="98" t="s">
        <v>104</v>
      </c>
      <c r="C316" s="99" t="s">
        <v>103</v>
      </c>
      <c r="D316" s="47">
        <v>9</v>
      </c>
      <c r="E316" s="209">
        <f t="shared" si="8"/>
        <v>76094</v>
      </c>
      <c r="F316" s="210">
        <v>48665</v>
      </c>
      <c r="G316" s="210">
        <v>3937</v>
      </c>
      <c r="H316" s="211">
        <v>12515</v>
      </c>
      <c r="I316" s="211">
        <v>10977</v>
      </c>
      <c r="J316" s="210"/>
      <c r="K316" s="211"/>
      <c r="L316" s="212">
        <f t="shared" si="9"/>
        <v>0</v>
      </c>
      <c r="M316" s="210"/>
      <c r="N316" s="210"/>
      <c r="O316" s="211"/>
      <c r="P316" s="211">
        <v>0</v>
      </c>
      <c r="Q316" s="210"/>
      <c r="R316" s="211"/>
    </row>
    <row r="317" spans="1:18" s="213" customFormat="1" ht="12.75">
      <c r="A317" s="98" t="s">
        <v>81</v>
      </c>
      <c r="B317" s="100" t="s">
        <v>517</v>
      </c>
      <c r="C317" s="99" t="s">
        <v>102</v>
      </c>
      <c r="D317" s="47">
        <v>9</v>
      </c>
      <c r="E317" s="209">
        <f t="shared" si="8"/>
        <v>104098</v>
      </c>
      <c r="F317" s="210">
        <v>104098</v>
      </c>
      <c r="G317" s="210"/>
      <c r="H317" s="211"/>
      <c r="I317" s="211">
        <v>0</v>
      </c>
      <c r="J317" s="210"/>
      <c r="K317" s="211"/>
      <c r="L317" s="212">
        <f t="shared" si="9"/>
        <v>0</v>
      </c>
      <c r="M317" s="210"/>
      <c r="N317" s="210"/>
      <c r="O317" s="211"/>
      <c r="P317" s="211">
        <v>0</v>
      </c>
      <c r="Q317" s="210"/>
      <c r="R317" s="211"/>
    </row>
    <row r="318" spans="1:18" s="213" customFormat="1" ht="12.75">
      <c r="A318" s="98" t="s">
        <v>81</v>
      </c>
      <c r="B318" s="98" t="s">
        <v>101</v>
      </c>
      <c r="C318" s="99" t="s">
        <v>100</v>
      </c>
      <c r="D318" s="47">
        <v>9</v>
      </c>
      <c r="E318" s="209">
        <f t="shared" si="8"/>
        <v>75155</v>
      </c>
      <c r="F318" s="210">
        <v>65950</v>
      </c>
      <c r="G318" s="210">
        <v>9139</v>
      </c>
      <c r="H318" s="211">
        <v>66</v>
      </c>
      <c r="I318" s="211">
        <v>0</v>
      </c>
      <c r="J318" s="210"/>
      <c r="K318" s="211"/>
      <c r="L318" s="212">
        <f t="shared" si="9"/>
        <v>0</v>
      </c>
      <c r="M318" s="210"/>
      <c r="N318" s="210"/>
      <c r="O318" s="211"/>
      <c r="P318" s="211">
        <v>0</v>
      </c>
      <c r="Q318" s="210"/>
      <c r="R318" s="211"/>
    </row>
    <row r="319" spans="1:18" s="213" customFormat="1" ht="12.75">
      <c r="A319" s="98" t="s">
        <v>81</v>
      </c>
      <c r="B319" s="98" t="s">
        <v>99</v>
      </c>
      <c r="C319" s="99" t="s">
        <v>98</v>
      </c>
      <c r="D319" s="47">
        <v>9</v>
      </c>
      <c r="E319" s="209">
        <f t="shared" si="8"/>
        <v>158085</v>
      </c>
      <c r="F319" s="210">
        <v>138077</v>
      </c>
      <c r="G319" s="210">
        <v>4614</v>
      </c>
      <c r="H319" s="211">
        <v>9980</v>
      </c>
      <c r="I319" s="211">
        <v>258</v>
      </c>
      <c r="J319" s="210">
        <v>5156</v>
      </c>
      <c r="K319" s="211"/>
      <c r="L319" s="212">
        <f t="shared" si="9"/>
        <v>0</v>
      </c>
      <c r="M319" s="210"/>
      <c r="N319" s="210"/>
      <c r="O319" s="211"/>
      <c r="P319" s="211">
        <v>0</v>
      </c>
      <c r="Q319" s="210"/>
      <c r="R319" s="211"/>
    </row>
    <row r="320" spans="1:18" s="213" customFormat="1" ht="12.75">
      <c r="A320" s="98" t="s">
        <v>81</v>
      </c>
      <c r="B320" s="98" t="s">
        <v>97</v>
      </c>
      <c r="C320" s="99" t="s">
        <v>96</v>
      </c>
      <c r="D320" s="47">
        <v>10</v>
      </c>
      <c r="E320" s="209">
        <f t="shared" si="8"/>
        <v>23108</v>
      </c>
      <c r="F320" s="210">
        <v>17830</v>
      </c>
      <c r="G320" s="210">
        <v>566</v>
      </c>
      <c r="H320" s="211"/>
      <c r="I320" s="211">
        <v>186</v>
      </c>
      <c r="J320" s="210">
        <v>4526</v>
      </c>
      <c r="K320" s="211"/>
      <c r="L320" s="212">
        <f t="shared" si="9"/>
        <v>0</v>
      </c>
      <c r="M320" s="210"/>
      <c r="N320" s="210"/>
      <c r="O320" s="211"/>
      <c r="P320" s="211">
        <v>0</v>
      </c>
      <c r="Q320" s="210"/>
      <c r="R320" s="211"/>
    </row>
    <row r="321" spans="1:18" s="213" customFormat="1" ht="12.75">
      <c r="A321" s="98" t="s">
        <v>81</v>
      </c>
      <c r="B321" s="98" t="s">
        <v>95</v>
      </c>
      <c r="C321" s="99" t="s">
        <v>94</v>
      </c>
      <c r="D321" s="47">
        <v>10</v>
      </c>
      <c r="E321" s="209">
        <f t="shared" si="8"/>
        <v>46831</v>
      </c>
      <c r="F321" s="210">
        <v>40031</v>
      </c>
      <c r="G321" s="210">
        <v>2325</v>
      </c>
      <c r="H321" s="211">
        <v>460</v>
      </c>
      <c r="I321" s="211">
        <v>4015</v>
      </c>
      <c r="J321" s="210"/>
      <c r="K321" s="211"/>
      <c r="L321" s="212">
        <f t="shared" si="9"/>
        <v>0</v>
      </c>
      <c r="M321" s="210"/>
      <c r="N321" s="210"/>
      <c r="O321" s="211"/>
      <c r="P321" s="211">
        <v>0</v>
      </c>
      <c r="Q321" s="210"/>
      <c r="R321" s="211"/>
    </row>
    <row r="322" spans="1:18" s="213" customFormat="1" ht="12.75">
      <c r="A322" s="98" t="s">
        <v>81</v>
      </c>
      <c r="B322" s="98" t="s">
        <v>93</v>
      </c>
      <c r="C322" s="99" t="s">
        <v>92</v>
      </c>
      <c r="D322" s="47">
        <v>10</v>
      </c>
      <c r="E322" s="209">
        <f t="shared" si="8"/>
        <v>43973</v>
      </c>
      <c r="F322" s="210">
        <v>42457</v>
      </c>
      <c r="G322" s="210">
        <v>551</v>
      </c>
      <c r="H322" s="211">
        <v>254</v>
      </c>
      <c r="I322" s="211">
        <v>711</v>
      </c>
      <c r="J322" s="210"/>
      <c r="K322" s="211"/>
      <c r="L322" s="212">
        <f t="shared" si="9"/>
        <v>0</v>
      </c>
      <c r="M322" s="210"/>
      <c r="N322" s="210"/>
      <c r="O322" s="211"/>
      <c r="P322" s="211">
        <v>0</v>
      </c>
      <c r="Q322" s="210"/>
      <c r="R322" s="211"/>
    </row>
    <row r="323" spans="1:18" s="213" customFormat="1" ht="12.75">
      <c r="A323" s="98" t="s">
        <v>81</v>
      </c>
      <c r="B323" s="98" t="s">
        <v>91</v>
      </c>
      <c r="C323" s="99" t="s">
        <v>90</v>
      </c>
      <c r="D323" s="47">
        <v>10</v>
      </c>
      <c r="E323" s="209">
        <f t="shared" si="8"/>
        <v>45086</v>
      </c>
      <c r="F323" s="210">
        <v>37172</v>
      </c>
      <c r="G323" s="210">
        <v>2576</v>
      </c>
      <c r="H323" s="211">
        <v>2079</v>
      </c>
      <c r="I323" s="211">
        <v>2740</v>
      </c>
      <c r="J323" s="210">
        <v>519</v>
      </c>
      <c r="K323" s="211"/>
      <c r="L323" s="212">
        <f t="shared" si="9"/>
        <v>0</v>
      </c>
      <c r="M323" s="210"/>
      <c r="N323" s="210"/>
      <c r="O323" s="211"/>
      <c r="P323" s="211">
        <v>0</v>
      </c>
      <c r="Q323" s="210"/>
      <c r="R323" s="211"/>
    </row>
    <row r="324" spans="1:18" s="213" customFormat="1" ht="12.75">
      <c r="A324" s="98" t="s">
        <v>81</v>
      </c>
      <c r="B324" s="98" t="s">
        <v>89</v>
      </c>
      <c r="C324" s="99" t="s">
        <v>88</v>
      </c>
      <c r="D324" s="47">
        <v>10</v>
      </c>
      <c r="E324" s="209">
        <f aca="true" t="shared" si="10" ref="E324:E387">SUM(F324:K324)</f>
        <v>50260</v>
      </c>
      <c r="F324" s="210">
        <v>47744</v>
      </c>
      <c r="G324" s="210">
        <v>395</v>
      </c>
      <c r="H324" s="211">
        <v>1701</v>
      </c>
      <c r="I324" s="211">
        <v>420</v>
      </c>
      <c r="J324" s="210"/>
      <c r="K324" s="211"/>
      <c r="L324" s="212">
        <f aca="true" t="shared" si="11" ref="L324:L387">SUM(M324:R324)</f>
        <v>0</v>
      </c>
      <c r="M324" s="210"/>
      <c r="N324" s="210"/>
      <c r="O324" s="211"/>
      <c r="P324" s="211">
        <v>0</v>
      </c>
      <c r="Q324" s="210"/>
      <c r="R324" s="211"/>
    </row>
    <row r="325" spans="1:18" s="213" customFormat="1" ht="12.75">
      <c r="A325" s="98" t="s">
        <v>81</v>
      </c>
      <c r="B325" s="98" t="s">
        <v>87</v>
      </c>
      <c r="C325" s="99" t="s">
        <v>86</v>
      </c>
      <c r="D325" s="47">
        <v>10</v>
      </c>
      <c r="E325" s="209">
        <f t="shared" si="10"/>
        <v>42909</v>
      </c>
      <c r="F325" s="210">
        <v>32967</v>
      </c>
      <c r="G325" s="210">
        <v>4428</v>
      </c>
      <c r="H325" s="211">
        <v>3267</v>
      </c>
      <c r="I325" s="211">
        <v>822</v>
      </c>
      <c r="J325" s="210">
        <v>1425</v>
      </c>
      <c r="K325" s="211"/>
      <c r="L325" s="212">
        <f t="shared" si="11"/>
        <v>0</v>
      </c>
      <c r="M325" s="210"/>
      <c r="N325" s="210"/>
      <c r="O325" s="211"/>
      <c r="P325" s="211">
        <v>0</v>
      </c>
      <c r="Q325" s="210"/>
      <c r="R325" s="211"/>
    </row>
    <row r="326" spans="1:18" s="213" customFormat="1" ht="12.75">
      <c r="A326" s="98" t="s">
        <v>81</v>
      </c>
      <c r="B326" s="98" t="s">
        <v>83</v>
      </c>
      <c r="C326" s="99" t="s">
        <v>82</v>
      </c>
      <c r="D326" s="47">
        <v>10</v>
      </c>
      <c r="E326" s="209">
        <f t="shared" si="10"/>
        <v>45561</v>
      </c>
      <c r="F326" s="210">
        <v>39698</v>
      </c>
      <c r="G326" s="210">
        <v>5002</v>
      </c>
      <c r="H326" s="211">
        <v>456</v>
      </c>
      <c r="I326" s="211">
        <v>0</v>
      </c>
      <c r="J326" s="210">
        <v>405</v>
      </c>
      <c r="K326" s="211"/>
      <c r="L326" s="212">
        <f t="shared" si="11"/>
        <v>0</v>
      </c>
      <c r="M326" s="210"/>
      <c r="N326" s="210"/>
      <c r="O326" s="211"/>
      <c r="P326" s="211">
        <v>0</v>
      </c>
      <c r="Q326" s="210"/>
      <c r="R326" s="211"/>
    </row>
    <row r="327" spans="1:18" s="213" customFormat="1" ht="12.75">
      <c r="A327" s="101" t="s">
        <v>81</v>
      </c>
      <c r="B327" s="101" t="s">
        <v>80</v>
      </c>
      <c r="C327" s="102">
        <v>208035</v>
      </c>
      <c r="D327" s="103">
        <v>10</v>
      </c>
      <c r="E327" s="209">
        <f t="shared" si="10"/>
        <v>42634</v>
      </c>
      <c r="F327" s="210">
        <v>29321</v>
      </c>
      <c r="G327" s="210">
        <v>7517</v>
      </c>
      <c r="H327" s="211">
        <v>3822</v>
      </c>
      <c r="I327" s="211">
        <v>1176</v>
      </c>
      <c r="J327" s="210">
        <v>798</v>
      </c>
      <c r="K327" s="211"/>
      <c r="L327" s="212">
        <f t="shared" si="11"/>
        <v>0</v>
      </c>
      <c r="M327" s="210"/>
      <c r="N327" s="210"/>
      <c r="O327" s="211"/>
      <c r="P327" s="211">
        <v>0</v>
      </c>
      <c r="Q327" s="210"/>
      <c r="R327" s="211"/>
    </row>
    <row r="328" spans="1:18" s="227" customFormat="1" ht="12.75">
      <c r="A328" s="104" t="s">
        <v>518</v>
      </c>
      <c r="B328" s="61"/>
      <c r="C328" s="62"/>
      <c r="D328" s="26">
        <v>1</v>
      </c>
      <c r="E328" s="209">
        <f t="shared" si="10"/>
        <v>0</v>
      </c>
      <c r="F328" s="225"/>
      <c r="G328" s="225"/>
      <c r="H328" s="226"/>
      <c r="I328" s="211">
        <v>0</v>
      </c>
      <c r="J328" s="240"/>
      <c r="K328" s="226"/>
      <c r="L328" s="212">
        <f t="shared" si="11"/>
        <v>0</v>
      </c>
      <c r="M328" s="225"/>
      <c r="N328" s="225"/>
      <c r="O328" s="226"/>
      <c r="P328" s="211">
        <v>0</v>
      </c>
      <c r="Q328" s="240"/>
      <c r="R328" s="226"/>
    </row>
    <row r="329" spans="1:18" s="244" customFormat="1" ht="12.75">
      <c r="A329" s="91" t="s">
        <v>519</v>
      </c>
      <c r="B329" s="91"/>
      <c r="C329" s="105"/>
      <c r="D329" s="35">
        <v>1</v>
      </c>
      <c r="E329" s="209">
        <f t="shared" si="10"/>
        <v>0</v>
      </c>
      <c r="F329" s="241"/>
      <c r="G329" s="241"/>
      <c r="H329" s="242"/>
      <c r="I329" s="211">
        <v>0</v>
      </c>
      <c r="J329" s="243"/>
      <c r="K329" s="242"/>
      <c r="L329" s="212">
        <f t="shared" si="11"/>
        <v>0</v>
      </c>
      <c r="M329" s="241"/>
      <c r="N329" s="241"/>
      <c r="O329" s="242"/>
      <c r="P329" s="211">
        <v>0</v>
      </c>
      <c r="Q329" s="243"/>
      <c r="R329" s="242"/>
    </row>
    <row r="330" spans="1:18" s="239" customFormat="1" ht="12.75">
      <c r="A330" s="63" t="s">
        <v>177</v>
      </c>
      <c r="B330" s="63" t="s">
        <v>178</v>
      </c>
      <c r="C330" s="64">
        <v>228723</v>
      </c>
      <c r="D330" s="65">
        <v>1</v>
      </c>
      <c r="E330" s="209">
        <f t="shared" si="10"/>
        <v>1003597</v>
      </c>
      <c r="F330" s="245">
        <v>998857</v>
      </c>
      <c r="G330" s="245">
        <v>4083</v>
      </c>
      <c r="H330" s="237">
        <v>657</v>
      </c>
      <c r="I330" s="246">
        <v>0</v>
      </c>
      <c r="J330" s="247">
        <v>0</v>
      </c>
      <c r="K330" s="246"/>
      <c r="L330" s="238">
        <f t="shared" si="11"/>
        <v>150837</v>
      </c>
      <c r="M330" s="245">
        <v>143852</v>
      </c>
      <c r="N330" s="245">
        <v>3083</v>
      </c>
      <c r="O330" s="237">
        <v>2651</v>
      </c>
      <c r="P330" s="246">
        <v>828</v>
      </c>
      <c r="Q330" s="247">
        <v>423</v>
      </c>
      <c r="R330" s="246"/>
    </row>
    <row r="331" spans="1:18" s="239" customFormat="1" ht="12.75">
      <c r="A331" s="63" t="s">
        <v>177</v>
      </c>
      <c r="B331" s="63" t="s">
        <v>179</v>
      </c>
      <c r="C331" s="64">
        <v>229115</v>
      </c>
      <c r="D331" s="65">
        <v>1</v>
      </c>
      <c r="E331" s="209">
        <f t="shared" si="10"/>
        <v>657813</v>
      </c>
      <c r="F331" s="245">
        <v>643071</v>
      </c>
      <c r="G331" s="245">
        <v>689</v>
      </c>
      <c r="H331" s="237">
        <v>11675</v>
      </c>
      <c r="I331" s="246">
        <v>2290</v>
      </c>
      <c r="J331" s="247">
        <v>88</v>
      </c>
      <c r="K331" s="246"/>
      <c r="L331" s="238">
        <f t="shared" si="11"/>
        <v>102021</v>
      </c>
      <c r="M331" s="245">
        <v>95183</v>
      </c>
      <c r="N331" s="245">
        <v>919</v>
      </c>
      <c r="O331" s="237">
        <v>4303</v>
      </c>
      <c r="P331" s="246">
        <v>959</v>
      </c>
      <c r="Q331" s="247">
        <v>657</v>
      </c>
      <c r="R331" s="246"/>
    </row>
    <row r="332" spans="1:18" s="239" customFormat="1" ht="12.75">
      <c r="A332" s="63" t="s">
        <v>177</v>
      </c>
      <c r="B332" s="63" t="s">
        <v>180</v>
      </c>
      <c r="C332" s="64">
        <v>225511</v>
      </c>
      <c r="D332" s="65">
        <v>1</v>
      </c>
      <c r="E332" s="209">
        <f t="shared" si="10"/>
        <v>681664</v>
      </c>
      <c r="F332" s="245">
        <v>643948</v>
      </c>
      <c r="G332" s="245">
        <v>3595</v>
      </c>
      <c r="H332" s="237">
        <v>15053</v>
      </c>
      <c r="I332" s="246">
        <v>645</v>
      </c>
      <c r="J332" s="247">
        <v>18423</v>
      </c>
      <c r="K332" s="246"/>
      <c r="L332" s="238">
        <f t="shared" si="11"/>
        <v>165569</v>
      </c>
      <c r="M332" s="245">
        <v>156574</v>
      </c>
      <c r="N332" s="245">
        <v>4522</v>
      </c>
      <c r="O332" s="237">
        <v>3092</v>
      </c>
      <c r="P332" s="246">
        <v>396</v>
      </c>
      <c r="Q332" s="247">
        <v>985</v>
      </c>
      <c r="R332" s="246"/>
    </row>
    <row r="333" spans="1:18" s="239" customFormat="1" ht="12.75">
      <c r="A333" s="63" t="s">
        <v>177</v>
      </c>
      <c r="B333" s="63" t="s">
        <v>181</v>
      </c>
      <c r="C333" s="64">
        <v>227216</v>
      </c>
      <c r="D333" s="65">
        <v>1</v>
      </c>
      <c r="E333" s="209">
        <f t="shared" si="10"/>
        <v>653124</v>
      </c>
      <c r="F333" s="245">
        <v>612417</v>
      </c>
      <c r="G333" s="245">
        <v>11658</v>
      </c>
      <c r="H333" s="237">
        <v>28651</v>
      </c>
      <c r="I333" s="246">
        <v>398</v>
      </c>
      <c r="J333" s="247">
        <v>0</v>
      </c>
      <c r="K333" s="246"/>
      <c r="L333" s="238">
        <f t="shared" si="11"/>
        <v>102594</v>
      </c>
      <c r="M333" s="245">
        <v>69070</v>
      </c>
      <c r="N333" s="245">
        <v>6159</v>
      </c>
      <c r="O333" s="237">
        <v>25468</v>
      </c>
      <c r="P333" s="246">
        <v>1897</v>
      </c>
      <c r="Q333" s="247">
        <v>0</v>
      </c>
      <c r="R333" s="246"/>
    </row>
    <row r="334" spans="1:18" s="239" customFormat="1" ht="12.75">
      <c r="A334" s="63" t="s">
        <v>177</v>
      </c>
      <c r="B334" s="63" t="s">
        <v>182</v>
      </c>
      <c r="C334" s="64">
        <v>228778</v>
      </c>
      <c r="D334" s="65">
        <v>1</v>
      </c>
      <c r="E334" s="209">
        <f t="shared" si="10"/>
        <v>1060667</v>
      </c>
      <c r="F334" s="245">
        <v>1058777</v>
      </c>
      <c r="G334" s="245">
        <v>1890</v>
      </c>
      <c r="H334" s="237">
        <v>0</v>
      </c>
      <c r="I334" s="246">
        <v>0</v>
      </c>
      <c r="J334" s="247">
        <v>0</v>
      </c>
      <c r="K334" s="246"/>
      <c r="L334" s="238">
        <f t="shared" si="11"/>
        <v>275578</v>
      </c>
      <c r="M334" s="245">
        <v>275488</v>
      </c>
      <c r="N334" s="245">
        <v>90</v>
      </c>
      <c r="O334" s="237">
        <v>0</v>
      </c>
      <c r="P334" s="246">
        <v>0</v>
      </c>
      <c r="Q334" s="247">
        <v>0</v>
      </c>
      <c r="R334" s="246"/>
    </row>
    <row r="335" spans="1:18" s="239" customFormat="1" ht="12.75">
      <c r="A335" s="63" t="s">
        <v>177</v>
      </c>
      <c r="B335" s="63" t="s">
        <v>183</v>
      </c>
      <c r="C335" s="64">
        <v>229179</v>
      </c>
      <c r="D335" s="65">
        <v>2</v>
      </c>
      <c r="E335" s="209">
        <f t="shared" si="10"/>
        <v>141387</v>
      </c>
      <c r="F335" s="245">
        <v>134091</v>
      </c>
      <c r="G335" s="245">
        <v>1030</v>
      </c>
      <c r="H335" s="237">
        <v>5687</v>
      </c>
      <c r="I335" s="246">
        <v>579</v>
      </c>
      <c r="J335" s="247">
        <v>0</v>
      </c>
      <c r="K335" s="246"/>
      <c r="L335" s="238">
        <f t="shared" si="11"/>
        <v>69087</v>
      </c>
      <c r="M335" s="245">
        <v>46804</v>
      </c>
      <c r="N335" s="245">
        <v>4170</v>
      </c>
      <c r="O335" s="237">
        <v>16329</v>
      </c>
      <c r="P335" s="246">
        <v>1784</v>
      </c>
      <c r="Q335" s="247">
        <v>0</v>
      </c>
      <c r="R335" s="246"/>
    </row>
    <row r="336" spans="1:18" s="239" customFormat="1" ht="12.75">
      <c r="A336" s="63" t="s">
        <v>177</v>
      </c>
      <c r="B336" s="63" t="s">
        <v>184</v>
      </c>
      <c r="C336" s="64">
        <v>228769</v>
      </c>
      <c r="D336" s="65">
        <v>2</v>
      </c>
      <c r="E336" s="209">
        <f t="shared" si="10"/>
        <v>473407</v>
      </c>
      <c r="F336" s="245">
        <v>459647</v>
      </c>
      <c r="G336" s="245">
        <v>3877</v>
      </c>
      <c r="H336" s="237">
        <v>9868</v>
      </c>
      <c r="I336" s="246">
        <v>0</v>
      </c>
      <c r="J336" s="247">
        <v>15</v>
      </c>
      <c r="K336" s="246"/>
      <c r="L336" s="238">
        <f t="shared" si="11"/>
        <v>101207</v>
      </c>
      <c r="M336" s="245">
        <v>93184</v>
      </c>
      <c r="N336" s="245">
        <v>1782</v>
      </c>
      <c r="O336" s="237">
        <v>5776</v>
      </c>
      <c r="P336" s="246">
        <v>0</v>
      </c>
      <c r="Q336" s="247">
        <v>465</v>
      </c>
      <c r="R336" s="246"/>
    </row>
    <row r="337" spans="1:18" s="239" customFormat="1" ht="12.75">
      <c r="A337" s="63" t="s">
        <v>177</v>
      </c>
      <c r="B337" s="63" t="s">
        <v>185</v>
      </c>
      <c r="C337" s="64">
        <v>228787</v>
      </c>
      <c r="D337" s="65">
        <v>2</v>
      </c>
      <c r="E337" s="209">
        <f t="shared" si="10"/>
        <v>223831</v>
      </c>
      <c r="F337" s="245">
        <v>222182</v>
      </c>
      <c r="G337" s="245">
        <v>300</v>
      </c>
      <c r="H337" s="237">
        <v>485</v>
      </c>
      <c r="I337" s="246">
        <v>0</v>
      </c>
      <c r="J337" s="247">
        <v>864</v>
      </c>
      <c r="K337" s="246"/>
      <c r="L337" s="238">
        <f t="shared" si="11"/>
        <v>82166</v>
      </c>
      <c r="M337" s="245">
        <v>76664</v>
      </c>
      <c r="N337" s="245">
        <v>939</v>
      </c>
      <c r="O337" s="237">
        <v>3321</v>
      </c>
      <c r="P337" s="246">
        <v>0</v>
      </c>
      <c r="Q337" s="247">
        <v>1242</v>
      </c>
      <c r="R337" s="246"/>
    </row>
    <row r="338" spans="1:18" s="239" customFormat="1" ht="12.75">
      <c r="A338" s="63" t="s">
        <v>177</v>
      </c>
      <c r="B338" s="63" t="s">
        <v>186</v>
      </c>
      <c r="C338" s="64">
        <v>222831</v>
      </c>
      <c r="D338" s="65">
        <v>3</v>
      </c>
      <c r="E338" s="209">
        <f t="shared" si="10"/>
        <v>155794</v>
      </c>
      <c r="F338" s="245">
        <v>153751</v>
      </c>
      <c r="G338" s="245">
        <v>1143</v>
      </c>
      <c r="H338" s="237">
        <v>900</v>
      </c>
      <c r="I338" s="246">
        <v>0</v>
      </c>
      <c r="J338" s="247">
        <v>0</v>
      </c>
      <c r="K338" s="246"/>
      <c r="L338" s="238">
        <f t="shared" si="11"/>
        <v>7465</v>
      </c>
      <c r="M338" s="245">
        <v>7390</v>
      </c>
      <c r="N338" s="245">
        <v>0</v>
      </c>
      <c r="O338" s="237">
        <v>75</v>
      </c>
      <c r="P338" s="246">
        <v>0</v>
      </c>
      <c r="Q338" s="247">
        <v>0</v>
      </c>
      <c r="R338" s="246"/>
    </row>
    <row r="339" spans="1:18" s="239" customFormat="1" ht="12.75">
      <c r="A339" s="63" t="s">
        <v>177</v>
      </c>
      <c r="B339" s="63" t="s">
        <v>187</v>
      </c>
      <c r="C339" s="64">
        <v>226091</v>
      </c>
      <c r="D339" s="65">
        <v>3</v>
      </c>
      <c r="E339" s="209">
        <f t="shared" si="10"/>
        <v>223983</v>
      </c>
      <c r="F339" s="245">
        <v>211854</v>
      </c>
      <c r="G339" s="245">
        <v>4242</v>
      </c>
      <c r="H339" s="237">
        <v>1737</v>
      </c>
      <c r="I339" s="246">
        <v>1785</v>
      </c>
      <c r="J339" s="247">
        <v>4365</v>
      </c>
      <c r="K339" s="246"/>
      <c r="L339" s="238">
        <f t="shared" si="11"/>
        <v>26027</v>
      </c>
      <c r="M339" s="245">
        <v>25667</v>
      </c>
      <c r="N339" s="245">
        <v>24</v>
      </c>
      <c r="O339" s="237">
        <v>150</v>
      </c>
      <c r="P339" s="246">
        <v>141</v>
      </c>
      <c r="Q339" s="247">
        <v>45</v>
      </c>
      <c r="R339" s="246"/>
    </row>
    <row r="340" spans="1:18" s="239" customFormat="1" ht="12.75">
      <c r="A340" s="63" t="s">
        <v>177</v>
      </c>
      <c r="B340" s="63" t="s">
        <v>188</v>
      </c>
      <c r="C340" s="64">
        <v>226833</v>
      </c>
      <c r="D340" s="65">
        <v>3</v>
      </c>
      <c r="E340" s="209">
        <f t="shared" si="10"/>
        <v>147906</v>
      </c>
      <c r="F340" s="245">
        <v>133239</v>
      </c>
      <c r="G340" s="245">
        <v>3546</v>
      </c>
      <c r="H340" s="237">
        <v>10299</v>
      </c>
      <c r="I340" s="246">
        <v>54</v>
      </c>
      <c r="J340" s="247">
        <v>768</v>
      </c>
      <c r="K340" s="246"/>
      <c r="L340" s="238">
        <f t="shared" si="11"/>
        <v>10129</v>
      </c>
      <c r="M340" s="245">
        <v>7834</v>
      </c>
      <c r="N340" s="245">
        <v>846</v>
      </c>
      <c r="O340" s="237">
        <v>1287</v>
      </c>
      <c r="P340" s="246">
        <v>162</v>
      </c>
      <c r="Q340" s="247">
        <v>0</v>
      </c>
      <c r="R340" s="246"/>
    </row>
    <row r="341" spans="1:18" s="239" customFormat="1" ht="12.75">
      <c r="A341" s="63" t="s">
        <v>177</v>
      </c>
      <c r="B341" s="63" t="s">
        <v>189</v>
      </c>
      <c r="C341" s="64">
        <v>227526</v>
      </c>
      <c r="D341" s="65">
        <v>3</v>
      </c>
      <c r="E341" s="209">
        <f t="shared" si="10"/>
        <v>170032</v>
      </c>
      <c r="F341" s="245">
        <v>162087</v>
      </c>
      <c r="G341" s="245">
        <v>6715</v>
      </c>
      <c r="H341" s="237">
        <v>868</v>
      </c>
      <c r="I341" s="246">
        <v>362</v>
      </c>
      <c r="J341" s="247">
        <v>0</v>
      </c>
      <c r="K341" s="246"/>
      <c r="L341" s="238">
        <f t="shared" si="11"/>
        <v>33245</v>
      </c>
      <c r="M341" s="245">
        <v>24016</v>
      </c>
      <c r="N341" s="245">
        <v>8776</v>
      </c>
      <c r="O341" s="237">
        <v>453</v>
      </c>
      <c r="P341" s="246">
        <v>0</v>
      </c>
      <c r="Q341" s="247">
        <v>0</v>
      </c>
      <c r="R341" s="246"/>
    </row>
    <row r="342" spans="1:18" s="239" customFormat="1" ht="12.75">
      <c r="A342" s="63" t="s">
        <v>177</v>
      </c>
      <c r="B342" s="63" t="s">
        <v>190</v>
      </c>
      <c r="C342" s="64">
        <v>227881</v>
      </c>
      <c r="D342" s="65">
        <v>3</v>
      </c>
      <c r="E342" s="209">
        <f t="shared" si="10"/>
        <v>325627</v>
      </c>
      <c r="F342" s="245">
        <v>307567</v>
      </c>
      <c r="G342" s="245">
        <v>12816</v>
      </c>
      <c r="H342" s="237">
        <v>4971</v>
      </c>
      <c r="I342" s="246">
        <v>273</v>
      </c>
      <c r="J342" s="247">
        <v>0</v>
      </c>
      <c r="K342" s="246"/>
      <c r="L342" s="238">
        <f t="shared" si="11"/>
        <v>29219</v>
      </c>
      <c r="M342" s="245">
        <v>17474</v>
      </c>
      <c r="N342" s="245">
        <v>9816</v>
      </c>
      <c r="O342" s="237">
        <v>1260</v>
      </c>
      <c r="P342" s="246">
        <v>669</v>
      </c>
      <c r="Q342" s="247">
        <v>0</v>
      </c>
      <c r="R342" s="246"/>
    </row>
    <row r="343" spans="1:18" s="239" customFormat="1" ht="12.75">
      <c r="A343" s="63" t="s">
        <v>177</v>
      </c>
      <c r="B343" s="106" t="s">
        <v>520</v>
      </c>
      <c r="C343" s="64">
        <v>228459</v>
      </c>
      <c r="D343" s="65">
        <v>3</v>
      </c>
      <c r="E343" s="209">
        <f t="shared" si="10"/>
        <v>602273</v>
      </c>
      <c r="F343" s="245">
        <v>585643</v>
      </c>
      <c r="G343" s="245">
        <v>13183</v>
      </c>
      <c r="H343" s="237">
        <v>2663</v>
      </c>
      <c r="I343" s="246">
        <v>72</v>
      </c>
      <c r="J343" s="247">
        <v>712</v>
      </c>
      <c r="K343" s="246"/>
      <c r="L343" s="238">
        <f t="shared" si="11"/>
        <v>64851</v>
      </c>
      <c r="M343" s="245">
        <v>48267</v>
      </c>
      <c r="N343" s="245">
        <v>11610</v>
      </c>
      <c r="O343" s="237">
        <v>3927</v>
      </c>
      <c r="P343" s="246">
        <v>993</v>
      </c>
      <c r="Q343" s="247">
        <v>54</v>
      </c>
      <c r="R343" s="246"/>
    </row>
    <row r="344" spans="1:18" s="239" customFormat="1" ht="12.75">
      <c r="A344" s="63" t="s">
        <v>177</v>
      </c>
      <c r="B344" s="63" t="s">
        <v>191</v>
      </c>
      <c r="C344" s="64">
        <v>228431</v>
      </c>
      <c r="D344" s="65">
        <v>3</v>
      </c>
      <c r="E344" s="209">
        <f t="shared" si="10"/>
        <v>287464</v>
      </c>
      <c r="F344" s="245">
        <v>281489</v>
      </c>
      <c r="G344" s="245">
        <v>672</v>
      </c>
      <c r="H344" s="237">
        <v>5177</v>
      </c>
      <c r="I344" s="246">
        <v>126</v>
      </c>
      <c r="J344" s="247">
        <v>0</v>
      </c>
      <c r="K344" s="246"/>
      <c r="L344" s="238">
        <f t="shared" si="11"/>
        <v>27509</v>
      </c>
      <c r="M344" s="245">
        <v>18172</v>
      </c>
      <c r="N344" s="245">
        <v>5063</v>
      </c>
      <c r="O344" s="237">
        <v>3554</v>
      </c>
      <c r="P344" s="246">
        <v>441</v>
      </c>
      <c r="Q344" s="247">
        <v>279</v>
      </c>
      <c r="R344" s="246"/>
    </row>
    <row r="345" spans="1:18" s="239" customFormat="1" ht="12.75">
      <c r="A345" s="63" t="s">
        <v>177</v>
      </c>
      <c r="B345" s="63" t="s">
        <v>192</v>
      </c>
      <c r="C345" s="64">
        <v>228501</v>
      </c>
      <c r="D345" s="65">
        <v>3</v>
      </c>
      <c r="E345" s="209">
        <f t="shared" si="10"/>
        <v>45885</v>
      </c>
      <c r="F345" s="245">
        <v>43780</v>
      </c>
      <c r="G345" s="245">
        <v>213</v>
      </c>
      <c r="H345" s="237">
        <v>1356</v>
      </c>
      <c r="I345" s="246">
        <v>260</v>
      </c>
      <c r="J345" s="247">
        <v>276</v>
      </c>
      <c r="K345" s="246"/>
      <c r="L345" s="238">
        <f t="shared" si="11"/>
        <v>8201</v>
      </c>
      <c r="M345" s="245">
        <v>7244</v>
      </c>
      <c r="N345" s="245">
        <v>285</v>
      </c>
      <c r="O345" s="237">
        <v>387</v>
      </c>
      <c r="P345" s="246">
        <v>48</v>
      </c>
      <c r="Q345" s="247">
        <v>237</v>
      </c>
      <c r="R345" s="246"/>
    </row>
    <row r="346" spans="1:18" s="239" customFormat="1" ht="12.75">
      <c r="A346" s="63" t="s">
        <v>177</v>
      </c>
      <c r="B346" s="63" t="s">
        <v>193</v>
      </c>
      <c r="C346" s="64">
        <v>228529</v>
      </c>
      <c r="D346" s="65">
        <v>3</v>
      </c>
      <c r="E346" s="209">
        <f t="shared" si="10"/>
        <v>201881</v>
      </c>
      <c r="F346" s="245">
        <v>168059</v>
      </c>
      <c r="G346" s="245">
        <v>27418</v>
      </c>
      <c r="H346" s="237">
        <v>4524</v>
      </c>
      <c r="I346" s="246">
        <v>1880</v>
      </c>
      <c r="J346" s="247">
        <v>0</v>
      </c>
      <c r="K346" s="246"/>
      <c r="L346" s="238">
        <f t="shared" si="11"/>
        <v>20751</v>
      </c>
      <c r="M346" s="245">
        <v>7633</v>
      </c>
      <c r="N346" s="245">
        <v>10592</v>
      </c>
      <c r="O346" s="237">
        <v>2319</v>
      </c>
      <c r="P346" s="246">
        <v>207</v>
      </c>
      <c r="Q346" s="247">
        <v>0</v>
      </c>
      <c r="R346" s="246"/>
    </row>
    <row r="347" spans="1:18" s="239" customFormat="1" ht="12.75">
      <c r="A347" s="63" t="s">
        <v>177</v>
      </c>
      <c r="B347" s="63" t="s">
        <v>194</v>
      </c>
      <c r="C347" s="64">
        <v>224554</v>
      </c>
      <c r="D347" s="65">
        <v>3</v>
      </c>
      <c r="E347" s="209">
        <f t="shared" si="10"/>
        <v>144503</v>
      </c>
      <c r="F347" s="245">
        <v>128389</v>
      </c>
      <c r="G347" s="245">
        <v>12368</v>
      </c>
      <c r="H347" s="237">
        <v>3116</v>
      </c>
      <c r="I347" s="246">
        <v>630</v>
      </c>
      <c r="J347" s="247">
        <v>0</v>
      </c>
      <c r="K347" s="246"/>
      <c r="L347" s="238">
        <f t="shared" si="11"/>
        <v>50774</v>
      </c>
      <c r="M347" s="245">
        <v>21284</v>
      </c>
      <c r="N347" s="245">
        <v>23397</v>
      </c>
      <c r="O347" s="237">
        <v>3855</v>
      </c>
      <c r="P347" s="246">
        <v>2238</v>
      </c>
      <c r="Q347" s="247">
        <v>0</v>
      </c>
      <c r="R347" s="246"/>
    </row>
    <row r="348" spans="1:18" s="239" customFormat="1" ht="12.75">
      <c r="A348" s="63" t="s">
        <v>177</v>
      </c>
      <c r="B348" s="63" t="s">
        <v>195</v>
      </c>
      <c r="C348" s="64">
        <v>224147</v>
      </c>
      <c r="D348" s="65">
        <v>3</v>
      </c>
      <c r="E348" s="209">
        <f t="shared" si="10"/>
        <v>175848</v>
      </c>
      <c r="F348" s="245">
        <v>174134</v>
      </c>
      <c r="G348" s="245">
        <v>159</v>
      </c>
      <c r="H348" s="237">
        <v>1555</v>
      </c>
      <c r="I348" s="246">
        <v>0</v>
      </c>
      <c r="J348" s="247">
        <v>0</v>
      </c>
      <c r="K348" s="246"/>
      <c r="L348" s="238">
        <f t="shared" si="11"/>
        <v>23175</v>
      </c>
      <c r="M348" s="245">
        <v>21846</v>
      </c>
      <c r="N348" s="245">
        <v>1140</v>
      </c>
      <c r="O348" s="237">
        <v>183</v>
      </c>
      <c r="P348" s="246">
        <v>6</v>
      </c>
      <c r="Q348" s="247">
        <v>0</v>
      </c>
      <c r="R348" s="246"/>
    </row>
    <row r="349" spans="1:18" s="239" customFormat="1" ht="12.75">
      <c r="A349" s="63" t="s">
        <v>177</v>
      </c>
      <c r="B349" s="63" t="s">
        <v>196</v>
      </c>
      <c r="C349" s="64">
        <v>228705</v>
      </c>
      <c r="D349" s="65">
        <v>3</v>
      </c>
      <c r="E349" s="209">
        <f t="shared" si="10"/>
        <v>147560</v>
      </c>
      <c r="F349" s="245">
        <v>134011</v>
      </c>
      <c r="G349" s="245">
        <v>12324</v>
      </c>
      <c r="H349" s="237">
        <v>798</v>
      </c>
      <c r="I349" s="246">
        <v>427</v>
      </c>
      <c r="J349" s="247">
        <v>0</v>
      </c>
      <c r="K349" s="246"/>
      <c r="L349" s="238">
        <f t="shared" si="11"/>
        <v>22464</v>
      </c>
      <c r="M349" s="245">
        <v>17643</v>
      </c>
      <c r="N349" s="245">
        <v>2427</v>
      </c>
      <c r="O349" s="237">
        <v>1455</v>
      </c>
      <c r="P349" s="246">
        <v>846</v>
      </c>
      <c r="Q349" s="247">
        <v>93</v>
      </c>
      <c r="R349" s="246"/>
    </row>
    <row r="350" spans="1:18" s="239" customFormat="1" ht="12.75">
      <c r="A350" s="63" t="s">
        <v>177</v>
      </c>
      <c r="B350" s="63" t="s">
        <v>197</v>
      </c>
      <c r="C350" s="64">
        <v>229063</v>
      </c>
      <c r="D350" s="65">
        <v>3</v>
      </c>
      <c r="E350" s="209">
        <f t="shared" si="10"/>
        <v>232225</v>
      </c>
      <c r="F350" s="245">
        <v>232099</v>
      </c>
      <c r="G350" s="245">
        <v>126</v>
      </c>
      <c r="H350" s="237">
        <v>0</v>
      </c>
      <c r="I350" s="246">
        <v>0</v>
      </c>
      <c r="J350" s="247">
        <v>0</v>
      </c>
      <c r="K350" s="246"/>
      <c r="L350" s="238">
        <f t="shared" si="11"/>
        <v>43391</v>
      </c>
      <c r="M350" s="245">
        <v>42798</v>
      </c>
      <c r="N350" s="245">
        <v>542</v>
      </c>
      <c r="O350" s="237">
        <v>0</v>
      </c>
      <c r="P350" s="246">
        <v>0</v>
      </c>
      <c r="Q350" s="247">
        <v>51</v>
      </c>
      <c r="R350" s="246"/>
    </row>
    <row r="351" spans="1:18" s="239" customFormat="1" ht="12.75">
      <c r="A351" s="63" t="s">
        <v>177</v>
      </c>
      <c r="B351" s="63" t="s">
        <v>198</v>
      </c>
      <c r="C351" s="64">
        <v>225414</v>
      </c>
      <c r="D351" s="65">
        <v>3</v>
      </c>
      <c r="E351" s="209">
        <f t="shared" si="10"/>
        <v>93538</v>
      </c>
      <c r="F351" s="245">
        <v>88849</v>
      </c>
      <c r="G351" s="245">
        <v>3648</v>
      </c>
      <c r="H351" s="237">
        <v>1041</v>
      </c>
      <c r="I351" s="246">
        <v>0</v>
      </c>
      <c r="J351" s="247">
        <v>0</v>
      </c>
      <c r="K351" s="246"/>
      <c r="L351" s="238">
        <f t="shared" si="11"/>
        <v>54045</v>
      </c>
      <c r="M351" s="245">
        <v>45471</v>
      </c>
      <c r="N351" s="245">
        <v>4239</v>
      </c>
      <c r="O351" s="237">
        <v>4335</v>
      </c>
      <c r="P351" s="246">
        <v>0</v>
      </c>
      <c r="Q351" s="247">
        <v>0</v>
      </c>
      <c r="R351" s="246"/>
    </row>
    <row r="352" spans="1:18" s="239" customFormat="1" ht="12.75">
      <c r="A352" s="63" t="s">
        <v>177</v>
      </c>
      <c r="B352" s="63" t="s">
        <v>199</v>
      </c>
      <c r="C352" s="64">
        <v>228796</v>
      </c>
      <c r="D352" s="65">
        <v>3</v>
      </c>
      <c r="E352" s="209">
        <f t="shared" si="10"/>
        <v>370170</v>
      </c>
      <c r="F352" s="245">
        <v>363758</v>
      </c>
      <c r="G352" s="245">
        <v>5548</v>
      </c>
      <c r="H352" s="237">
        <v>132</v>
      </c>
      <c r="I352" s="246">
        <v>0</v>
      </c>
      <c r="J352" s="247">
        <v>732</v>
      </c>
      <c r="K352" s="246"/>
      <c r="L352" s="238">
        <f t="shared" si="11"/>
        <v>45463</v>
      </c>
      <c r="M352" s="245">
        <v>43720</v>
      </c>
      <c r="N352" s="245">
        <v>912</v>
      </c>
      <c r="O352" s="237">
        <v>219</v>
      </c>
      <c r="P352" s="246">
        <v>0</v>
      </c>
      <c r="Q352" s="247">
        <v>612</v>
      </c>
      <c r="R352" s="246"/>
    </row>
    <row r="353" spans="1:18" s="239" customFormat="1" ht="12.75">
      <c r="A353" s="63" t="s">
        <v>177</v>
      </c>
      <c r="B353" s="63" t="s">
        <v>200</v>
      </c>
      <c r="C353" s="64">
        <v>229027</v>
      </c>
      <c r="D353" s="65">
        <v>3</v>
      </c>
      <c r="E353" s="209">
        <f t="shared" si="10"/>
        <v>515323</v>
      </c>
      <c r="F353" s="245">
        <v>513405</v>
      </c>
      <c r="G353" s="245">
        <v>3</v>
      </c>
      <c r="H353" s="237">
        <v>0</v>
      </c>
      <c r="I353" s="246">
        <v>1915</v>
      </c>
      <c r="J353" s="247">
        <v>0</v>
      </c>
      <c r="K353" s="246"/>
      <c r="L353" s="238">
        <f t="shared" si="11"/>
        <v>47372</v>
      </c>
      <c r="M353" s="245">
        <v>46757</v>
      </c>
      <c r="N353" s="245">
        <v>111</v>
      </c>
      <c r="O353" s="237">
        <v>273</v>
      </c>
      <c r="P353" s="246">
        <v>231</v>
      </c>
      <c r="Q353" s="247">
        <v>0</v>
      </c>
      <c r="R353" s="246"/>
    </row>
    <row r="354" spans="1:18" s="239" customFormat="1" ht="12.75">
      <c r="A354" s="63" t="s">
        <v>177</v>
      </c>
      <c r="B354" s="63" t="s">
        <v>201</v>
      </c>
      <c r="C354" s="64">
        <v>228802</v>
      </c>
      <c r="D354" s="65">
        <v>3</v>
      </c>
      <c r="E354" s="209">
        <f t="shared" si="10"/>
        <v>90948</v>
      </c>
      <c r="F354" s="245">
        <v>83664</v>
      </c>
      <c r="G354" s="245">
        <v>0</v>
      </c>
      <c r="H354" s="237">
        <v>1475</v>
      </c>
      <c r="I354" s="246">
        <v>5662</v>
      </c>
      <c r="J354" s="247">
        <v>147</v>
      </c>
      <c r="K354" s="246"/>
      <c r="L354" s="238">
        <f t="shared" si="11"/>
        <v>13396</v>
      </c>
      <c r="M354" s="245">
        <v>10993</v>
      </c>
      <c r="N354" s="245">
        <v>0</v>
      </c>
      <c r="O354" s="237">
        <v>1725</v>
      </c>
      <c r="P354" s="246">
        <v>678</v>
      </c>
      <c r="Q354" s="247">
        <v>0</v>
      </c>
      <c r="R354" s="246"/>
    </row>
    <row r="355" spans="1:18" s="239" customFormat="1" ht="12.75">
      <c r="A355" s="63" t="s">
        <v>177</v>
      </c>
      <c r="B355" s="63" t="s">
        <v>202</v>
      </c>
      <c r="C355" s="64">
        <v>227368</v>
      </c>
      <c r="D355" s="65">
        <v>3</v>
      </c>
      <c r="E355" s="209">
        <f t="shared" si="10"/>
        <v>365887</v>
      </c>
      <c r="F355" s="245">
        <v>360890</v>
      </c>
      <c r="G355" s="245">
        <v>1851</v>
      </c>
      <c r="H355" s="237">
        <v>2648</v>
      </c>
      <c r="I355" s="246">
        <v>498</v>
      </c>
      <c r="J355" s="247">
        <v>0</v>
      </c>
      <c r="K355" s="246"/>
      <c r="L355" s="238">
        <f t="shared" si="11"/>
        <v>29408</v>
      </c>
      <c r="M355" s="245">
        <v>28424</v>
      </c>
      <c r="N355" s="245">
        <v>0</v>
      </c>
      <c r="O355" s="237">
        <v>426</v>
      </c>
      <c r="P355" s="246">
        <v>558</v>
      </c>
      <c r="Q355" s="247">
        <v>0</v>
      </c>
      <c r="R355" s="246"/>
    </row>
    <row r="356" spans="1:18" s="239" customFormat="1" ht="12.75">
      <c r="A356" s="63" t="s">
        <v>177</v>
      </c>
      <c r="B356" s="63" t="s">
        <v>203</v>
      </c>
      <c r="C356" s="64">
        <v>229814</v>
      </c>
      <c r="D356" s="65">
        <v>3</v>
      </c>
      <c r="E356" s="209">
        <f t="shared" si="10"/>
        <v>151759</v>
      </c>
      <c r="F356" s="245">
        <v>129844</v>
      </c>
      <c r="G356" s="245">
        <v>449</v>
      </c>
      <c r="H356" s="237">
        <v>21466</v>
      </c>
      <c r="I356" s="246">
        <v>0</v>
      </c>
      <c r="J356" s="247">
        <v>0</v>
      </c>
      <c r="K356" s="246"/>
      <c r="L356" s="238">
        <f t="shared" si="11"/>
        <v>20226</v>
      </c>
      <c r="M356" s="245">
        <v>13275</v>
      </c>
      <c r="N356" s="245">
        <v>1268</v>
      </c>
      <c r="O356" s="237">
        <v>5629</v>
      </c>
      <c r="P356" s="246">
        <v>54</v>
      </c>
      <c r="Q356" s="247">
        <v>0</v>
      </c>
      <c r="R356" s="246"/>
    </row>
    <row r="357" spans="1:18" s="239" customFormat="1" ht="12.75">
      <c r="A357" s="63" t="s">
        <v>177</v>
      </c>
      <c r="B357" s="63" t="s">
        <v>204</v>
      </c>
      <c r="C357" s="64">
        <v>226152</v>
      </c>
      <c r="D357" s="65">
        <v>4</v>
      </c>
      <c r="E357" s="209">
        <f t="shared" si="10"/>
        <v>82749</v>
      </c>
      <c r="F357" s="245">
        <v>82722</v>
      </c>
      <c r="G357" s="245">
        <v>0</v>
      </c>
      <c r="H357" s="237">
        <v>27</v>
      </c>
      <c r="I357" s="246">
        <v>0</v>
      </c>
      <c r="J357" s="247">
        <v>0</v>
      </c>
      <c r="K357" s="246"/>
      <c r="L357" s="238">
        <f t="shared" si="11"/>
        <v>10125</v>
      </c>
      <c r="M357" s="245">
        <v>10125</v>
      </c>
      <c r="N357" s="245">
        <v>0</v>
      </c>
      <c r="O357" s="237">
        <v>0</v>
      </c>
      <c r="P357" s="246">
        <v>0</v>
      </c>
      <c r="Q357" s="247">
        <v>0</v>
      </c>
      <c r="R357" s="246"/>
    </row>
    <row r="358" spans="1:18" s="239" customFormat="1" ht="12.75">
      <c r="A358" s="63" t="s">
        <v>177</v>
      </c>
      <c r="B358" s="63" t="s">
        <v>205</v>
      </c>
      <c r="C358" s="64">
        <v>224545</v>
      </c>
      <c r="D358" s="65">
        <v>4</v>
      </c>
      <c r="E358" s="209">
        <f t="shared" si="10"/>
        <v>20336</v>
      </c>
      <c r="F358" s="245">
        <v>16440</v>
      </c>
      <c r="G358" s="245">
        <v>1575</v>
      </c>
      <c r="H358" s="237">
        <v>1929</v>
      </c>
      <c r="I358" s="246">
        <v>392</v>
      </c>
      <c r="J358" s="247">
        <v>0</v>
      </c>
      <c r="K358" s="246"/>
      <c r="L358" s="238">
        <f t="shared" si="11"/>
        <v>7465</v>
      </c>
      <c r="M358" s="245">
        <v>5317</v>
      </c>
      <c r="N358" s="245">
        <v>1071</v>
      </c>
      <c r="O358" s="237">
        <v>1077</v>
      </c>
      <c r="P358" s="246">
        <v>0</v>
      </c>
      <c r="Q358" s="247">
        <v>0</v>
      </c>
      <c r="R358" s="246"/>
    </row>
    <row r="359" spans="1:18" s="239" customFormat="1" ht="12.75">
      <c r="A359" s="63" t="s">
        <v>177</v>
      </c>
      <c r="B359" s="63" t="s">
        <v>206</v>
      </c>
      <c r="C359" s="64">
        <v>227377</v>
      </c>
      <c r="D359" s="65">
        <v>4</v>
      </c>
      <c r="E359" s="209">
        <f t="shared" si="10"/>
        <v>54591</v>
      </c>
      <c r="F359" s="245">
        <v>53002</v>
      </c>
      <c r="G359" s="245">
        <v>138</v>
      </c>
      <c r="H359" s="237">
        <v>995</v>
      </c>
      <c r="I359" s="246">
        <v>0</v>
      </c>
      <c r="J359" s="247">
        <v>456</v>
      </c>
      <c r="K359" s="246"/>
      <c r="L359" s="238">
        <f t="shared" si="11"/>
        <v>9200</v>
      </c>
      <c r="M359" s="245">
        <v>7647</v>
      </c>
      <c r="N359" s="245">
        <v>99</v>
      </c>
      <c r="O359" s="237">
        <v>1454</v>
      </c>
      <c r="P359" s="246">
        <v>0</v>
      </c>
      <c r="Q359" s="247">
        <v>0</v>
      </c>
      <c r="R359" s="246"/>
    </row>
    <row r="360" spans="1:18" s="239" customFormat="1" ht="12.75">
      <c r="A360" s="63" t="s">
        <v>177</v>
      </c>
      <c r="B360" s="63" t="s">
        <v>207</v>
      </c>
      <c r="C360" s="64">
        <v>229018</v>
      </c>
      <c r="D360" s="65">
        <v>4</v>
      </c>
      <c r="E360" s="209">
        <f t="shared" si="10"/>
        <v>58638</v>
      </c>
      <c r="F360" s="245">
        <v>52650</v>
      </c>
      <c r="G360" s="245">
        <v>0</v>
      </c>
      <c r="H360" s="237">
        <v>5484</v>
      </c>
      <c r="I360" s="246">
        <v>504</v>
      </c>
      <c r="J360" s="247">
        <v>0</v>
      </c>
      <c r="K360" s="246"/>
      <c r="L360" s="238">
        <f t="shared" si="11"/>
        <v>7068</v>
      </c>
      <c r="M360" s="245">
        <v>5068</v>
      </c>
      <c r="N360" s="245">
        <v>0</v>
      </c>
      <c r="O360" s="237">
        <v>1895</v>
      </c>
      <c r="P360" s="246">
        <v>105</v>
      </c>
      <c r="Q360" s="247">
        <v>0</v>
      </c>
      <c r="R360" s="246"/>
    </row>
    <row r="361" spans="1:18" s="239" customFormat="1" ht="12.75">
      <c r="A361" s="63" t="s">
        <v>177</v>
      </c>
      <c r="B361" s="63" t="s">
        <v>208</v>
      </c>
      <c r="C361" s="64" t="s">
        <v>521</v>
      </c>
      <c r="D361" s="65">
        <v>5</v>
      </c>
      <c r="E361" s="209">
        <f t="shared" si="10"/>
        <v>15486</v>
      </c>
      <c r="F361" s="245">
        <v>14712</v>
      </c>
      <c r="G361" s="245">
        <v>48</v>
      </c>
      <c r="H361" s="237">
        <v>666</v>
      </c>
      <c r="I361" s="246">
        <v>0</v>
      </c>
      <c r="J361" s="247">
        <v>60</v>
      </c>
      <c r="K361" s="246"/>
      <c r="L361" s="238">
        <f t="shared" si="11"/>
        <v>4014</v>
      </c>
      <c r="M361" s="245">
        <v>3348</v>
      </c>
      <c r="N361" s="245">
        <v>126</v>
      </c>
      <c r="O361" s="237">
        <v>120</v>
      </c>
      <c r="P361" s="246">
        <v>0</v>
      </c>
      <c r="Q361" s="247">
        <v>420</v>
      </c>
      <c r="R361" s="246"/>
    </row>
    <row r="362" spans="1:18" s="239" customFormat="1" ht="12.75">
      <c r="A362" s="63" t="s">
        <v>177</v>
      </c>
      <c r="B362" s="63" t="s">
        <v>209</v>
      </c>
      <c r="C362" s="64">
        <v>225502</v>
      </c>
      <c r="D362" s="65">
        <v>5</v>
      </c>
      <c r="E362" s="209">
        <f t="shared" si="10"/>
        <v>24813</v>
      </c>
      <c r="F362" s="245">
        <v>11201</v>
      </c>
      <c r="G362" s="245">
        <v>4102</v>
      </c>
      <c r="H362" s="237">
        <v>8514</v>
      </c>
      <c r="I362" s="246">
        <v>996</v>
      </c>
      <c r="J362" s="247">
        <v>0</v>
      </c>
      <c r="K362" s="246"/>
      <c r="L362" s="238">
        <f t="shared" si="11"/>
        <v>19517</v>
      </c>
      <c r="M362" s="245">
        <v>1967</v>
      </c>
      <c r="N362" s="245">
        <v>5724</v>
      </c>
      <c r="O362" s="237">
        <v>10938</v>
      </c>
      <c r="P362" s="246">
        <v>888</v>
      </c>
      <c r="Q362" s="247">
        <v>0</v>
      </c>
      <c r="R362" s="246"/>
    </row>
    <row r="363" spans="1:18" s="239" customFormat="1" ht="12.75">
      <c r="A363" s="63" t="s">
        <v>177</v>
      </c>
      <c r="B363" s="63" t="s">
        <v>210</v>
      </c>
      <c r="C363" s="64">
        <v>228714</v>
      </c>
      <c r="D363" s="65">
        <v>6</v>
      </c>
      <c r="E363" s="209">
        <f t="shared" si="10"/>
        <v>43761</v>
      </c>
      <c r="F363" s="245">
        <v>43761</v>
      </c>
      <c r="G363" s="245">
        <v>0</v>
      </c>
      <c r="H363" s="237">
        <v>0</v>
      </c>
      <c r="I363" s="246">
        <v>0</v>
      </c>
      <c r="J363" s="247">
        <v>0</v>
      </c>
      <c r="K363" s="246"/>
      <c r="L363" s="238">
        <f t="shared" si="11"/>
        <v>494</v>
      </c>
      <c r="M363" s="245">
        <v>494</v>
      </c>
      <c r="N363" s="245">
        <v>0</v>
      </c>
      <c r="O363" s="237">
        <v>0</v>
      </c>
      <c r="P363" s="246">
        <v>0</v>
      </c>
      <c r="Q363" s="247">
        <v>0</v>
      </c>
      <c r="R363" s="246"/>
    </row>
    <row r="364" spans="1:18" s="239" customFormat="1" ht="12.75">
      <c r="A364" s="63" t="s">
        <v>177</v>
      </c>
      <c r="B364" s="63" t="s">
        <v>211</v>
      </c>
      <c r="C364" s="64">
        <v>225432</v>
      </c>
      <c r="D364" s="65">
        <v>6</v>
      </c>
      <c r="E364" s="209">
        <f t="shared" si="10"/>
        <v>234338</v>
      </c>
      <c r="F364" s="245">
        <v>213187</v>
      </c>
      <c r="G364" s="245">
        <v>8623</v>
      </c>
      <c r="H364" s="237">
        <v>7779</v>
      </c>
      <c r="I364" s="246">
        <v>4494</v>
      </c>
      <c r="J364" s="247">
        <v>255</v>
      </c>
      <c r="K364" s="246"/>
      <c r="L364" s="238">
        <f t="shared" si="11"/>
        <v>1899</v>
      </c>
      <c r="M364" s="245">
        <v>1596</v>
      </c>
      <c r="N364" s="245">
        <v>291</v>
      </c>
      <c r="O364" s="237">
        <v>0</v>
      </c>
      <c r="P364" s="246">
        <v>12</v>
      </c>
      <c r="Q364" s="247">
        <v>0</v>
      </c>
      <c r="R364" s="246"/>
    </row>
    <row r="365" spans="1:18" s="239" customFormat="1" ht="12.75">
      <c r="A365" s="63" t="s">
        <v>177</v>
      </c>
      <c r="B365" s="63" t="s">
        <v>212</v>
      </c>
      <c r="C365" s="64">
        <v>222576</v>
      </c>
      <c r="D365" s="65">
        <v>8</v>
      </c>
      <c r="E365" s="209">
        <f t="shared" si="10"/>
        <v>183128</v>
      </c>
      <c r="F365" s="245">
        <v>158846</v>
      </c>
      <c r="G365" s="245">
        <v>5145</v>
      </c>
      <c r="H365" s="237">
        <v>14210</v>
      </c>
      <c r="I365" s="246">
        <v>1176</v>
      </c>
      <c r="J365" s="247">
        <v>3751</v>
      </c>
      <c r="K365" s="246"/>
      <c r="L365" s="238">
        <f t="shared" si="11"/>
        <v>0</v>
      </c>
      <c r="M365" s="245"/>
      <c r="N365" s="245"/>
      <c r="O365" s="237"/>
      <c r="P365" s="246">
        <v>0</v>
      </c>
      <c r="Q365" s="247"/>
      <c r="R365" s="246"/>
    </row>
    <row r="366" spans="1:18" s="239" customFormat="1" ht="12.75">
      <c r="A366" s="63" t="s">
        <v>177</v>
      </c>
      <c r="B366" s="63" t="s">
        <v>213</v>
      </c>
      <c r="C366" s="64">
        <v>222992</v>
      </c>
      <c r="D366" s="65">
        <v>8</v>
      </c>
      <c r="E366" s="209">
        <f t="shared" si="10"/>
        <v>578328</v>
      </c>
      <c r="F366" s="245">
        <v>484224</v>
      </c>
      <c r="G366" s="245">
        <v>20862</v>
      </c>
      <c r="H366" s="237">
        <v>25685</v>
      </c>
      <c r="I366" s="246">
        <v>0</v>
      </c>
      <c r="J366" s="247">
        <v>47557</v>
      </c>
      <c r="K366" s="246"/>
      <c r="L366" s="238">
        <f t="shared" si="11"/>
        <v>0</v>
      </c>
      <c r="M366" s="245"/>
      <c r="N366" s="245"/>
      <c r="O366" s="237"/>
      <c r="P366" s="246">
        <v>0</v>
      </c>
      <c r="Q366" s="247"/>
      <c r="R366" s="246"/>
    </row>
    <row r="367" spans="1:18" s="239" customFormat="1" ht="12.75">
      <c r="A367" s="63" t="s">
        <v>177</v>
      </c>
      <c r="B367" s="63" t="s">
        <v>214</v>
      </c>
      <c r="C367" s="64">
        <v>223427</v>
      </c>
      <c r="D367" s="65">
        <v>8</v>
      </c>
      <c r="E367" s="209">
        <f t="shared" si="10"/>
        <v>315245</v>
      </c>
      <c r="F367" s="245">
        <v>65961</v>
      </c>
      <c r="G367" s="245">
        <v>234704</v>
      </c>
      <c r="H367" s="237">
        <v>12810</v>
      </c>
      <c r="I367" s="246">
        <v>0</v>
      </c>
      <c r="J367" s="247">
        <v>1770</v>
      </c>
      <c r="K367" s="246"/>
      <c r="L367" s="238">
        <f t="shared" si="11"/>
        <v>0</v>
      </c>
      <c r="M367" s="245"/>
      <c r="N367" s="245"/>
      <c r="O367" s="237"/>
      <c r="P367" s="246">
        <v>0</v>
      </c>
      <c r="Q367" s="247"/>
      <c r="R367" s="246"/>
    </row>
    <row r="368" spans="1:18" s="239" customFormat="1" ht="12.75">
      <c r="A368" s="63" t="s">
        <v>177</v>
      </c>
      <c r="B368" s="63" t="s">
        <v>215</v>
      </c>
      <c r="C368" s="64">
        <v>223524</v>
      </c>
      <c r="D368" s="65">
        <v>8</v>
      </c>
      <c r="E368" s="209">
        <f t="shared" si="10"/>
        <v>190981</v>
      </c>
      <c r="F368" s="245">
        <v>176043</v>
      </c>
      <c r="G368" s="245"/>
      <c r="H368" s="237">
        <v>9575</v>
      </c>
      <c r="I368" s="246">
        <v>0</v>
      </c>
      <c r="J368" s="247">
        <v>5363</v>
      </c>
      <c r="K368" s="246"/>
      <c r="L368" s="238">
        <f t="shared" si="11"/>
        <v>0</v>
      </c>
      <c r="M368" s="245"/>
      <c r="N368" s="245"/>
      <c r="O368" s="237"/>
      <c r="P368" s="246">
        <v>0</v>
      </c>
      <c r="Q368" s="247"/>
      <c r="R368" s="246"/>
    </row>
    <row r="369" spans="1:18" s="239" customFormat="1" ht="12.75">
      <c r="A369" s="63" t="s">
        <v>177</v>
      </c>
      <c r="B369" s="63" t="s">
        <v>216</v>
      </c>
      <c r="C369" s="64">
        <v>223816</v>
      </c>
      <c r="D369" s="65">
        <v>8</v>
      </c>
      <c r="E369" s="209">
        <f t="shared" si="10"/>
        <v>233928</v>
      </c>
      <c r="F369" s="245">
        <v>124260</v>
      </c>
      <c r="G369" s="245">
        <v>69408</v>
      </c>
      <c r="H369" s="237">
        <v>39432</v>
      </c>
      <c r="I369" s="246">
        <v>828</v>
      </c>
      <c r="J369" s="247"/>
      <c r="K369" s="246"/>
      <c r="L369" s="238">
        <f t="shared" si="11"/>
        <v>0</v>
      </c>
      <c r="M369" s="245"/>
      <c r="N369" s="245"/>
      <c r="O369" s="237"/>
      <c r="P369" s="246">
        <v>0</v>
      </c>
      <c r="Q369" s="247"/>
      <c r="R369" s="246"/>
    </row>
    <row r="370" spans="1:18" s="239" customFormat="1" ht="12.75">
      <c r="A370" s="63" t="s">
        <v>177</v>
      </c>
      <c r="B370" s="63" t="s">
        <v>217</v>
      </c>
      <c r="C370" s="64">
        <v>247834</v>
      </c>
      <c r="D370" s="65">
        <v>8</v>
      </c>
      <c r="E370" s="209">
        <f t="shared" si="10"/>
        <v>325913</v>
      </c>
      <c r="F370" s="245">
        <v>301363</v>
      </c>
      <c r="G370" s="245">
        <v>2470</v>
      </c>
      <c r="H370" s="237">
        <v>15444</v>
      </c>
      <c r="I370" s="246">
        <v>357</v>
      </c>
      <c r="J370" s="247">
        <v>6279</v>
      </c>
      <c r="K370" s="246"/>
      <c r="L370" s="238">
        <f t="shared" si="11"/>
        <v>0</v>
      </c>
      <c r="M370" s="245"/>
      <c r="N370" s="245"/>
      <c r="O370" s="237"/>
      <c r="P370" s="246">
        <v>0</v>
      </c>
      <c r="Q370" s="247"/>
      <c r="R370" s="246"/>
    </row>
    <row r="371" spans="1:18" s="239" customFormat="1" ht="12.75">
      <c r="A371" s="63" t="s">
        <v>177</v>
      </c>
      <c r="B371" s="63" t="s">
        <v>218</v>
      </c>
      <c r="C371" s="64">
        <v>224350</v>
      </c>
      <c r="D371" s="65">
        <v>8</v>
      </c>
      <c r="E371" s="209">
        <f t="shared" si="10"/>
        <v>223061</v>
      </c>
      <c r="F371" s="245">
        <v>202370</v>
      </c>
      <c r="G371" s="245">
        <v>2370</v>
      </c>
      <c r="H371" s="237">
        <v>14489</v>
      </c>
      <c r="I371" s="246">
        <v>0</v>
      </c>
      <c r="J371" s="247">
        <v>3832</v>
      </c>
      <c r="K371" s="246"/>
      <c r="L371" s="238">
        <f t="shared" si="11"/>
        <v>0</v>
      </c>
      <c r="M371" s="245"/>
      <c r="N371" s="245"/>
      <c r="O371" s="237"/>
      <c r="P371" s="246">
        <v>0</v>
      </c>
      <c r="Q371" s="247"/>
      <c r="R371" s="246"/>
    </row>
    <row r="372" spans="1:18" s="239" customFormat="1" ht="12.75">
      <c r="A372" s="63" t="s">
        <v>177</v>
      </c>
      <c r="B372" s="63" t="s">
        <v>219</v>
      </c>
      <c r="C372" s="64">
        <v>224572</v>
      </c>
      <c r="D372" s="65">
        <v>8</v>
      </c>
      <c r="E372" s="209">
        <f t="shared" si="10"/>
        <v>195988</v>
      </c>
      <c r="F372" s="245">
        <v>171105</v>
      </c>
      <c r="G372" s="245"/>
      <c r="H372" s="237">
        <v>16077</v>
      </c>
      <c r="I372" s="246">
        <v>0</v>
      </c>
      <c r="J372" s="247">
        <v>8806</v>
      </c>
      <c r="K372" s="246"/>
      <c r="L372" s="238">
        <f t="shared" si="11"/>
        <v>0</v>
      </c>
      <c r="M372" s="245"/>
      <c r="N372" s="245"/>
      <c r="O372" s="237"/>
      <c r="P372" s="246">
        <v>0</v>
      </c>
      <c r="Q372" s="247"/>
      <c r="R372" s="246"/>
    </row>
    <row r="373" spans="1:18" s="239" customFormat="1" ht="12.75">
      <c r="A373" s="63" t="s">
        <v>177</v>
      </c>
      <c r="B373" s="63" t="s">
        <v>220</v>
      </c>
      <c r="C373" s="64">
        <v>224642</v>
      </c>
      <c r="D373" s="65">
        <v>8</v>
      </c>
      <c r="E373" s="209">
        <f t="shared" si="10"/>
        <v>449699</v>
      </c>
      <c r="F373" s="245">
        <v>433070</v>
      </c>
      <c r="G373" s="245">
        <v>3432</v>
      </c>
      <c r="H373" s="237">
        <v>9809</v>
      </c>
      <c r="I373" s="246">
        <v>1078</v>
      </c>
      <c r="J373" s="247">
        <v>2310</v>
      </c>
      <c r="K373" s="246"/>
      <c r="L373" s="238">
        <f t="shared" si="11"/>
        <v>0</v>
      </c>
      <c r="M373" s="245"/>
      <c r="N373" s="245"/>
      <c r="O373" s="237"/>
      <c r="P373" s="246">
        <v>0</v>
      </c>
      <c r="Q373" s="247"/>
      <c r="R373" s="246"/>
    </row>
    <row r="374" spans="1:18" s="239" customFormat="1" ht="12.75">
      <c r="A374" s="63" t="s">
        <v>177</v>
      </c>
      <c r="B374" s="63" t="s">
        <v>221</v>
      </c>
      <c r="C374" s="64">
        <v>225423</v>
      </c>
      <c r="D374" s="65">
        <v>8</v>
      </c>
      <c r="E374" s="209">
        <f t="shared" si="10"/>
        <v>768685</v>
      </c>
      <c r="F374" s="245">
        <v>515342</v>
      </c>
      <c r="G374" s="245">
        <v>196123</v>
      </c>
      <c r="H374" s="237">
        <v>53480</v>
      </c>
      <c r="I374" s="246">
        <v>0</v>
      </c>
      <c r="J374" s="247">
        <v>3740</v>
      </c>
      <c r="K374" s="246"/>
      <c r="L374" s="238">
        <f t="shared" si="11"/>
        <v>0</v>
      </c>
      <c r="M374" s="245"/>
      <c r="N374" s="245"/>
      <c r="O374" s="237"/>
      <c r="P374" s="246">
        <v>0</v>
      </c>
      <c r="Q374" s="247"/>
      <c r="R374" s="246"/>
    </row>
    <row r="375" spans="1:18" s="239" customFormat="1" ht="12.75">
      <c r="A375" s="63" t="s">
        <v>177</v>
      </c>
      <c r="B375" s="63" t="s">
        <v>222</v>
      </c>
      <c r="C375" s="64">
        <v>226134</v>
      </c>
      <c r="D375" s="65">
        <v>8</v>
      </c>
      <c r="E375" s="209">
        <f t="shared" si="10"/>
        <v>159706</v>
      </c>
      <c r="F375" s="245">
        <v>148649</v>
      </c>
      <c r="G375" s="245"/>
      <c r="H375" s="237">
        <v>10880</v>
      </c>
      <c r="I375" s="246">
        <v>96</v>
      </c>
      <c r="J375" s="247">
        <v>81</v>
      </c>
      <c r="K375" s="246"/>
      <c r="L375" s="238">
        <f t="shared" si="11"/>
        <v>0</v>
      </c>
      <c r="M375" s="245"/>
      <c r="N375" s="245"/>
      <c r="O375" s="237"/>
      <c r="P375" s="246">
        <v>0</v>
      </c>
      <c r="Q375" s="247"/>
      <c r="R375" s="246"/>
    </row>
    <row r="376" spans="1:18" s="239" customFormat="1" ht="12.75">
      <c r="A376" s="63" t="s">
        <v>177</v>
      </c>
      <c r="B376" s="63" t="s">
        <v>223</v>
      </c>
      <c r="C376" s="64">
        <v>227182</v>
      </c>
      <c r="D376" s="65">
        <v>8</v>
      </c>
      <c r="E376" s="209">
        <f t="shared" si="10"/>
        <v>651442</v>
      </c>
      <c r="F376" s="245">
        <v>599807</v>
      </c>
      <c r="G376" s="245">
        <v>874</v>
      </c>
      <c r="H376" s="237">
        <v>46634</v>
      </c>
      <c r="I376" s="246">
        <v>12</v>
      </c>
      <c r="J376" s="247">
        <v>4115</v>
      </c>
      <c r="K376" s="246"/>
      <c r="L376" s="238">
        <f t="shared" si="11"/>
        <v>0</v>
      </c>
      <c r="M376" s="245"/>
      <c r="N376" s="245"/>
      <c r="O376" s="237"/>
      <c r="P376" s="246">
        <v>0</v>
      </c>
      <c r="Q376" s="247"/>
      <c r="R376" s="246"/>
    </row>
    <row r="377" spans="1:18" s="239" customFormat="1" ht="12.75">
      <c r="A377" s="63" t="s">
        <v>177</v>
      </c>
      <c r="B377" s="63" t="s">
        <v>224</v>
      </c>
      <c r="C377" s="64">
        <v>227191</v>
      </c>
      <c r="D377" s="65">
        <v>8</v>
      </c>
      <c r="E377" s="209">
        <f t="shared" si="10"/>
        <v>161877</v>
      </c>
      <c r="F377" s="245">
        <v>148336</v>
      </c>
      <c r="G377" s="245">
        <v>9</v>
      </c>
      <c r="H377" s="237">
        <v>10479</v>
      </c>
      <c r="I377" s="246">
        <v>0</v>
      </c>
      <c r="J377" s="247">
        <v>3053</v>
      </c>
      <c r="K377" s="246"/>
      <c r="L377" s="238">
        <f t="shared" si="11"/>
        <v>0</v>
      </c>
      <c r="M377" s="245"/>
      <c r="N377" s="245"/>
      <c r="O377" s="237"/>
      <c r="P377" s="246">
        <v>0</v>
      </c>
      <c r="Q377" s="247"/>
      <c r="R377" s="246"/>
    </row>
    <row r="378" spans="1:18" s="239" customFormat="1" ht="12.75">
      <c r="A378" s="63" t="s">
        <v>177</v>
      </c>
      <c r="B378" s="63" t="s">
        <v>225</v>
      </c>
      <c r="C378" s="64">
        <v>227766</v>
      </c>
      <c r="D378" s="65">
        <v>8</v>
      </c>
      <c r="E378" s="209">
        <f t="shared" si="10"/>
        <v>265805</v>
      </c>
      <c r="F378" s="245">
        <v>254279</v>
      </c>
      <c r="G378" s="245"/>
      <c r="H378" s="237">
        <v>5895</v>
      </c>
      <c r="I378" s="246">
        <v>0</v>
      </c>
      <c r="J378" s="247">
        <v>5631</v>
      </c>
      <c r="K378" s="246"/>
      <c r="L378" s="238">
        <f t="shared" si="11"/>
        <v>0</v>
      </c>
      <c r="M378" s="245"/>
      <c r="N378" s="245"/>
      <c r="O378" s="237"/>
      <c r="P378" s="246">
        <v>0</v>
      </c>
      <c r="Q378" s="247"/>
      <c r="R378" s="246"/>
    </row>
    <row r="379" spans="1:18" s="239" customFormat="1" ht="12.75">
      <c r="A379" s="63" t="s">
        <v>177</v>
      </c>
      <c r="B379" s="63" t="s">
        <v>226</v>
      </c>
      <c r="C379" s="64">
        <v>227924</v>
      </c>
      <c r="D379" s="65">
        <v>8</v>
      </c>
      <c r="E379" s="209">
        <f t="shared" si="10"/>
        <v>442393</v>
      </c>
      <c r="F379" s="245">
        <v>394453</v>
      </c>
      <c r="G379" s="245">
        <v>5854</v>
      </c>
      <c r="H379" s="237">
        <v>34613</v>
      </c>
      <c r="I379" s="246">
        <v>90</v>
      </c>
      <c r="J379" s="247">
        <v>7383</v>
      </c>
      <c r="K379" s="246"/>
      <c r="L379" s="238">
        <f t="shared" si="11"/>
        <v>0</v>
      </c>
      <c r="M379" s="245"/>
      <c r="N379" s="245"/>
      <c r="O379" s="237"/>
      <c r="P379" s="246">
        <v>0</v>
      </c>
      <c r="Q379" s="247"/>
      <c r="R379" s="246"/>
    </row>
    <row r="380" spans="1:18" s="239" customFormat="1" ht="12.75">
      <c r="A380" s="63" t="s">
        <v>177</v>
      </c>
      <c r="B380" s="63" t="s">
        <v>522</v>
      </c>
      <c r="C380" s="64">
        <v>227979</v>
      </c>
      <c r="D380" s="65">
        <v>8</v>
      </c>
      <c r="E380" s="209">
        <f t="shared" si="10"/>
        <v>461929</v>
      </c>
      <c r="F380" s="245">
        <v>442986</v>
      </c>
      <c r="G380" s="245">
        <v>678</v>
      </c>
      <c r="H380" s="237">
        <v>16873</v>
      </c>
      <c r="I380" s="246">
        <v>0</v>
      </c>
      <c r="J380" s="247">
        <v>1392</v>
      </c>
      <c r="K380" s="246"/>
      <c r="L380" s="238">
        <f t="shared" si="11"/>
        <v>0</v>
      </c>
      <c r="M380" s="245"/>
      <c r="N380" s="245"/>
      <c r="O380" s="237"/>
      <c r="P380" s="246">
        <v>0</v>
      </c>
      <c r="Q380" s="247"/>
      <c r="R380" s="246"/>
    </row>
    <row r="381" spans="1:18" s="239" customFormat="1" ht="12.75">
      <c r="A381" s="63" t="s">
        <v>177</v>
      </c>
      <c r="B381" s="63" t="s">
        <v>227</v>
      </c>
      <c r="C381" s="64">
        <v>228158</v>
      </c>
      <c r="D381" s="65">
        <v>8</v>
      </c>
      <c r="E381" s="209">
        <f t="shared" si="10"/>
        <v>200670</v>
      </c>
      <c r="F381" s="245">
        <v>104851</v>
      </c>
      <c r="G381" s="245">
        <v>83253</v>
      </c>
      <c r="H381" s="237">
        <v>10364</v>
      </c>
      <c r="I381" s="246">
        <v>810</v>
      </c>
      <c r="J381" s="247">
        <v>1392</v>
      </c>
      <c r="K381" s="246"/>
      <c r="L381" s="238">
        <f t="shared" si="11"/>
        <v>0</v>
      </c>
      <c r="M381" s="245"/>
      <c r="N381" s="245"/>
      <c r="O381" s="237"/>
      <c r="P381" s="246">
        <v>0</v>
      </c>
      <c r="Q381" s="247"/>
      <c r="R381" s="246"/>
    </row>
    <row r="382" spans="1:18" s="239" customFormat="1" ht="12.75">
      <c r="A382" s="63" t="s">
        <v>177</v>
      </c>
      <c r="B382" s="63" t="s">
        <v>228</v>
      </c>
      <c r="C382" s="64">
        <v>409315</v>
      </c>
      <c r="D382" s="65">
        <v>8</v>
      </c>
      <c r="E382" s="209">
        <f t="shared" si="10"/>
        <v>310137</v>
      </c>
      <c r="F382" s="245">
        <v>295623</v>
      </c>
      <c r="G382" s="245"/>
      <c r="H382" s="237">
        <v>13457</v>
      </c>
      <c r="I382" s="246">
        <v>613</v>
      </c>
      <c r="J382" s="247">
        <v>444</v>
      </c>
      <c r="K382" s="246"/>
      <c r="L382" s="238">
        <f t="shared" si="11"/>
        <v>0</v>
      </c>
      <c r="M382" s="245"/>
      <c r="N382" s="245"/>
      <c r="O382" s="237"/>
      <c r="P382" s="246">
        <v>0</v>
      </c>
      <c r="Q382" s="247"/>
      <c r="R382" s="246"/>
    </row>
    <row r="383" spans="1:18" s="239" customFormat="1" ht="12.75">
      <c r="A383" s="63" t="s">
        <v>177</v>
      </c>
      <c r="B383" s="63" t="s">
        <v>229</v>
      </c>
      <c r="C383" s="64">
        <v>227854</v>
      </c>
      <c r="D383" s="65">
        <v>8</v>
      </c>
      <c r="E383" s="209">
        <f t="shared" si="10"/>
        <v>212499</v>
      </c>
      <c r="F383" s="245">
        <v>197636</v>
      </c>
      <c r="G383" s="245">
        <v>3495</v>
      </c>
      <c r="H383" s="237">
        <v>8308</v>
      </c>
      <c r="I383" s="246">
        <v>0</v>
      </c>
      <c r="J383" s="247">
        <v>3060</v>
      </c>
      <c r="K383" s="246"/>
      <c r="L383" s="238">
        <f t="shared" si="11"/>
        <v>0</v>
      </c>
      <c r="M383" s="245"/>
      <c r="N383" s="245"/>
      <c r="O383" s="237"/>
      <c r="P383" s="246">
        <v>0</v>
      </c>
      <c r="Q383" s="247"/>
      <c r="R383" s="246"/>
    </row>
    <row r="384" spans="1:18" s="239" customFormat="1" ht="12.75">
      <c r="A384" s="63" t="s">
        <v>177</v>
      </c>
      <c r="B384" s="63" t="s">
        <v>523</v>
      </c>
      <c r="C384" s="64">
        <v>228547</v>
      </c>
      <c r="D384" s="65">
        <v>8</v>
      </c>
      <c r="E384" s="209">
        <f t="shared" si="10"/>
        <v>654353</v>
      </c>
      <c r="F384" s="245">
        <v>596246</v>
      </c>
      <c r="G384" s="245"/>
      <c r="H384" s="237">
        <v>30061</v>
      </c>
      <c r="I384" s="246">
        <v>0</v>
      </c>
      <c r="J384" s="247">
        <v>28046</v>
      </c>
      <c r="K384" s="246"/>
      <c r="L384" s="238">
        <f t="shared" si="11"/>
        <v>0</v>
      </c>
      <c r="M384" s="245"/>
      <c r="N384" s="245"/>
      <c r="O384" s="237"/>
      <c r="P384" s="246">
        <v>0</v>
      </c>
      <c r="Q384" s="247"/>
      <c r="R384" s="246"/>
    </row>
    <row r="385" spans="1:18" s="239" customFormat="1" ht="12.75">
      <c r="A385" s="63" t="s">
        <v>177</v>
      </c>
      <c r="B385" s="63" t="s">
        <v>230</v>
      </c>
      <c r="C385" s="64">
        <v>229072</v>
      </c>
      <c r="D385" s="65">
        <v>8</v>
      </c>
      <c r="E385" s="209">
        <f t="shared" si="10"/>
        <v>171995</v>
      </c>
      <c r="F385" s="245">
        <v>169329</v>
      </c>
      <c r="G385" s="245">
        <v>1645</v>
      </c>
      <c r="H385" s="237">
        <v>706</v>
      </c>
      <c r="I385" s="246">
        <v>0</v>
      </c>
      <c r="J385" s="247">
        <v>315</v>
      </c>
      <c r="K385" s="246"/>
      <c r="L385" s="238">
        <f t="shared" si="11"/>
        <v>0</v>
      </c>
      <c r="M385" s="245"/>
      <c r="N385" s="245"/>
      <c r="O385" s="237"/>
      <c r="P385" s="246">
        <v>0</v>
      </c>
      <c r="Q385" s="247"/>
      <c r="R385" s="246"/>
    </row>
    <row r="386" spans="1:18" s="239" customFormat="1" ht="12.75">
      <c r="A386" s="63" t="s">
        <v>177</v>
      </c>
      <c r="B386" s="63" t="s">
        <v>231</v>
      </c>
      <c r="C386" s="64">
        <v>229355</v>
      </c>
      <c r="D386" s="65">
        <v>8</v>
      </c>
      <c r="E386" s="209">
        <f t="shared" si="10"/>
        <v>215186</v>
      </c>
      <c r="F386" s="245">
        <v>184336</v>
      </c>
      <c r="G386" s="245">
        <v>3056</v>
      </c>
      <c r="H386" s="237">
        <v>23847</v>
      </c>
      <c r="I386" s="246">
        <v>0</v>
      </c>
      <c r="J386" s="247">
        <v>3947</v>
      </c>
      <c r="K386" s="246"/>
      <c r="L386" s="238">
        <f t="shared" si="11"/>
        <v>0</v>
      </c>
      <c r="M386" s="245"/>
      <c r="N386" s="245"/>
      <c r="O386" s="237"/>
      <c r="P386" s="246">
        <v>0</v>
      </c>
      <c r="Q386" s="247"/>
      <c r="R386" s="246"/>
    </row>
    <row r="387" spans="1:18" s="239" customFormat="1" ht="12.75">
      <c r="A387" s="63" t="s">
        <v>177</v>
      </c>
      <c r="B387" s="63" t="s">
        <v>232</v>
      </c>
      <c r="C387" s="64">
        <v>222567</v>
      </c>
      <c r="D387" s="65">
        <v>9</v>
      </c>
      <c r="E387" s="209">
        <f t="shared" si="10"/>
        <v>100860</v>
      </c>
      <c r="F387" s="245">
        <v>75336</v>
      </c>
      <c r="G387" s="245">
        <v>24867</v>
      </c>
      <c r="H387" s="237">
        <v>657</v>
      </c>
      <c r="I387" s="246">
        <v>0</v>
      </c>
      <c r="J387" s="247"/>
      <c r="K387" s="246"/>
      <c r="L387" s="238">
        <f t="shared" si="11"/>
        <v>0</v>
      </c>
      <c r="M387" s="245"/>
      <c r="N387" s="245"/>
      <c r="O387" s="237"/>
      <c r="P387" s="246">
        <v>0</v>
      </c>
      <c r="Q387" s="247"/>
      <c r="R387" s="246"/>
    </row>
    <row r="388" spans="1:18" s="239" customFormat="1" ht="12.75">
      <c r="A388" s="63" t="s">
        <v>177</v>
      </c>
      <c r="B388" s="63" t="s">
        <v>233</v>
      </c>
      <c r="C388" s="64">
        <v>222822</v>
      </c>
      <c r="D388" s="65">
        <v>9</v>
      </c>
      <c r="E388" s="209">
        <f aca="true" t="shared" si="12" ref="E388:E443">SUM(F388:K388)</f>
        <v>105265</v>
      </c>
      <c r="F388" s="245">
        <v>86209</v>
      </c>
      <c r="G388" s="245">
        <v>13267</v>
      </c>
      <c r="H388" s="237">
        <v>4691</v>
      </c>
      <c r="I388" s="246">
        <v>852</v>
      </c>
      <c r="J388" s="247">
        <v>246</v>
      </c>
      <c r="K388" s="246"/>
      <c r="L388" s="238">
        <f aca="true" t="shared" si="13" ref="L388:L443">SUM(M388:R388)</f>
        <v>0</v>
      </c>
      <c r="M388" s="245"/>
      <c r="N388" s="245"/>
      <c r="O388" s="237"/>
      <c r="P388" s="246">
        <v>0</v>
      </c>
      <c r="Q388" s="247"/>
      <c r="R388" s="246"/>
    </row>
    <row r="389" spans="1:18" s="239" customFormat="1" ht="12.75">
      <c r="A389" s="63" t="s">
        <v>177</v>
      </c>
      <c r="B389" s="63" t="s">
        <v>234</v>
      </c>
      <c r="C389" s="64">
        <v>223506</v>
      </c>
      <c r="D389" s="65">
        <v>9</v>
      </c>
      <c r="E389" s="209">
        <f t="shared" si="12"/>
        <v>67637</v>
      </c>
      <c r="F389" s="245">
        <v>62214</v>
      </c>
      <c r="G389" s="245">
        <v>2046</v>
      </c>
      <c r="H389" s="237">
        <v>2062</v>
      </c>
      <c r="I389" s="246">
        <v>261</v>
      </c>
      <c r="J389" s="247">
        <v>1054</v>
      </c>
      <c r="K389" s="246"/>
      <c r="L389" s="238">
        <f t="shared" si="13"/>
        <v>0</v>
      </c>
      <c r="M389" s="245"/>
      <c r="N389" s="245"/>
      <c r="O389" s="237"/>
      <c r="P389" s="246">
        <v>0</v>
      </c>
      <c r="Q389" s="247"/>
      <c r="R389" s="246"/>
    </row>
    <row r="390" spans="1:18" s="239" customFormat="1" ht="12.75">
      <c r="A390" s="63" t="s">
        <v>177</v>
      </c>
      <c r="B390" s="63" t="s">
        <v>235</v>
      </c>
      <c r="C390" s="64">
        <v>223773</v>
      </c>
      <c r="D390" s="65">
        <v>9</v>
      </c>
      <c r="E390" s="209">
        <f t="shared" si="12"/>
        <v>81112</v>
      </c>
      <c r="F390" s="245">
        <v>69232</v>
      </c>
      <c r="G390" s="245"/>
      <c r="H390" s="237">
        <v>8835</v>
      </c>
      <c r="I390" s="246">
        <v>0</v>
      </c>
      <c r="J390" s="247">
        <v>3045</v>
      </c>
      <c r="K390" s="246"/>
      <c r="L390" s="238">
        <f t="shared" si="13"/>
        <v>0</v>
      </c>
      <c r="M390" s="245"/>
      <c r="N390" s="245"/>
      <c r="O390" s="237"/>
      <c r="P390" s="246">
        <v>0</v>
      </c>
      <c r="Q390" s="247"/>
      <c r="R390" s="246"/>
    </row>
    <row r="391" spans="1:18" s="239" customFormat="1" ht="12.75">
      <c r="A391" s="63" t="s">
        <v>177</v>
      </c>
      <c r="B391" s="63" t="s">
        <v>236</v>
      </c>
      <c r="C391" s="64">
        <v>223320</v>
      </c>
      <c r="D391" s="65">
        <v>9</v>
      </c>
      <c r="E391" s="209">
        <f t="shared" si="12"/>
        <v>77747</v>
      </c>
      <c r="F391" s="245">
        <v>31892</v>
      </c>
      <c r="G391" s="245">
        <v>37258</v>
      </c>
      <c r="H391" s="237">
        <v>4936</v>
      </c>
      <c r="I391" s="246">
        <v>3661</v>
      </c>
      <c r="J391" s="247"/>
      <c r="K391" s="246"/>
      <c r="L391" s="238">
        <f t="shared" si="13"/>
        <v>0</v>
      </c>
      <c r="M391" s="245"/>
      <c r="N391" s="245"/>
      <c r="O391" s="237"/>
      <c r="P391" s="246">
        <v>0</v>
      </c>
      <c r="Q391" s="247"/>
      <c r="R391" s="246"/>
    </row>
    <row r="392" spans="1:18" s="239" customFormat="1" ht="12.75">
      <c r="A392" s="63" t="s">
        <v>177</v>
      </c>
      <c r="B392" s="63" t="s">
        <v>237</v>
      </c>
      <c r="C392" s="64">
        <v>226408</v>
      </c>
      <c r="D392" s="65">
        <v>9</v>
      </c>
      <c r="E392" s="209">
        <f t="shared" si="12"/>
        <v>81674</v>
      </c>
      <c r="F392" s="245">
        <v>75953</v>
      </c>
      <c r="G392" s="245">
        <v>1507</v>
      </c>
      <c r="H392" s="237">
        <v>4214</v>
      </c>
      <c r="I392" s="246">
        <v>0</v>
      </c>
      <c r="J392" s="247"/>
      <c r="K392" s="246"/>
      <c r="L392" s="238">
        <f t="shared" si="13"/>
        <v>0</v>
      </c>
      <c r="M392" s="245"/>
      <c r="N392" s="245"/>
      <c r="O392" s="237"/>
      <c r="P392" s="246">
        <v>0</v>
      </c>
      <c r="Q392" s="247"/>
      <c r="R392" s="246"/>
    </row>
    <row r="393" spans="1:18" s="239" customFormat="1" ht="12.75">
      <c r="A393" s="63" t="s">
        <v>177</v>
      </c>
      <c r="B393" s="63" t="s">
        <v>238</v>
      </c>
      <c r="C393" s="64">
        <v>224615</v>
      </c>
      <c r="D393" s="65">
        <v>9</v>
      </c>
      <c r="E393" s="209">
        <f t="shared" si="12"/>
        <v>114422</v>
      </c>
      <c r="F393" s="245">
        <v>109634</v>
      </c>
      <c r="G393" s="245"/>
      <c r="H393" s="237">
        <v>2242</v>
      </c>
      <c r="I393" s="246">
        <v>0</v>
      </c>
      <c r="J393" s="247">
        <v>2546</v>
      </c>
      <c r="K393" s="246"/>
      <c r="L393" s="238">
        <f t="shared" si="13"/>
        <v>0</v>
      </c>
      <c r="M393" s="245"/>
      <c r="N393" s="245"/>
      <c r="O393" s="237"/>
      <c r="P393" s="246">
        <v>0</v>
      </c>
      <c r="Q393" s="247"/>
      <c r="R393" s="246"/>
    </row>
    <row r="394" spans="1:18" s="239" customFormat="1" ht="12.75">
      <c r="A394" s="63" t="s">
        <v>177</v>
      </c>
      <c r="B394" s="63" t="s">
        <v>239</v>
      </c>
      <c r="C394" s="64">
        <v>225070</v>
      </c>
      <c r="D394" s="65">
        <v>9</v>
      </c>
      <c r="E394" s="209">
        <f t="shared" si="12"/>
        <v>82532</v>
      </c>
      <c r="F394" s="245">
        <v>64534</v>
      </c>
      <c r="G394" s="245">
        <v>680</v>
      </c>
      <c r="H394" s="237">
        <v>16271</v>
      </c>
      <c r="I394" s="246">
        <v>708</v>
      </c>
      <c r="J394" s="247">
        <v>339</v>
      </c>
      <c r="K394" s="246"/>
      <c r="L394" s="238">
        <f t="shared" si="13"/>
        <v>0</v>
      </c>
      <c r="M394" s="245"/>
      <c r="N394" s="245"/>
      <c r="O394" s="237"/>
      <c r="P394" s="246">
        <v>0</v>
      </c>
      <c r="Q394" s="247"/>
      <c r="R394" s="246"/>
    </row>
    <row r="395" spans="1:18" s="239" customFormat="1" ht="12.75">
      <c r="A395" s="63" t="s">
        <v>177</v>
      </c>
      <c r="B395" s="63" t="s">
        <v>240</v>
      </c>
      <c r="C395" s="64">
        <v>225520</v>
      </c>
      <c r="D395" s="65">
        <v>9</v>
      </c>
      <c r="E395" s="209">
        <f t="shared" si="12"/>
        <v>56100</v>
      </c>
      <c r="F395" s="245">
        <v>25125</v>
      </c>
      <c r="G395" s="245">
        <v>27725</v>
      </c>
      <c r="H395" s="237">
        <v>976</v>
      </c>
      <c r="I395" s="246">
        <v>2274</v>
      </c>
      <c r="J395" s="247"/>
      <c r="K395" s="246"/>
      <c r="L395" s="238">
        <f t="shared" si="13"/>
        <v>0</v>
      </c>
      <c r="M395" s="245"/>
      <c r="N395" s="245"/>
      <c r="O395" s="237"/>
      <c r="P395" s="246">
        <v>0</v>
      </c>
      <c r="Q395" s="247"/>
      <c r="R395" s="246"/>
    </row>
    <row r="396" spans="1:18" s="239" customFormat="1" ht="12.75">
      <c r="A396" s="63" t="s">
        <v>177</v>
      </c>
      <c r="B396" s="63" t="s">
        <v>241</v>
      </c>
      <c r="C396" s="64">
        <v>226019</v>
      </c>
      <c r="D396" s="65">
        <v>9</v>
      </c>
      <c r="E396" s="209">
        <f t="shared" si="12"/>
        <v>111873</v>
      </c>
      <c r="F396" s="245">
        <v>88347</v>
      </c>
      <c r="G396" s="245">
        <v>20060</v>
      </c>
      <c r="H396" s="237">
        <v>1938</v>
      </c>
      <c r="I396" s="246">
        <v>295</v>
      </c>
      <c r="J396" s="247">
        <v>1233</v>
      </c>
      <c r="K396" s="246"/>
      <c r="L396" s="238">
        <f t="shared" si="13"/>
        <v>0</v>
      </c>
      <c r="M396" s="245"/>
      <c r="N396" s="245"/>
      <c r="O396" s="237"/>
      <c r="P396" s="246">
        <v>0</v>
      </c>
      <c r="Q396" s="247"/>
      <c r="R396" s="246"/>
    </row>
    <row r="397" spans="1:18" s="239" customFormat="1" ht="12.75">
      <c r="A397" s="63" t="s">
        <v>177</v>
      </c>
      <c r="B397" s="63" t="s">
        <v>242</v>
      </c>
      <c r="C397" s="64">
        <v>226116</v>
      </c>
      <c r="D397" s="65">
        <v>9</v>
      </c>
      <c r="E397" s="209">
        <f t="shared" si="12"/>
        <v>53164</v>
      </c>
      <c r="F397" s="245">
        <v>46674</v>
      </c>
      <c r="G397" s="245">
        <v>4989</v>
      </c>
      <c r="H397" s="237">
        <v>1384</v>
      </c>
      <c r="I397" s="246">
        <v>0</v>
      </c>
      <c r="J397" s="247">
        <v>117</v>
      </c>
      <c r="K397" s="246"/>
      <c r="L397" s="238">
        <f t="shared" si="13"/>
        <v>0</v>
      </c>
      <c r="M397" s="245"/>
      <c r="N397" s="245"/>
      <c r="O397" s="237"/>
      <c r="P397" s="246">
        <v>0</v>
      </c>
      <c r="Q397" s="247"/>
      <c r="R397" s="246"/>
    </row>
    <row r="398" spans="1:18" s="239" customFormat="1" ht="12.75">
      <c r="A398" s="63" t="s">
        <v>177</v>
      </c>
      <c r="B398" s="63" t="s">
        <v>243</v>
      </c>
      <c r="C398" s="64">
        <v>226204</v>
      </c>
      <c r="D398" s="65">
        <v>9</v>
      </c>
      <c r="E398" s="209">
        <f t="shared" si="12"/>
        <v>132400</v>
      </c>
      <c r="F398" s="245">
        <v>103874</v>
      </c>
      <c r="G398" s="245">
        <v>26120</v>
      </c>
      <c r="H398" s="237">
        <v>1627</v>
      </c>
      <c r="I398" s="246">
        <v>0</v>
      </c>
      <c r="J398" s="247">
        <v>779</v>
      </c>
      <c r="K398" s="246"/>
      <c r="L398" s="238">
        <f t="shared" si="13"/>
        <v>0</v>
      </c>
      <c r="M398" s="245"/>
      <c r="N398" s="245"/>
      <c r="O398" s="237"/>
      <c r="P398" s="246">
        <v>0</v>
      </c>
      <c r="Q398" s="247"/>
      <c r="R398" s="246"/>
    </row>
    <row r="399" spans="1:18" s="239" customFormat="1" ht="12.75">
      <c r="A399" s="63" t="s">
        <v>177</v>
      </c>
      <c r="B399" s="63" t="s">
        <v>244</v>
      </c>
      <c r="C399" s="64">
        <v>226578</v>
      </c>
      <c r="D399" s="65">
        <v>9</v>
      </c>
      <c r="E399" s="209">
        <f t="shared" si="12"/>
        <v>159606</v>
      </c>
      <c r="F399" s="245">
        <v>142095</v>
      </c>
      <c r="G399" s="245">
        <v>3014</v>
      </c>
      <c r="H399" s="237">
        <v>12270</v>
      </c>
      <c r="I399" s="246">
        <v>937</v>
      </c>
      <c r="J399" s="247">
        <v>1290</v>
      </c>
      <c r="K399" s="246"/>
      <c r="L399" s="238">
        <f t="shared" si="13"/>
        <v>0</v>
      </c>
      <c r="M399" s="245"/>
      <c r="N399" s="245"/>
      <c r="O399" s="237"/>
      <c r="P399" s="246">
        <v>0</v>
      </c>
      <c r="Q399" s="247"/>
      <c r="R399" s="246"/>
    </row>
    <row r="400" spans="1:18" s="239" customFormat="1" ht="12.75">
      <c r="A400" s="63" t="s">
        <v>177</v>
      </c>
      <c r="B400" s="63" t="s">
        <v>245</v>
      </c>
      <c r="C400" s="64">
        <v>226806</v>
      </c>
      <c r="D400" s="65">
        <v>9</v>
      </c>
      <c r="E400" s="209">
        <f t="shared" si="12"/>
        <v>107918</v>
      </c>
      <c r="F400" s="245">
        <v>89555</v>
      </c>
      <c r="G400" s="245">
        <v>4931</v>
      </c>
      <c r="H400" s="237">
        <v>11390</v>
      </c>
      <c r="I400" s="246">
        <v>2042</v>
      </c>
      <c r="J400" s="247"/>
      <c r="K400" s="246"/>
      <c r="L400" s="238">
        <f t="shared" si="13"/>
        <v>0</v>
      </c>
      <c r="M400" s="245"/>
      <c r="N400" s="245"/>
      <c r="O400" s="237"/>
      <c r="P400" s="246">
        <v>0</v>
      </c>
      <c r="Q400" s="247"/>
      <c r="R400" s="246"/>
    </row>
    <row r="401" spans="1:18" s="239" customFormat="1" ht="12.75">
      <c r="A401" s="63" t="s">
        <v>177</v>
      </c>
      <c r="B401" s="63" t="s">
        <v>246</v>
      </c>
      <c r="C401" s="64">
        <v>226930</v>
      </c>
      <c r="D401" s="65">
        <v>9</v>
      </c>
      <c r="E401" s="209">
        <f t="shared" si="12"/>
        <v>115617</v>
      </c>
      <c r="F401" s="245">
        <v>109268</v>
      </c>
      <c r="G401" s="245"/>
      <c r="H401" s="237">
        <v>3631</v>
      </c>
      <c r="I401" s="246">
        <v>0</v>
      </c>
      <c r="J401" s="247">
        <v>2718</v>
      </c>
      <c r="K401" s="246"/>
      <c r="L401" s="238">
        <f t="shared" si="13"/>
        <v>0</v>
      </c>
      <c r="M401" s="245"/>
      <c r="N401" s="245"/>
      <c r="O401" s="237"/>
      <c r="P401" s="246">
        <v>0</v>
      </c>
      <c r="Q401" s="247"/>
      <c r="R401" s="246"/>
    </row>
    <row r="402" spans="1:18" s="239" customFormat="1" ht="12.75">
      <c r="A402" s="63" t="s">
        <v>177</v>
      </c>
      <c r="B402" s="63" t="s">
        <v>247</v>
      </c>
      <c r="C402" s="64">
        <v>227146</v>
      </c>
      <c r="D402" s="65">
        <v>9</v>
      </c>
      <c r="E402" s="209">
        <f t="shared" si="12"/>
        <v>125384</v>
      </c>
      <c r="F402" s="245">
        <v>71453</v>
      </c>
      <c r="G402" s="245">
        <v>50068</v>
      </c>
      <c r="H402" s="237">
        <v>972</v>
      </c>
      <c r="I402" s="246">
        <v>0</v>
      </c>
      <c r="J402" s="247">
        <v>2891</v>
      </c>
      <c r="K402" s="246"/>
      <c r="L402" s="238">
        <f t="shared" si="13"/>
        <v>0</v>
      </c>
      <c r="M402" s="245"/>
      <c r="N402" s="245"/>
      <c r="O402" s="237"/>
      <c r="P402" s="246">
        <v>0</v>
      </c>
      <c r="Q402" s="247"/>
      <c r="R402" s="246"/>
    </row>
    <row r="403" spans="1:18" s="239" customFormat="1" ht="12.75">
      <c r="A403" s="63" t="s">
        <v>177</v>
      </c>
      <c r="B403" s="63" t="s">
        <v>248</v>
      </c>
      <c r="C403" s="64">
        <v>224110</v>
      </c>
      <c r="D403" s="65">
        <v>9</v>
      </c>
      <c r="E403" s="209">
        <f t="shared" si="12"/>
        <v>125346</v>
      </c>
      <c r="F403" s="245">
        <v>32806</v>
      </c>
      <c r="G403" s="245">
        <v>91029</v>
      </c>
      <c r="H403" s="237">
        <v>1511</v>
      </c>
      <c r="I403" s="246">
        <v>0</v>
      </c>
      <c r="J403" s="247"/>
      <c r="K403" s="246"/>
      <c r="L403" s="238">
        <f t="shared" si="13"/>
        <v>0</v>
      </c>
      <c r="M403" s="245"/>
      <c r="N403" s="245"/>
      <c r="O403" s="237"/>
      <c r="P403" s="246">
        <v>0</v>
      </c>
      <c r="Q403" s="247"/>
      <c r="R403" s="246"/>
    </row>
    <row r="404" spans="1:18" s="239" customFormat="1" ht="12.75">
      <c r="A404" s="63" t="s">
        <v>177</v>
      </c>
      <c r="B404" s="63" t="s">
        <v>249</v>
      </c>
      <c r="C404" s="64">
        <v>420398</v>
      </c>
      <c r="D404" s="65">
        <v>9</v>
      </c>
      <c r="E404" s="209">
        <f t="shared" si="12"/>
        <v>154407</v>
      </c>
      <c r="F404" s="245">
        <v>144961</v>
      </c>
      <c r="G404" s="245"/>
      <c r="H404" s="237">
        <v>9446</v>
      </c>
      <c r="I404" s="246">
        <v>0</v>
      </c>
      <c r="J404" s="247"/>
      <c r="K404" s="246"/>
      <c r="L404" s="238">
        <f t="shared" si="13"/>
        <v>0</v>
      </c>
      <c r="M404" s="245"/>
      <c r="N404" s="245"/>
      <c r="O404" s="237"/>
      <c r="P404" s="246">
        <v>0</v>
      </c>
      <c r="Q404" s="247"/>
      <c r="R404" s="246"/>
    </row>
    <row r="405" spans="1:18" s="239" customFormat="1" ht="12.75">
      <c r="A405" s="63" t="s">
        <v>177</v>
      </c>
      <c r="B405" s="63" t="s">
        <v>250</v>
      </c>
      <c r="C405" s="64">
        <v>227304</v>
      </c>
      <c r="D405" s="65">
        <v>9</v>
      </c>
      <c r="E405" s="209">
        <f t="shared" si="12"/>
        <v>98952</v>
      </c>
      <c r="F405" s="245">
        <v>84328</v>
      </c>
      <c r="G405" s="245">
        <v>6259</v>
      </c>
      <c r="H405" s="237">
        <v>7348</v>
      </c>
      <c r="I405" s="246">
        <v>702</v>
      </c>
      <c r="J405" s="247">
        <v>315</v>
      </c>
      <c r="K405" s="246"/>
      <c r="L405" s="238">
        <f t="shared" si="13"/>
        <v>0</v>
      </c>
      <c r="M405" s="245"/>
      <c r="N405" s="245"/>
      <c r="O405" s="237"/>
      <c r="P405" s="246">
        <v>0</v>
      </c>
      <c r="Q405" s="247"/>
      <c r="R405" s="246"/>
    </row>
    <row r="406" spans="1:18" s="239" customFormat="1" ht="12.75">
      <c r="A406" s="63" t="s">
        <v>177</v>
      </c>
      <c r="B406" s="63" t="s">
        <v>251</v>
      </c>
      <c r="C406" s="64">
        <v>246354</v>
      </c>
      <c r="D406" s="65">
        <v>9</v>
      </c>
      <c r="E406" s="209">
        <f t="shared" si="12"/>
        <v>154041</v>
      </c>
      <c r="F406" s="245">
        <v>129066</v>
      </c>
      <c r="G406" s="245">
        <v>7014</v>
      </c>
      <c r="H406" s="237">
        <v>14682</v>
      </c>
      <c r="I406" s="246">
        <v>534</v>
      </c>
      <c r="J406" s="247">
        <v>2745</v>
      </c>
      <c r="K406" s="246"/>
      <c r="L406" s="238">
        <f t="shared" si="13"/>
        <v>0</v>
      </c>
      <c r="M406" s="245"/>
      <c r="N406" s="245"/>
      <c r="O406" s="237"/>
      <c r="P406" s="246">
        <v>0</v>
      </c>
      <c r="Q406" s="247"/>
      <c r="R406" s="246"/>
    </row>
    <row r="407" spans="1:18" s="239" customFormat="1" ht="12.75">
      <c r="A407" s="63" t="s">
        <v>177</v>
      </c>
      <c r="B407" s="63" t="s">
        <v>252</v>
      </c>
      <c r="C407" s="64">
        <v>227401</v>
      </c>
      <c r="D407" s="65">
        <v>9</v>
      </c>
      <c r="E407" s="209">
        <f t="shared" si="12"/>
        <v>83938</v>
      </c>
      <c r="F407" s="245">
        <v>50263</v>
      </c>
      <c r="G407" s="245">
        <v>30808</v>
      </c>
      <c r="H407" s="237">
        <v>2552</v>
      </c>
      <c r="I407" s="246">
        <v>315</v>
      </c>
      <c r="J407" s="247"/>
      <c r="K407" s="246"/>
      <c r="L407" s="238">
        <f t="shared" si="13"/>
        <v>0</v>
      </c>
      <c r="M407" s="245"/>
      <c r="N407" s="245"/>
      <c r="O407" s="237"/>
      <c r="P407" s="246">
        <v>0</v>
      </c>
      <c r="Q407" s="247"/>
      <c r="R407" s="246"/>
    </row>
    <row r="408" spans="1:18" s="239" customFormat="1" ht="12.75">
      <c r="A408" s="63" t="s">
        <v>177</v>
      </c>
      <c r="B408" s="63" t="s">
        <v>253</v>
      </c>
      <c r="C408" s="64">
        <v>228316</v>
      </c>
      <c r="D408" s="65">
        <v>9</v>
      </c>
      <c r="E408" s="209">
        <f t="shared" si="12"/>
        <v>93468</v>
      </c>
      <c r="F408" s="245">
        <v>35600</v>
      </c>
      <c r="G408" s="245">
        <v>45572</v>
      </c>
      <c r="H408" s="237">
        <v>6353</v>
      </c>
      <c r="I408" s="246">
        <v>5638</v>
      </c>
      <c r="J408" s="247">
        <v>305</v>
      </c>
      <c r="K408" s="246"/>
      <c r="L408" s="238">
        <f t="shared" si="13"/>
        <v>0</v>
      </c>
      <c r="M408" s="245"/>
      <c r="N408" s="245"/>
      <c r="O408" s="237"/>
      <c r="P408" s="246">
        <v>0</v>
      </c>
      <c r="Q408" s="247"/>
      <c r="R408" s="246"/>
    </row>
    <row r="409" spans="1:18" s="239" customFormat="1" ht="12.75">
      <c r="A409" s="63" t="s">
        <v>177</v>
      </c>
      <c r="B409" s="63" t="s">
        <v>254</v>
      </c>
      <c r="C409" s="64">
        <v>228608</v>
      </c>
      <c r="D409" s="65">
        <v>9</v>
      </c>
      <c r="E409" s="209">
        <f t="shared" si="12"/>
        <v>76240</v>
      </c>
      <c r="F409" s="245">
        <v>60375</v>
      </c>
      <c r="G409" s="245">
        <v>10699</v>
      </c>
      <c r="H409" s="237">
        <v>3555</v>
      </c>
      <c r="I409" s="246">
        <v>330</v>
      </c>
      <c r="J409" s="247">
        <v>1281</v>
      </c>
      <c r="K409" s="246"/>
      <c r="L409" s="238">
        <f t="shared" si="13"/>
        <v>0</v>
      </c>
      <c r="M409" s="245"/>
      <c r="N409" s="245"/>
      <c r="O409" s="237"/>
      <c r="P409" s="246">
        <v>0</v>
      </c>
      <c r="Q409" s="247"/>
      <c r="R409" s="246"/>
    </row>
    <row r="410" spans="1:18" s="239" customFormat="1" ht="12.75">
      <c r="A410" s="63" t="s">
        <v>177</v>
      </c>
      <c r="B410" s="63" t="s">
        <v>255</v>
      </c>
      <c r="C410" s="64">
        <v>228699</v>
      </c>
      <c r="D410" s="65">
        <v>9</v>
      </c>
      <c r="E410" s="209">
        <f t="shared" si="12"/>
        <v>84691</v>
      </c>
      <c r="F410" s="245">
        <v>77493</v>
      </c>
      <c r="G410" s="245">
        <v>5291</v>
      </c>
      <c r="H410" s="237">
        <v>1907</v>
      </c>
      <c r="I410" s="246">
        <v>0</v>
      </c>
      <c r="J410" s="247"/>
      <c r="K410" s="246"/>
      <c r="L410" s="238">
        <f t="shared" si="13"/>
        <v>0</v>
      </c>
      <c r="M410" s="245"/>
      <c r="N410" s="245"/>
      <c r="O410" s="237"/>
      <c r="P410" s="246">
        <v>0</v>
      </c>
      <c r="Q410" s="247"/>
      <c r="R410" s="246"/>
    </row>
    <row r="411" spans="1:18" s="239" customFormat="1" ht="12.75">
      <c r="A411" s="63" t="s">
        <v>177</v>
      </c>
      <c r="B411" s="63" t="s">
        <v>256</v>
      </c>
      <c r="C411" s="64">
        <v>229319</v>
      </c>
      <c r="D411" s="65">
        <v>9</v>
      </c>
      <c r="E411" s="209">
        <f t="shared" si="12"/>
        <v>101232</v>
      </c>
      <c r="F411" s="245">
        <v>96767</v>
      </c>
      <c r="G411" s="245">
        <v>1987</v>
      </c>
      <c r="H411" s="237">
        <v>1113</v>
      </c>
      <c r="I411" s="246">
        <v>1365</v>
      </c>
      <c r="J411" s="247"/>
      <c r="K411" s="246"/>
      <c r="L411" s="238">
        <f t="shared" si="13"/>
        <v>0</v>
      </c>
      <c r="M411" s="245"/>
      <c r="N411" s="245"/>
      <c r="O411" s="237"/>
      <c r="P411" s="246">
        <v>0</v>
      </c>
      <c r="Q411" s="247"/>
      <c r="R411" s="246"/>
    </row>
    <row r="412" spans="1:18" s="239" customFormat="1" ht="12.75">
      <c r="A412" s="63" t="s">
        <v>177</v>
      </c>
      <c r="B412" s="63" t="s">
        <v>257</v>
      </c>
      <c r="C412" s="64">
        <v>228680</v>
      </c>
      <c r="D412" s="65">
        <v>9</v>
      </c>
      <c r="E412" s="209">
        <f t="shared" si="12"/>
        <v>130253</v>
      </c>
      <c r="F412" s="245">
        <v>119787</v>
      </c>
      <c r="G412" s="245">
        <v>4494</v>
      </c>
      <c r="H412" s="237">
        <v>5972</v>
      </c>
      <c r="I412" s="246">
        <v>0</v>
      </c>
      <c r="J412" s="247"/>
      <c r="K412" s="246"/>
      <c r="L412" s="238">
        <f t="shared" si="13"/>
        <v>0</v>
      </c>
      <c r="M412" s="245"/>
      <c r="N412" s="245"/>
      <c r="O412" s="237"/>
      <c r="P412" s="246">
        <v>0</v>
      </c>
      <c r="Q412" s="247"/>
      <c r="R412" s="246"/>
    </row>
    <row r="413" spans="1:18" s="239" customFormat="1" ht="12.75">
      <c r="A413" s="63" t="s">
        <v>177</v>
      </c>
      <c r="B413" s="63" t="s">
        <v>258</v>
      </c>
      <c r="C413" s="64">
        <v>225308</v>
      </c>
      <c r="D413" s="65">
        <v>9</v>
      </c>
      <c r="E413" s="209">
        <f t="shared" si="12"/>
        <v>131393</v>
      </c>
      <c r="F413" s="245">
        <v>77492</v>
      </c>
      <c r="G413" s="245">
        <v>44688</v>
      </c>
      <c r="H413" s="237">
        <v>5048</v>
      </c>
      <c r="I413" s="246">
        <v>751</v>
      </c>
      <c r="J413" s="247">
        <v>3414</v>
      </c>
      <c r="K413" s="246"/>
      <c r="L413" s="238">
        <f t="shared" si="13"/>
        <v>0</v>
      </c>
      <c r="M413" s="245"/>
      <c r="N413" s="245"/>
      <c r="O413" s="237"/>
      <c r="P413" s="246">
        <v>0</v>
      </c>
      <c r="Q413" s="247"/>
      <c r="R413" s="246"/>
    </row>
    <row r="414" spans="1:18" s="239" customFormat="1" ht="12.75">
      <c r="A414" s="63" t="s">
        <v>177</v>
      </c>
      <c r="B414" s="63" t="s">
        <v>259</v>
      </c>
      <c r="C414" s="64">
        <v>229540</v>
      </c>
      <c r="D414" s="65">
        <v>9</v>
      </c>
      <c r="E414" s="209">
        <f t="shared" si="12"/>
        <v>79538</v>
      </c>
      <c r="F414" s="245">
        <v>63921</v>
      </c>
      <c r="G414" s="245">
        <v>3240</v>
      </c>
      <c r="H414" s="237">
        <v>9296</v>
      </c>
      <c r="I414" s="246">
        <v>3035</v>
      </c>
      <c r="J414" s="247">
        <v>46</v>
      </c>
      <c r="K414" s="246"/>
      <c r="L414" s="238">
        <f t="shared" si="13"/>
        <v>0</v>
      </c>
      <c r="M414" s="245"/>
      <c r="N414" s="245"/>
      <c r="O414" s="237"/>
      <c r="P414" s="246">
        <v>0</v>
      </c>
      <c r="Q414" s="247"/>
      <c r="R414" s="246"/>
    </row>
    <row r="415" spans="1:18" s="239" customFormat="1" ht="12.75">
      <c r="A415" s="63" t="s">
        <v>177</v>
      </c>
      <c r="B415" s="63" t="s">
        <v>260</v>
      </c>
      <c r="C415" s="64">
        <v>229799</v>
      </c>
      <c r="D415" s="65">
        <v>9</v>
      </c>
      <c r="E415" s="209">
        <f t="shared" si="12"/>
        <v>82227</v>
      </c>
      <c r="F415" s="245">
        <v>66001</v>
      </c>
      <c r="G415" s="245">
        <v>6432</v>
      </c>
      <c r="H415" s="237">
        <v>8579</v>
      </c>
      <c r="I415" s="246">
        <v>1185</v>
      </c>
      <c r="J415" s="247">
        <v>30</v>
      </c>
      <c r="K415" s="246"/>
      <c r="L415" s="238">
        <f t="shared" si="13"/>
        <v>0</v>
      </c>
      <c r="M415" s="245"/>
      <c r="N415" s="245"/>
      <c r="O415" s="237"/>
      <c r="P415" s="246">
        <v>0</v>
      </c>
      <c r="Q415" s="247"/>
      <c r="R415" s="246"/>
    </row>
    <row r="416" spans="1:18" s="239" customFormat="1" ht="12.75">
      <c r="A416" s="63" t="s">
        <v>177</v>
      </c>
      <c r="B416" s="63" t="s">
        <v>261</v>
      </c>
      <c r="C416" s="64">
        <v>229841</v>
      </c>
      <c r="D416" s="65">
        <v>9</v>
      </c>
      <c r="E416" s="209">
        <f t="shared" si="12"/>
        <v>125105</v>
      </c>
      <c r="F416" s="245">
        <v>44569</v>
      </c>
      <c r="G416" s="245">
        <v>75140</v>
      </c>
      <c r="H416" s="237">
        <v>3487</v>
      </c>
      <c r="I416" s="246">
        <v>1161</v>
      </c>
      <c r="J416" s="247">
        <v>748</v>
      </c>
      <c r="K416" s="246"/>
      <c r="L416" s="238">
        <f t="shared" si="13"/>
        <v>0</v>
      </c>
      <c r="M416" s="245"/>
      <c r="N416" s="245"/>
      <c r="O416" s="237"/>
      <c r="P416" s="246">
        <v>0</v>
      </c>
      <c r="Q416" s="247"/>
      <c r="R416" s="246"/>
    </row>
    <row r="417" spans="1:18" s="239" customFormat="1" ht="12.75">
      <c r="A417" s="63" t="s">
        <v>177</v>
      </c>
      <c r="B417" s="63" t="s">
        <v>262</v>
      </c>
      <c r="C417" s="64">
        <v>223898</v>
      </c>
      <c r="D417" s="65">
        <v>10</v>
      </c>
      <c r="E417" s="209">
        <f t="shared" si="12"/>
        <v>68474</v>
      </c>
      <c r="F417" s="245">
        <v>17085</v>
      </c>
      <c r="G417" s="245">
        <v>50816</v>
      </c>
      <c r="H417" s="237">
        <v>231</v>
      </c>
      <c r="I417" s="246">
        <v>0</v>
      </c>
      <c r="J417" s="247">
        <v>342</v>
      </c>
      <c r="K417" s="246"/>
      <c r="L417" s="238">
        <f t="shared" si="13"/>
        <v>0</v>
      </c>
      <c r="M417" s="245"/>
      <c r="N417" s="245"/>
      <c r="O417" s="237"/>
      <c r="P417" s="246">
        <v>0</v>
      </c>
      <c r="Q417" s="247"/>
      <c r="R417" s="246"/>
    </row>
    <row r="418" spans="1:18" s="239" customFormat="1" ht="12.75">
      <c r="A418" s="63" t="s">
        <v>177</v>
      </c>
      <c r="B418" s="63" t="s">
        <v>263</v>
      </c>
      <c r="C418" s="64">
        <v>223922</v>
      </c>
      <c r="D418" s="65">
        <v>10</v>
      </c>
      <c r="E418" s="209">
        <f t="shared" si="12"/>
        <v>20230</v>
      </c>
      <c r="F418" s="245">
        <v>10438</v>
      </c>
      <c r="G418" s="245">
        <v>7730</v>
      </c>
      <c r="H418" s="237">
        <v>992</v>
      </c>
      <c r="I418" s="246">
        <v>1013</v>
      </c>
      <c r="J418" s="247">
        <v>57</v>
      </c>
      <c r="K418" s="246"/>
      <c r="L418" s="238">
        <f t="shared" si="13"/>
        <v>0</v>
      </c>
      <c r="M418" s="245"/>
      <c r="N418" s="245"/>
      <c r="O418" s="237"/>
      <c r="P418" s="246">
        <v>0</v>
      </c>
      <c r="Q418" s="247"/>
      <c r="R418" s="246"/>
    </row>
    <row r="419" spans="1:18" s="239" customFormat="1" ht="12.75">
      <c r="A419" s="63" t="s">
        <v>177</v>
      </c>
      <c r="B419" s="63" t="s">
        <v>264</v>
      </c>
      <c r="C419" s="64">
        <v>224891</v>
      </c>
      <c r="D419" s="65">
        <v>10</v>
      </c>
      <c r="E419" s="209">
        <f t="shared" si="12"/>
        <v>25729</v>
      </c>
      <c r="F419" s="245">
        <v>20358</v>
      </c>
      <c r="G419" s="245">
        <v>2216</v>
      </c>
      <c r="H419" s="237">
        <v>1317</v>
      </c>
      <c r="I419" s="246">
        <v>0</v>
      </c>
      <c r="J419" s="247">
        <v>1838</v>
      </c>
      <c r="K419" s="246"/>
      <c r="L419" s="238">
        <f t="shared" si="13"/>
        <v>0</v>
      </c>
      <c r="M419" s="245"/>
      <c r="N419" s="245"/>
      <c r="O419" s="237"/>
      <c r="P419" s="246">
        <v>0</v>
      </c>
      <c r="Q419" s="247"/>
      <c r="R419" s="246"/>
    </row>
    <row r="420" spans="1:18" s="239" customFormat="1" ht="12.75">
      <c r="A420" s="63" t="s">
        <v>177</v>
      </c>
      <c r="B420" s="63" t="s">
        <v>265</v>
      </c>
      <c r="C420" s="64">
        <v>224961</v>
      </c>
      <c r="D420" s="65">
        <v>10</v>
      </c>
      <c r="E420" s="209">
        <f t="shared" si="12"/>
        <v>42546</v>
      </c>
      <c r="F420" s="245">
        <v>40272</v>
      </c>
      <c r="G420" s="245"/>
      <c r="H420" s="237">
        <v>1983</v>
      </c>
      <c r="I420" s="246">
        <v>0</v>
      </c>
      <c r="J420" s="247">
        <v>291</v>
      </c>
      <c r="K420" s="246"/>
      <c r="L420" s="238">
        <f t="shared" si="13"/>
        <v>0</v>
      </c>
      <c r="M420" s="245"/>
      <c r="N420" s="245"/>
      <c r="O420" s="237"/>
      <c r="P420" s="246">
        <v>0</v>
      </c>
      <c r="Q420" s="247"/>
      <c r="R420" s="246"/>
    </row>
    <row r="421" spans="1:18" s="239" customFormat="1" ht="12.75">
      <c r="A421" s="63" t="s">
        <v>177</v>
      </c>
      <c r="B421" s="63" t="s">
        <v>266</v>
      </c>
      <c r="C421" s="64">
        <v>225371</v>
      </c>
      <c r="D421" s="65">
        <v>10</v>
      </c>
      <c r="E421" s="209">
        <f t="shared" si="12"/>
        <v>68107</v>
      </c>
      <c r="F421" s="245">
        <v>23535</v>
      </c>
      <c r="G421" s="245">
        <v>40590</v>
      </c>
      <c r="H421" s="237">
        <v>2665</v>
      </c>
      <c r="I421" s="246">
        <v>969</v>
      </c>
      <c r="J421" s="247">
        <v>348</v>
      </c>
      <c r="K421" s="246"/>
      <c r="L421" s="238">
        <f t="shared" si="13"/>
        <v>0</v>
      </c>
      <c r="M421" s="245"/>
      <c r="N421" s="245"/>
      <c r="O421" s="237"/>
      <c r="P421" s="246">
        <v>0</v>
      </c>
      <c r="Q421" s="247"/>
      <c r="R421" s="246"/>
    </row>
    <row r="422" spans="1:18" s="239" customFormat="1" ht="12.75">
      <c r="A422" s="63" t="s">
        <v>177</v>
      </c>
      <c r="B422" s="63" t="s">
        <v>267</v>
      </c>
      <c r="C422" s="64"/>
      <c r="D422" s="65">
        <v>10</v>
      </c>
      <c r="E422" s="209">
        <f t="shared" si="12"/>
        <v>54272</v>
      </c>
      <c r="F422" s="245">
        <v>53508</v>
      </c>
      <c r="G422" s="245">
        <v>218</v>
      </c>
      <c r="H422" s="237">
        <v>546</v>
      </c>
      <c r="I422" s="246">
        <v>0</v>
      </c>
      <c r="J422" s="247"/>
      <c r="K422" s="246"/>
      <c r="L422" s="238">
        <f t="shared" si="13"/>
        <v>0</v>
      </c>
      <c r="M422" s="245"/>
      <c r="N422" s="245"/>
      <c r="O422" s="237"/>
      <c r="P422" s="246">
        <v>0</v>
      </c>
      <c r="Q422" s="247"/>
      <c r="R422" s="246"/>
    </row>
    <row r="423" spans="1:18" s="239" customFormat="1" ht="12.75">
      <c r="A423" s="63" t="s">
        <v>177</v>
      </c>
      <c r="B423" s="63" t="s">
        <v>268</v>
      </c>
      <c r="C423" s="64">
        <v>226107</v>
      </c>
      <c r="D423" s="65">
        <v>10</v>
      </c>
      <c r="E423" s="209">
        <f t="shared" si="12"/>
        <v>37138</v>
      </c>
      <c r="F423" s="245">
        <v>34566</v>
      </c>
      <c r="G423" s="245">
        <v>1283</v>
      </c>
      <c r="H423" s="237">
        <v>1133</v>
      </c>
      <c r="I423" s="246">
        <v>0</v>
      </c>
      <c r="J423" s="247">
        <v>156</v>
      </c>
      <c r="K423" s="246"/>
      <c r="L423" s="238">
        <f t="shared" si="13"/>
        <v>0</v>
      </c>
      <c r="M423" s="245"/>
      <c r="N423" s="245"/>
      <c r="O423" s="237"/>
      <c r="P423" s="246">
        <v>0</v>
      </c>
      <c r="Q423" s="247"/>
      <c r="R423" s="246"/>
    </row>
    <row r="424" spans="1:18" s="239" customFormat="1" ht="12.75">
      <c r="A424" s="63" t="s">
        <v>177</v>
      </c>
      <c r="B424" s="63" t="s">
        <v>269</v>
      </c>
      <c r="C424" s="64">
        <v>227225</v>
      </c>
      <c r="D424" s="65">
        <v>10</v>
      </c>
      <c r="E424" s="209">
        <f t="shared" si="12"/>
        <v>55738</v>
      </c>
      <c r="F424" s="245">
        <v>52229</v>
      </c>
      <c r="G424" s="245">
        <v>957</v>
      </c>
      <c r="H424" s="237">
        <v>2552</v>
      </c>
      <c r="I424" s="246">
        <v>0</v>
      </c>
      <c r="J424" s="247"/>
      <c r="K424" s="246"/>
      <c r="L424" s="238">
        <f t="shared" si="13"/>
        <v>0</v>
      </c>
      <c r="M424" s="245"/>
      <c r="N424" s="245"/>
      <c r="O424" s="237"/>
      <c r="P424" s="246">
        <v>0</v>
      </c>
      <c r="Q424" s="247"/>
      <c r="R424" s="246"/>
    </row>
    <row r="425" spans="1:18" s="239" customFormat="1" ht="12.75">
      <c r="A425" s="63" t="s">
        <v>177</v>
      </c>
      <c r="B425" s="63" t="s">
        <v>270</v>
      </c>
      <c r="C425" s="64">
        <v>227386</v>
      </c>
      <c r="D425" s="65">
        <v>10</v>
      </c>
      <c r="E425" s="209">
        <f t="shared" si="12"/>
        <v>39652</v>
      </c>
      <c r="F425" s="245">
        <v>28978</v>
      </c>
      <c r="G425" s="245">
        <v>5830</v>
      </c>
      <c r="H425" s="237">
        <v>3786</v>
      </c>
      <c r="I425" s="246">
        <v>1058</v>
      </c>
      <c r="J425" s="247"/>
      <c r="K425" s="246"/>
      <c r="L425" s="238">
        <f t="shared" si="13"/>
        <v>0</v>
      </c>
      <c r="M425" s="245"/>
      <c r="N425" s="245"/>
      <c r="O425" s="237"/>
      <c r="P425" s="246">
        <v>0</v>
      </c>
      <c r="Q425" s="247"/>
      <c r="R425" s="246"/>
    </row>
    <row r="426" spans="1:18" s="239" customFormat="1" ht="12.75">
      <c r="A426" s="63" t="s">
        <v>177</v>
      </c>
      <c r="B426" s="63" t="s">
        <v>271</v>
      </c>
      <c r="C426" s="64">
        <v>227687</v>
      </c>
      <c r="D426" s="65">
        <v>10</v>
      </c>
      <c r="E426" s="209">
        <f t="shared" si="12"/>
        <v>19050</v>
      </c>
      <c r="F426" s="245">
        <v>10098</v>
      </c>
      <c r="G426" s="245">
        <v>8276</v>
      </c>
      <c r="H426" s="237">
        <v>208</v>
      </c>
      <c r="I426" s="246">
        <v>39</v>
      </c>
      <c r="J426" s="247">
        <v>429</v>
      </c>
      <c r="K426" s="246"/>
      <c r="L426" s="238">
        <f t="shared" si="13"/>
        <v>0</v>
      </c>
      <c r="M426" s="245"/>
      <c r="N426" s="245"/>
      <c r="O426" s="237"/>
      <c r="P426" s="246">
        <v>0</v>
      </c>
      <c r="Q426" s="247"/>
      <c r="R426" s="246"/>
    </row>
    <row r="427" spans="1:18" s="239" customFormat="1" ht="12.75">
      <c r="A427" s="63" t="s">
        <v>177</v>
      </c>
      <c r="B427" s="63" t="s">
        <v>272</v>
      </c>
      <c r="C427" s="64">
        <v>382911</v>
      </c>
      <c r="D427" s="65">
        <v>10</v>
      </c>
      <c r="E427" s="209">
        <f t="shared" si="12"/>
        <v>2736</v>
      </c>
      <c r="F427" s="245">
        <v>2736</v>
      </c>
      <c r="G427" s="245"/>
      <c r="H427" s="237"/>
      <c r="I427" s="246">
        <v>0</v>
      </c>
      <c r="J427" s="247"/>
      <c r="K427" s="246"/>
      <c r="L427" s="238">
        <f t="shared" si="13"/>
        <v>0</v>
      </c>
      <c r="M427" s="245"/>
      <c r="N427" s="245"/>
      <c r="O427" s="237"/>
      <c r="P427" s="246">
        <v>0</v>
      </c>
      <c r="Q427" s="247"/>
      <c r="R427" s="246"/>
    </row>
    <row r="428" spans="1:18" s="239" customFormat="1" ht="12.75">
      <c r="A428" s="63" t="s">
        <v>177</v>
      </c>
      <c r="B428" s="63" t="s">
        <v>273</v>
      </c>
      <c r="C428" s="72"/>
      <c r="D428" s="65">
        <v>10</v>
      </c>
      <c r="E428" s="209">
        <f t="shared" si="12"/>
        <v>17652</v>
      </c>
      <c r="F428" s="245">
        <v>16847</v>
      </c>
      <c r="G428" s="245">
        <v>125</v>
      </c>
      <c r="H428" s="237">
        <v>641</v>
      </c>
      <c r="I428" s="246">
        <v>0</v>
      </c>
      <c r="J428" s="247">
        <v>39</v>
      </c>
      <c r="K428" s="246"/>
      <c r="L428" s="238">
        <f t="shared" si="13"/>
        <v>0</v>
      </c>
      <c r="M428" s="245"/>
      <c r="N428" s="245"/>
      <c r="O428" s="237"/>
      <c r="P428" s="246">
        <v>0</v>
      </c>
      <c r="Q428" s="247"/>
      <c r="R428" s="246"/>
    </row>
    <row r="429" spans="1:18" s="239" customFormat="1" ht="12.75">
      <c r="A429" s="63" t="s">
        <v>177</v>
      </c>
      <c r="B429" s="63" t="s">
        <v>274</v>
      </c>
      <c r="C429" s="64">
        <v>229328</v>
      </c>
      <c r="D429" s="65">
        <v>10</v>
      </c>
      <c r="E429" s="209">
        <f t="shared" si="12"/>
        <v>50419</v>
      </c>
      <c r="F429" s="245">
        <v>22427</v>
      </c>
      <c r="G429" s="245">
        <v>24336</v>
      </c>
      <c r="H429" s="237">
        <v>199</v>
      </c>
      <c r="I429" s="246">
        <v>3457</v>
      </c>
      <c r="J429" s="247"/>
      <c r="K429" s="246"/>
      <c r="L429" s="238">
        <f t="shared" si="13"/>
        <v>0</v>
      </c>
      <c r="M429" s="245"/>
      <c r="N429" s="245"/>
      <c r="O429" s="237"/>
      <c r="P429" s="246">
        <v>0</v>
      </c>
      <c r="Q429" s="247"/>
      <c r="R429" s="246"/>
    </row>
    <row r="430" spans="1:18" s="239" customFormat="1" ht="12.75">
      <c r="A430" s="63" t="s">
        <v>177</v>
      </c>
      <c r="B430" s="63" t="s">
        <v>275</v>
      </c>
      <c r="C430" s="64">
        <v>229504</v>
      </c>
      <c r="D430" s="65">
        <v>10</v>
      </c>
      <c r="E430" s="209">
        <f t="shared" si="12"/>
        <v>60033</v>
      </c>
      <c r="F430" s="245">
        <v>13979</v>
      </c>
      <c r="G430" s="245">
        <v>30919</v>
      </c>
      <c r="H430" s="237">
        <v>9861</v>
      </c>
      <c r="I430" s="246">
        <v>5274</v>
      </c>
      <c r="J430" s="247"/>
      <c r="K430" s="246"/>
      <c r="L430" s="238">
        <f t="shared" si="13"/>
        <v>0</v>
      </c>
      <c r="M430" s="245"/>
      <c r="N430" s="245"/>
      <c r="O430" s="237"/>
      <c r="P430" s="246">
        <v>0</v>
      </c>
      <c r="Q430" s="247"/>
      <c r="R430" s="246"/>
    </row>
    <row r="431" spans="1:18" s="253" customFormat="1" ht="12.75">
      <c r="A431" s="73" t="s">
        <v>177</v>
      </c>
      <c r="B431" s="73" t="s">
        <v>276</v>
      </c>
      <c r="C431" s="74">
        <v>229832</v>
      </c>
      <c r="D431" s="75">
        <v>10</v>
      </c>
      <c r="E431" s="219">
        <f t="shared" si="12"/>
        <v>31110</v>
      </c>
      <c r="F431" s="248">
        <v>16537</v>
      </c>
      <c r="G431" s="248">
        <v>9308</v>
      </c>
      <c r="H431" s="249"/>
      <c r="I431" s="246">
        <v>5265</v>
      </c>
      <c r="J431" s="250"/>
      <c r="K431" s="251"/>
      <c r="L431" s="252">
        <f t="shared" si="13"/>
        <v>0</v>
      </c>
      <c r="M431" s="248"/>
      <c r="N431" s="248"/>
      <c r="O431" s="249"/>
      <c r="P431" s="246">
        <v>0</v>
      </c>
      <c r="Q431" s="250"/>
      <c r="R431" s="251"/>
    </row>
    <row r="432" spans="1:18" s="258" customFormat="1" ht="12.75">
      <c r="A432" s="110" t="s">
        <v>524</v>
      </c>
      <c r="B432" s="110"/>
      <c r="C432" s="111"/>
      <c r="D432" s="112">
        <v>1</v>
      </c>
      <c r="E432" s="254">
        <f t="shared" si="12"/>
        <v>0</v>
      </c>
      <c r="F432" s="255"/>
      <c r="G432" s="255"/>
      <c r="H432" s="256"/>
      <c r="I432" s="211">
        <v>0</v>
      </c>
      <c r="J432" s="255"/>
      <c r="K432" s="256"/>
      <c r="L432" s="257">
        <f t="shared" si="13"/>
        <v>0</v>
      </c>
      <c r="M432" s="255"/>
      <c r="N432" s="255"/>
      <c r="O432" s="256"/>
      <c r="P432" s="211">
        <v>0</v>
      </c>
      <c r="Q432" s="255"/>
      <c r="R432" s="256"/>
    </row>
    <row r="433" spans="1:18" s="213" customFormat="1" ht="12.75">
      <c r="A433" s="107" t="s">
        <v>7</v>
      </c>
      <c r="B433" s="107" t="s">
        <v>8</v>
      </c>
      <c r="C433" s="108">
        <v>238032</v>
      </c>
      <c r="D433" s="29">
        <v>1</v>
      </c>
      <c r="E433" s="209">
        <f t="shared" si="12"/>
        <v>511802</v>
      </c>
      <c r="F433" s="210">
        <f>224190+26133+256267</f>
        <v>506590</v>
      </c>
      <c r="G433" s="210">
        <f>45+442+290</f>
        <v>777</v>
      </c>
      <c r="H433" s="211">
        <f>1444+955+1464</f>
        <v>3863</v>
      </c>
      <c r="I433" s="211">
        <v>0</v>
      </c>
      <c r="J433" s="68">
        <f>522+50</f>
        <v>572</v>
      </c>
      <c r="K433" s="211">
        <v>0</v>
      </c>
      <c r="L433" s="212">
        <f t="shared" si="13"/>
        <v>110388</v>
      </c>
      <c r="M433" s="210">
        <f>33958+10877+35540</f>
        <v>80375</v>
      </c>
      <c r="N433" s="210">
        <f>5579+10534+6151</f>
        <v>22264</v>
      </c>
      <c r="O433" s="211">
        <f>648+541+678</f>
        <v>1867</v>
      </c>
      <c r="P433" s="211">
        <v>3380</v>
      </c>
      <c r="Q433" s="68">
        <f>1338+33+1131</f>
        <v>2502</v>
      </c>
      <c r="R433" s="211">
        <v>0</v>
      </c>
    </row>
    <row r="434" spans="1:18" s="213" customFormat="1" ht="12.75">
      <c r="A434" s="107" t="s">
        <v>7</v>
      </c>
      <c r="B434" s="107" t="s">
        <v>9</v>
      </c>
      <c r="C434" s="108">
        <v>237525</v>
      </c>
      <c r="D434" s="29">
        <v>3</v>
      </c>
      <c r="E434" s="209">
        <f t="shared" si="12"/>
        <v>271514</v>
      </c>
      <c r="F434" s="210">
        <f>112907+13712+125138</f>
        <v>251757</v>
      </c>
      <c r="G434" s="210">
        <f>3751+618+4031</f>
        <v>8400</v>
      </c>
      <c r="H434" s="211">
        <f>3311+3100+3927</f>
        <v>10338</v>
      </c>
      <c r="I434" s="211">
        <v>714</v>
      </c>
      <c r="J434" s="68">
        <v>305</v>
      </c>
      <c r="K434" s="211">
        <v>0</v>
      </c>
      <c r="L434" s="212">
        <f t="shared" si="13"/>
        <v>54217</v>
      </c>
      <c r="M434" s="210">
        <f>6554+2398+6196</f>
        <v>15148</v>
      </c>
      <c r="N434" s="210">
        <f>9992+8731+8551</f>
        <v>27274</v>
      </c>
      <c r="O434" s="211">
        <f>3141+3164+3588</f>
        <v>9893</v>
      </c>
      <c r="P434" s="211">
        <v>1764</v>
      </c>
      <c r="Q434" s="68">
        <v>138</v>
      </c>
      <c r="R434" s="211">
        <v>0</v>
      </c>
    </row>
    <row r="435" spans="1:18" s="213" customFormat="1" ht="12.75">
      <c r="A435" s="107" t="s">
        <v>7</v>
      </c>
      <c r="B435" s="107" t="s">
        <v>10</v>
      </c>
      <c r="C435" s="108">
        <v>237215</v>
      </c>
      <c r="D435" s="29">
        <v>6</v>
      </c>
      <c r="E435" s="209">
        <f t="shared" si="12"/>
        <v>81732</v>
      </c>
      <c r="F435" s="210">
        <f>19683+2187+21642</f>
        <v>43512</v>
      </c>
      <c r="G435" s="210">
        <f>10972+1253+18900</f>
        <v>31125</v>
      </c>
      <c r="H435" s="211">
        <f>418+81+957</f>
        <v>1456</v>
      </c>
      <c r="I435" s="211">
        <v>4133</v>
      </c>
      <c r="J435" s="68">
        <f>690+816</f>
        <v>1506</v>
      </c>
      <c r="K435" s="211">
        <v>0</v>
      </c>
      <c r="L435" s="212">
        <f t="shared" si="13"/>
        <v>0</v>
      </c>
      <c r="M435" s="210"/>
      <c r="N435" s="210"/>
      <c r="O435" s="211"/>
      <c r="P435" s="211">
        <v>0</v>
      </c>
      <c r="Q435" s="68"/>
      <c r="R435" s="211">
        <v>0</v>
      </c>
    </row>
    <row r="436" spans="1:18" s="213" customFormat="1" ht="12.75">
      <c r="A436" s="107" t="s">
        <v>7</v>
      </c>
      <c r="B436" s="107" t="s">
        <v>569</v>
      </c>
      <c r="C436" s="108">
        <v>237330</v>
      </c>
      <c r="D436" s="29">
        <v>6</v>
      </c>
      <c r="E436" s="209">
        <f t="shared" si="12"/>
        <v>83000</v>
      </c>
      <c r="F436" s="210">
        <f>34828+2623+36534</f>
        <v>73985</v>
      </c>
      <c r="G436" s="210">
        <f>3791+399+4825</f>
        <v>9015</v>
      </c>
      <c r="H436" s="211">
        <v>0</v>
      </c>
      <c r="I436" s="211">
        <v>0</v>
      </c>
      <c r="J436" s="68">
        <v>0</v>
      </c>
      <c r="K436" s="211">
        <v>0</v>
      </c>
      <c r="L436" s="212">
        <f t="shared" si="13"/>
        <v>471</v>
      </c>
      <c r="M436" s="210">
        <f>45+426</f>
        <v>471</v>
      </c>
      <c r="N436" s="210">
        <v>0</v>
      </c>
      <c r="O436" s="211"/>
      <c r="P436" s="211">
        <v>0</v>
      </c>
      <c r="Q436" s="68"/>
      <c r="R436" s="211">
        <v>0</v>
      </c>
    </row>
    <row r="437" spans="1:18" s="213" customFormat="1" ht="12.75">
      <c r="A437" s="107" t="s">
        <v>7</v>
      </c>
      <c r="B437" s="107" t="s">
        <v>570</v>
      </c>
      <c r="C437" s="108">
        <v>237367</v>
      </c>
      <c r="D437" s="29">
        <v>6</v>
      </c>
      <c r="E437" s="209">
        <f t="shared" si="12"/>
        <v>106027</v>
      </c>
      <c r="F437" s="210">
        <f>43452+4667+44350</f>
        <v>92469</v>
      </c>
      <c r="G437" s="210">
        <f>4433+177+7362</f>
        <v>11972</v>
      </c>
      <c r="H437" s="211">
        <f>96+1187</f>
        <v>1283</v>
      </c>
      <c r="I437" s="211">
        <v>0</v>
      </c>
      <c r="J437" s="68">
        <f>72+231</f>
        <v>303</v>
      </c>
      <c r="K437" s="211">
        <v>0</v>
      </c>
      <c r="L437" s="212">
        <f t="shared" si="13"/>
        <v>270</v>
      </c>
      <c r="M437" s="210">
        <v>270</v>
      </c>
      <c r="N437" s="210"/>
      <c r="O437" s="211"/>
      <c r="P437" s="211">
        <v>0</v>
      </c>
      <c r="Q437" s="68"/>
      <c r="R437" s="211">
        <v>0</v>
      </c>
    </row>
    <row r="438" spans="1:18" s="213" customFormat="1" ht="12.75">
      <c r="A438" s="107" t="s">
        <v>7</v>
      </c>
      <c r="B438" s="107" t="s">
        <v>11</v>
      </c>
      <c r="C438" s="108">
        <v>237385</v>
      </c>
      <c r="D438" s="29">
        <v>6</v>
      </c>
      <c r="E438" s="209">
        <f t="shared" si="12"/>
        <v>48489</v>
      </c>
      <c r="F438" s="210">
        <f>18785+3226+18913</f>
        <v>40924</v>
      </c>
      <c r="G438" s="210">
        <f>6697+10</f>
        <v>6707</v>
      </c>
      <c r="H438" s="211">
        <f>282+321</f>
        <v>603</v>
      </c>
      <c r="I438" s="211">
        <v>255</v>
      </c>
      <c r="J438" s="68">
        <v>0</v>
      </c>
      <c r="K438" s="211">
        <v>0</v>
      </c>
      <c r="L438" s="212">
        <f t="shared" si="13"/>
        <v>0</v>
      </c>
      <c r="M438" s="210"/>
      <c r="N438" s="210"/>
      <c r="O438" s="211"/>
      <c r="P438" s="211">
        <v>0</v>
      </c>
      <c r="Q438" s="68"/>
      <c r="R438" s="211">
        <v>0</v>
      </c>
    </row>
    <row r="439" spans="1:18" s="213" customFormat="1" ht="12.75">
      <c r="A439" s="107" t="s">
        <v>7</v>
      </c>
      <c r="B439" s="107" t="s">
        <v>571</v>
      </c>
      <c r="C439" s="109">
        <v>237792</v>
      </c>
      <c r="D439" s="29">
        <v>6</v>
      </c>
      <c r="E439" s="209">
        <f t="shared" si="12"/>
        <v>112290</v>
      </c>
      <c r="F439" s="210">
        <f>43003+4844+47309</f>
        <v>95156</v>
      </c>
      <c r="G439" s="210">
        <f>7270+1221+8114</f>
        <v>16605</v>
      </c>
      <c r="H439" s="211">
        <v>455</v>
      </c>
      <c r="I439" s="211">
        <v>74</v>
      </c>
      <c r="J439" s="68">
        <v>0</v>
      </c>
      <c r="K439" s="211">
        <v>0</v>
      </c>
      <c r="L439" s="212">
        <f t="shared" si="13"/>
        <v>105</v>
      </c>
      <c r="M439" s="210">
        <v>105</v>
      </c>
      <c r="N439" s="210"/>
      <c r="O439" s="211"/>
      <c r="P439" s="211">
        <v>0</v>
      </c>
      <c r="Q439" s="68"/>
      <c r="R439" s="211">
        <v>0</v>
      </c>
    </row>
    <row r="440" spans="1:18" s="213" customFormat="1" ht="12.75">
      <c r="A440" s="107" t="s">
        <v>7</v>
      </c>
      <c r="B440" s="107" t="s">
        <v>12</v>
      </c>
      <c r="C440" s="108">
        <v>237932</v>
      </c>
      <c r="D440" s="29">
        <v>6</v>
      </c>
      <c r="E440" s="209">
        <f t="shared" si="12"/>
        <v>74655</v>
      </c>
      <c r="F440" s="210">
        <f>33065+1750+37249</f>
        <v>72064</v>
      </c>
      <c r="G440" s="210">
        <f>1175+111+999</f>
        <v>2285</v>
      </c>
      <c r="H440" s="211">
        <f>144+102</f>
        <v>246</v>
      </c>
      <c r="I440" s="211">
        <v>0</v>
      </c>
      <c r="J440" s="68">
        <f>54+6</f>
        <v>60</v>
      </c>
      <c r="K440" s="211">
        <v>0</v>
      </c>
      <c r="L440" s="212">
        <f t="shared" si="13"/>
        <v>144</v>
      </c>
      <c r="M440" s="210">
        <v>0</v>
      </c>
      <c r="N440" s="210">
        <f>72+12+60</f>
        <v>144</v>
      </c>
      <c r="O440" s="211"/>
      <c r="P440" s="211">
        <v>0</v>
      </c>
      <c r="Q440" s="68"/>
      <c r="R440" s="211">
        <v>0</v>
      </c>
    </row>
    <row r="441" spans="1:18" s="213" customFormat="1" ht="12.75">
      <c r="A441" s="107" t="s">
        <v>7</v>
      </c>
      <c r="B441" s="107" t="s">
        <v>572</v>
      </c>
      <c r="C441" s="109">
        <v>237899</v>
      </c>
      <c r="D441" s="29">
        <v>6</v>
      </c>
      <c r="E441" s="209">
        <f t="shared" si="12"/>
        <v>112079</v>
      </c>
      <c r="F441" s="210">
        <f>47404+5045+53305</f>
        <v>105754</v>
      </c>
      <c r="G441" s="210">
        <f>3010+395+2080</f>
        <v>5485</v>
      </c>
      <c r="H441" s="211">
        <v>720</v>
      </c>
      <c r="I441" s="211">
        <v>0</v>
      </c>
      <c r="J441" s="68">
        <v>120</v>
      </c>
      <c r="K441" s="211">
        <v>0</v>
      </c>
      <c r="L441" s="212">
        <f t="shared" si="13"/>
        <v>143</v>
      </c>
      <c r="M441" s="210">
        <v>143</v>
      </c>
      <c r="N441" s="210"/>
      <c r="O441" s="211"/>
      <c r="P441" s="211">
        <v>0</v>
      </c>
      <c r="Q441" s="68"/>
      <c r="R441" s="211">
        <v>0</v>
      </c>
    </row>
    <row r="442" spans="1:18" s="213" customFormat="1" ht="12.75">
      <c r="A442" s="107" t="s">
        <v>7</v>
      </c>
      <c r="B442" s="107" t="s">
        <v>525</v>
      </c>
      <c r="C442" s="108">
        <v>237950</v>
      </c>
      <c r="D442" s="29">
        <v>6</v>
      </c>
      <c r="E442" s="209">
        <f t="shared" si="12"/>
        <v>44219</v>
      </c>
      <c r="F442" s="210">
        <f>20250+1633+18264</f>
        <v>40147</v>
      </c>
      <c r="G442" s="210">
        <f>681+1380</f>
        <v>2061</v>
      </c>
      <c r="H442" s="211">
        <f>911+207+845</f>
        <v>1963</v>
      </c>
      <c r="I442" s="211">
        <v>48</v>
      </c>
      <c r="J442" s="68" t="s">
        <v>526</v>
      </c>
      <c r="K442" s="211">
        <v>0</v>
      </c>
      <c r="L442" s="212">
        <f t="shared" si="13"/>
        <v>543</v>
      </c>
      <c r="M442" s="210">
        <f>267+33+243</f>
        <v>543</v>
      </c>
      <c r="N442" s="210">
        <v>0</v>
      </c>
      <c r="O442" s="211"/>
      <c r="P442" s="211">
        <v>0</v>
      </c>
      <c r="Q442" s="68"/>
      <c r="R442" s="211">
        <v>0</v>
      </c>
    </row>
    <row r="443" spans="1:18" s="213" customFormat="1" ht="12.75">
      <c r="A443" s="107" t="s">
        <v>7</v>
      </c>
      <c r="B443" s="107" t="s">
        <v>527</v>
      </c>
      <c r="C443" s="108">
        <v>237686</v>
      </c>
      <c r="D443" s="29">
        <v>7</v>
      </c>
      <c r="E443" s="209">
        <f t="shared" si="12"/>
        <v>77509</v>
      </c>
      <c r="F443" s="210">
        <f>23548+3327+26344</f>
        <v>53219</v>
      </c>
      <c r="G443" s="210">
        <f>8143+1326+8164</f>
        <v>17633</v>
      </c>
      <c r="H443" s="211">
        <f>2395+99+3599</f>
        <v>6093</v>
      </c>
      <c r="I443" s="211">
        <v>0</v>
      </c>
      <c r="J443" s="68">
        <f>252+312</f>
        <v>564</v>
      </c>
      <c r="K443" s="211">
        <v>0</v>
      </c>
      <c r="L443" s="212">
        <f t="shared" si="13"/>
        <v>0</v>
      </c>
      <c r="M443" s="210"/>
      <c r="N443" s="210"/>
      <c r="O443" s="211"/>
      <c r="P443" s="211">
        <v>0</v>
      </c>
      <c r="Q443" s="68"/>
      <c r="R443" s="211">
        <v>0</v>
      </c>
    </row>
    <row r="444" spans="1:18" s="213" customFormat="1" ht="12.75">
      <c r="A444" s="107" t="s">
        <v>7</v>
      </c>
      <c r="B444" s="100" t="s">
        <v>528</v>
      </c>
      <c r="C444" s="108">
        <v>443492</v>
      </c>
      <c r="D444" s="29">
        <v>9</v>
      </c>
      <c r="E444" s="209">
        <f aca="true" t="shared" si="14" ref="E444:E450">SUM(F444:K444)</f>
        <v>66092</v>
      </c>
      <c r="F444" s="210">
        <f>23384+3905+21103</f>
        <v>48392</v>
      </c>
      <c r="G444" s="210">
        <f>4733+319+11875</f>
        <v>16927</v>
      </c>
      <c r="H444" s="211">
        <f>25+523</f>
        <v>548</v>
      </c>
      <c r="I444" s="211">
        <v>0</v>
      </c>
      <c r="J444" s="68">
        <f>72+153</f>
        <v>225</v>
      </c>
      <c r="K444" s="211">
        <v>0</v>
      </c>
      <c r="L444" s="212">
        <f aca="true" t="shared" si="15" ref="L444:L450">SUM(M444:R444)</f>
        <v>3</v>
      </c>
      <c r="M444" s="210">
        <v>3</v>
      </c>
      <c r="N444" s="210"/>
      <c r="O444" s="211"/>
      <c r="P444" s="211">
        <v>0</v>
      </c>
      <c r="Q444" s="68"/>
      <c r="R444" s="211">
        <v>0</v>
      </c>
    </row>
    <row r="445" spans="1:18" s="213" customFormat="1" ht="12.75">
      <c r="A445" s="107" t="s">
        <v>7</v>
      </c>
      <c r="B445" s="107" t="s">
        <v>529</v>
      </c>
      <c r="C445" s="109">
        <v>438708</v>
      </c>
      <c r="D445" s="29">
        <v>10</v>
      </c>
      <c r="E445" s="209">
        <f t="shared" si="14"/>
        <v>4028</v>
      </c>
      <c r="F445" s="210">
        <f>359+108+1227</f>
        <v>1694</v>
      </c>
      <c r="G445" s="210">
        <f>188+541</f>
        <v>729</v>
      </c>
      <c r="H445" s="211">
        <f>544+36+358</f>
        <v>938</v>
      </c>
      <c r="I445" s="211">
        <v>648</v>
      </c>
      <c r="J445" s="68">
        <v>19</v>
      </c>
      <c r="K445" s="211">
        <v>0</v>
      </c>
      <c r="L445" s="212">
        <f t="shared" si="15"/>
        <v>0</v>
      </c>
      <c r="M445" s="210"/>
      <c r="N445" s="210"/>
      <c r="O445" s="211"/>
      <c r="P445" s="211">
        <v>0</v>
      </c>
      <c r="Q445" s="68"/>
      <c r="R445" s="211">
        <v>0</v>
      </c>
    </row>
    <row r="446" spans="1:18" s="213" customFormat="1" ht="12.75">
      <c r="A446" s="107" t="s">
        <v>7</v>
      </c>
      <c r="B446" s="100" t="s">
        <v>568</v>
      </c>
      <c r="C446" s="108"/>
      <c r="D446" s="29">
        <v>10</v>
      </c>
      <c r="E446" s="209">
        <f t="shared" si="14"/>
        <v>44969</v>
      </c>
      <c r="F446" s="210">
        <f>13534+1436+15652</f>
        <v>30622</v>
      </c>
      <c r="G446" s="210">
        <f>4405+611+7449</f>
        <v>12465</v>
      </c>
      <c r="H446" s="211">
        <f>704+265+892</f>
        <v>1861</v>
      </c>
      <c r="I446" s="211">
        <v>9</v>
      </c>
      <c r="J446" s="68">
        <v>12</v>
      </c>
      <c r="K446" s="211">
        <v>0</v>
      </c>
      <c r="L446" s="212">
        <f t="shared" si="15"/>
        <v>0</v>
      </c>
      <c r="M446" s="210"/>
      <c r="N446" s="210"/>
      <c r="O446" s="211"/>
      <c r="P446" s="211">
        <v>0</v>
      </c>
      <c r="Q446" s="68"/>
      <c r="R446" s="211">
        <v>0</v>
      </c>
    </row>
    <row r="447" spans="1:18" s="213" customFormat="1" ht="12.75">
      <c r="A447" s="107" t="s">
        <v>7</v>
      </c>
      <c r="B447" s="107" t="s">
        <v>530</v>
      </c>
      <c r="C447" s="108">
        <v>237701</v>
      </c>
      <c r="D447" s="29">
        <v>10</v>
      </c>
      <c r="E447" s="209">
        <f t="shared" si="14"/>
        <v>29862</v>
      </c>
      <c r="F447" s="210">
        <f>12820+1345+15254</f>
        <v>29419</v>
      </c>
      <c r="G447" s="210">
        <v>0</v>
      </c>
      <c r="H447" s="211">
        <f>247+196</f>
        <v>443</v>
      </c>
      <c r="I447" s="211">
        <v>0</v>
      </c>
      <c r="J447" s="68">
        <v>0</v>
      </c>
      <c r="K447" s="211">
        <v>0</v>
      </c>
      <c r="L447" s="212">
        <f t="shared" si="15"/>
        <v>0</v>
      </c>
      <c r="M447" s="210"/>
      <c r="N447" s="210"/>
      <c r="O447" s="211"/>
      <c r="P447" s="211">
        <v>0</v>
      </c>
      <c r="Q447" s="68"/>
      <c r="R447" s="211">
        <v>0</v>
      </c>
    </row>
    <row r="448" spans="1:18" s="213" customFormat="1" ht="12.75">
      <c r="A448" s="107" t="s">
        <v>7</v>
      </c>
      <c r="B448" s="107" t="s">
        <v>531</v>
      </c>
      <c r="C448" s="108">
        <v>237817</v>
      </c>
      <c r="D448" s="29">
        <v>10</v>
      </c>
      <c r="E448" s="209">
        <f t="shared" si="14"/>
        <v>53115</v>
      </c>
      <c r="F448" s="210">
        <f>22474+1027+23862</f>
        <v>47363</v>
      </c>
      <c r="G448" s="210">
        <f>1919+1255</f>
        <v>3174</v>
      </c>
      <c r="H448" s="211">
        <f>216+6+272</f>
        <v>494</v>
      </c>
      <c r="I448" s="211">
        <v>2084</v>
      </c>
      <c r="J448" s="68">
        <v>0</v>
      </c>
      <c r="K448" s="211">
        <v>0</v>
      </c>
      <c r="L448" s="212">
        <f t="shared" si="15"/>
        <v>0</v>
      </c>
      <c r="M448" s="210"/>
      <c r="N448" s="210"/>
      <c r="O448" s="211"/>
      <c r="P448" s="211">
        <v>0</v>
      </c>
      <c r="Q448" s="68"/>
      <c r="R448" s="211">
        <v>0</v>
      </c>
    </row>
    <row r="449" spans="1:18" s="213" customFormat="1" ht="12.75">
      <c r="A449" s="107" t="s">
        <v>7</v>
      </c>
      <c r="B449" s="107" t="s">
        <v>532</v>
      </c>
      <c r="C449" s="108">
        <v>238014</v>
      </c>
      <c r="D449" s="29">
        <v>10</v>
      </c>
      <c r="E449" s="209">
        <f t="shared" si="14"/>
        <v>53918</v>
      </c>
      <c r="F449" s="210">
        <f>22888+3120+23720</f>
        <v>49728</v>
      </c>
      <c r="G449" s="210">
        <v>0</v>
      </c>
      <c r="H449" s="211">
        <f>843+576</f>
        <v>1419</v>
      </c>
      <c r="I449" s="211">
        <v>2582</v>
      </c>
      <c r="J449" s="68">
        <f>51+138</f>
        <v>189</v>
      </c>
      <c r="K449" s="211">
        <v>0</v>
      </c>
      <c r="L449" s="212">
        <f t="shared" si="15"/>
        <v>0</v>
      </c>
      <c r="M449" s="210"/>
      <c r="N449" s="210"/>
      <c r="O449" s="211"/>
      <c r="P449" s="211">
        <v>0</v>
      </c>
      <c r="Q449" s="68"/>
      <c r="R449" s="211">
        <v>0</v>
      </c>
    </row>
    <row r="450" spans="1:18" s="213" customFormat="1" ht="12.75">
      <c r="A450" s="107" t="s">
        <v>7</v>
      </c>
      <c r="B450" s="100" t="s">
        <v>567</v>
      </c>
      <c r="C450" s="108"/>
      <c r="D450" s="29">
        <v>10</v>
      </c>
      <c r="E450" s="209">
        <f t="shared" si="14"/>
        <v>18383</v>
      </c>
      <c r="F450" s="210">
        <f>8034+455+7905</f>
        <v>16394</v>
      </c>
      <c r="G450" s="210">
        <f>360+575</f>
        <v>935</v>
      </c>
      <c r="H450" s="211">
        <f>357+45+625</f>
        <v>1027</v>
      </c>
      <c r="I450" s="211">
        <v>27</v>
      </c>
      <c r="J450" s="68">
        <v>0</v>
      </c>
      <c r="K450" s="211">
        <v>0</v>
      </c>
      <c r="L450" s="212">
        <f t="shared" si="15"/>
        <v>0</v>
      </c>
      <c r="M450" s="210"/>
      <c r="N450" s="210"/>
      <c r="O450" s="211"/>
      <c r="P450" s="211">
        <v>0</v>
      </c>
      <c r="Q450" s="68"/>
      <c r="R450" s="211">
        <v>0</v>
      </c>
    </row>
    <row r="451" spans="1:136" s="260" customFormat="1" ht="15" customHeight="1">
      <c r="A451" s="122"/>
      <c r="B451" s="122"/>
      <c r="C451" s="259"/>
      <c r="F451" s="261"/>
      <c r="H451" s="261"/>
      <c r="I451" s="261"/>
      <c r="J451" s="261"/>
      <c r="K451" s="261"/>
      <c r="M451" s="261"/>
      <c r="O451" s="261"/>
      <c r="P451" s="261"/>
      <c r="Q451" s="261"/>
      <c r="R451" s="261"/>
      <c r="S451" s="261"/>
      <c r="T451" s="261"/>
      <c r="V451" s="261"/>
      <c r="W451" s="262"/>
      <c r="Y451" s="263"/>
      <c r="Z451" s="261"/>
      <c r="AA451" s="262"/>
      <c r="AC451" s="263"/>
      <c r="AD451" s="261"/>
      <c r="AE451" s="262"/>
      <c r="AG451" s="263"/>
      <c r="AH451" s="261"/>
      <c r="AI451" s="262"/>
      <c r="AK451" s="263"/>
      <c r="AL451" s="261"/>
      <c r="AM451" s="262"/>
      <c r="AO451" s="263"/>
      <c r="AP451" s="261"/>
      <c r="AQ451" s="262"/>
      <c r="AS451" s="263"/>
      <c r="AT451" s="261"/>
      <c r="AU451" s="262"/>
      <c r="AW451" s="263"/>
      <c r="AX451" s="261"/>
      <c r="AY451" s="262"/>
      <c r="BA451" s="263"/>
      <c r="BB451" s="261"/>
      <c r="BC451" s="262"/>
      <c r="BE451" s="263"/>
      <c r="BF451" s="261"/>
      <c r="BG451" s="262"/>
      <c r="BI451" s="263"/>
      <c r="BJ451" s="261"/>
      <c r="BL451" s="261"/>
      <c r="BO451" s="261"/>
      <c r="BP451" s="261"/>
      <c r="BQ451" s="262"/>
      <c r="BS451" s="263"/>
      <c r="BT451" s="261"/>
      <c r="BU451" s="262"/>
      <c r="BW451" s="263"/>
      <c r="BX451" s="261"/>
      <c r="BY451" s="262"/>
      <c r="CA451" s="263"/>
      <c r="CB451" s="261"/>
      <c r="CC451" s="262"/>
      <c r="CE451" s="263"/>
      <c r="CF451" s="261"/>
      <c r="CG451" s="262"/>
      <c r="CI451" s="263"/>
      <c r="CJ451" s="261"/>
      <c r="CK451" s="262"/>
      <c r="CM451" s="263"/>
      <c r="CN451" s="261"/>
      <c r="CO451" s="262"/>
      <c r="CQ451" s="263"/>
      <c r="CR451" s="261"/>
      <c r="CS451" s="262"/>
      <c r="CU451" s="263"/>
      <c r="CV451" s="261"/>
      <c r="CW451" s="262"/>
      <c r="CY451" s="263"/>
      <c r="CZ451" s="261"/>
      <c r="DA451" s="262"/>
      <c r="DC451" s="263"/>
      <c r="DD451" s="261"/>
      <c r="DF451" s="261"/>
      <c r="DI451" s="262"/>
      <c r="DJ451" s="261"/>
      <c r="DK451" s="263"/>
      <c r="DL451" s="263"/>
      <c r="DN451" s="261"/>
      <c r="DP451" s="261"/>
      <c r="DR451" s="261"/>
      <c r="DT451" s="261"/>
      <c r="DV451" s="261"/>
      <c r="DX451" s="261"/>
      <c r="DZ451" s="261"/>
      <c r="EB451" s="261"/>
      <c r="ED451" s="261"/>
      <c r="EF451" s="261"/>
    </row>
    <row r="452" spans="1:136" s="260" customFormat="1" ht="15" customHeight="1">
      <c r="A452" s="122"/>
      <c r="B452" s="122"/>
      <c r="C452" s="259"/>
      <c r="F452" s="261"/>
      <c r="H452" s="261"/>
      <c r="I452" s="261"/>
      <c r="J452" s="261"/>
      <c r="K452" s="261"/>
      <c r="M452" s="261"/>
      <c r="O452" s="261"/>
      <c r="P452" s="261"/>
      <c r="Q452" s="261"/>
      <c r="R452" s="261"/>
      <c r="S452" s="261"/>
      <c r="T452" s="261"/>
      <c r="V452" s="261"/>
      <c r="W452" s="262"/>
      <c r="Y452" s="263"/>
      <c r="Z452" s="261"/>
      <c r="AA452" s="262"/>
      <c r="AC452" s="263"/>
      <c r="AD452" s="261"/>
      <c r="AE452" s="262"/>
      <c r="AG452" s="263"/>
      <c r="AH452" s="261"/>
      <c r="AI452" s="262"/>
      <c r="AK452" s="263"/>
      <c r="AL452" s="261"/>
      <c r="AM452" s="262"/>
      <c r="AO452" s="263"/>
      <c r="AP452" s="261"/>
      <c r="AQ452" s="262"/>
      <c r="AS452" s="263"/>
      <c r="AT452" s="261"/>
      <c r="AU452" s="262"/>
      <c r="AW452" s="263"/>
      <c r="AX452" s="261"/>
      <c r="AY452" s="262"/>
      <c r="BA452" s="263"/>
      <c r="BB452" s="261"/>
      <c r="BC452" s="262"/>
      <c r="BE452" s="263"/>
      <c r="BF452" s="261"/>
      <c r="BG452" s="262"/>
      <c r="BI452" s="263"/>
      <c r="BJ452" s="261"/>
      <c r="BL452" s="261"/>
      <c r="BO452" s="261"/>
      <c r="BP452" s="261"/>
      <c r="BQ452" s="262"/>
      <c r="BS452" s="263"/>
      <c r="BT452" s="261"/>
      <c r="BU452" s="262"/>
      <c r="BW452" s="263"/>
      <c r="BX452" s="261"/>
      <c r="BY452" s="262"/>
      <c r="CA452" s="263"/>
      <c r="CB452" s="261"/>
      <c r="CC452" s="262"/>
      <c r="CE452" s="263"/>
      <c r="CF452" s="261"/>
      <c r="CG452" s="262"/>
      <c r="CI452" s="263"/>
      <c r="CJ452" s="261"/>
      <c r="CK452" s="262"/>
      <c r="CM452" s="263"/>
      <c r="CN452" s="261"/>
      <c r="CO452" s="262"/>
      <c r="CQ452" s="263"/>
      <c r="CR452" s="261"/>
      <c r="CS452" s="262"/>
      <c r="CU452" s="263"/>
      <c r="CV452" s="261"/>
      <c r="CW452" s="262"/>
      <c r="CY452" s="263"/>
      <c r="CZ452" s="261"/>
      <c r="DA452" s="262"/>
      <c r="DC452" s="263"/>
      <c r="DD452" s="261"/>
      <c r="DF452" s="261"/>
      <c r="DI452" s="262"/>
      <c r="DJ452" s="261"/>
      <c r="DK452" s="263"/>
      <c r="DL452" s="263"/>
      <c r="DN452" s="261"/>
      <c r="DP452" s="261"/>
      <c r="DR452" s="261"/>
      <c r="DT452" s="261"/>
      <c r="DV452" s="261"/>
      <c r="DX452" s="261"/>
      <c r="DZ452" s="261"/>
      <c r="EB452" s="261"/>
      <c r="ED452" s="261"/>
      <c r="EF452" s="261"/>
    </row>
    <row r="453" spans="1:136" s="260" customFormat="1" ht="15" customHeight="1">
      <c r="A453" s="122"/>
      <c r="B453" s="122"/>
      <c r="C453" s="259"/>
      <c r="F453" s="261"/>
      <c r="H453" s="261"/>
      <c r="I453" s="261"/>
      <c r="J453" s="261"/>
      <c r="K453" s="261"/>
      <c r="M453" s="261"/>
      <c r="O453" s="261"/>
      <c r="P453" s="261"/>
      <c r="Q453" s="261"/>
      <c r="R453" s="261"/>
      <c r="S453" s="261"/>
      <c r="T453" s="261"/>
      <c r="V453" s="261"/>
      <c r="W453" s="262"/>
      <c r="Y453" s="263"/>
      <c r="Z453" s="261"/>
      <c r="AA453" s="262"/>
      <c r="AC453" s="263"/>
      <c r="AD453" s="261"/>
      <c r="AE453" s="262"/>
      <c r="AG453" s="263"/>
      <c r="AH453" s="261"/>
      <c r="AI453" s="262"/>
      <c r="AK453" s="263"/>
      <c r="AL453" s="261"/>
      <c r="AM453" s="262"/>
      <c r="AO453" s="263"/>
      <c r="AP453" s="261"/>
      <c r="AQ453" s="262"/>
      <c r="AS453" s="263"/>
      <c r="AT453" s="261"/>
      <c r="AU453" s="262"/>
      <c r="AW453" s="263"/>
      <c r="AX453" s="261"/>
      <c r="AY453" s="262"/>
      <c r="BA453" s="263"/>
      <c r="BB453" s="261"/>
      <c r="BC453" s="262"/>
      <c r="BE453" s="263"/>
      <c r="BF453" s="261"/>
      <c r="BG453" s="262"/>
      <c r="BI453" s="263"/>
      <c r="BJ453" s="261"/>
      <c r="BL453" s="261"/>
      <c r="BO453" s="261"/>
      <c r="BP453" s="261"/>
      <c r="BQ453" s="262"/>
      <c r="BS453" s="263"/>
      <c r="BT453" s="261"/>
      <c r="BU453" s="262"/>
      <c r="BW453" s="263"/>
      <c r="BX453" s="261"/>
      <c r="BY453" s="262"/>
      <c r="CA453" s="263"/>
      <c r="CB453" s="261"/>
      <c r="CC453" s="262"/>
      <c r="CE453" s="263"/>
      <c r="CF453" s="261"/>
      <c r="CG453" s="262"/>
      <c r="CI453" s="263"/>
      <c r="CJ453" s="261"/>
      <c r="CK453" s="262"/>
      <c r="CM453" s="263"/>
      <c r="CN453" s="261"/>
      <c r="CO453" s="262"/>
      <c r="CQ453" s="263"/>
      <c r="CR453" s="261"/>
      <c r="CS453" s="262"/>
      <c r="CU453" s="263"/>
      <c r="CV453" s="261"/>
      <c r="CW453" s="262"/>
      <c r="CY453" s="263"/>
      <c r="CZ453" s="261"/>
      <c r="DA453" s="262"/>
      <c r="DC453" s="263"/>
      <c r="DD453" s="261"/>
      <c r="DF453" s="261"/>
      <c r="DI453" s="262"/>
      <c r="DJ453" s="261"/>
      <c r="DK453" s="263"/>
      <c r="DL453" s="263"/>
      <c r="DN453" s="261"/>
      <c r="DP453" s="261"/>
      <c r="DR453" s="261"/>
      <c r="DT453" s="261"/>
      <c r="DV453" s="261"/>
      <c r="DX453" s="261"/>
      <c r="DZ453" s="261"/>
      <c r="EB453" s="261"/>
      <c r="ED453" s="261"/>
      <c r="EF453" s="261"/>
    </row>
    <row r="454" spans="1:136" s="260" customFormat="1" ht="15" customHeight="1">
      <c r="A454" s="122"/>
      <c r="B454" s="122"/>
      <c r="C454" s="259"/>
      <c r="F454" s="261"/>
      <c r="H454" s="261"/>
      <c r="I454" s="261"/>
      <c r="J454" s="261"/>
      <c r="K454" s="261"/>
      <c r="M454" s="261"/>
      <c r="O454" s="261"/>
      <c r="P454" s="261"/>
      <c r="Q454" s="261"/>
      <c r="R454" s="261"/>
      <c r="S454" s="261"/>
      <c r="T454" s="261"/>
      <c r="V454" s="261"/>
      <c r="W454" s="262"/>
      <c r="Y454" s="263"/>
      <c r="Z454" s="261"/>
      <c r="AA454" s="262"/>
      <c r="AC454" s="263"/>
      <c r="AD454" s="261"/>
      <c r="AE454" s="262"/>
      <c r="AG454" s="263"/>
      <c r="AH454" s="261"/>
      <c r="AI454" s="262"/>
      <c r="AK454" s="263"/>
      <c r="AL454" s="261"/>
      <c r="AM454" s="262"/>
      <c r="AO454" s="263"/>
      <c r="AP454" s="261"/>
      <c r="AQ454" s="262"/>
      <c r="AS454" s="263"/>
      <c r="AT454" s="261"/>
      <c r="AU454" s="262"/>
      <c r="AW454" s="263"/>
      <c r="AX454" s="261"/>
      <c r="AY454" s="262"/>
      <c r="BA454" s="263"/>
      <c r="BB454" s="261"/>
      <c r="BC454" s="262"/>
      <c r="BE454" s="263"/>
      <c r="BF454" s="261"/>
      <c r="BG454" s="262"/>
      <c r="BI454" s="263"/>
      <c r="BJ454" s="261"/>
      <c r="BL454" s="261"/>
      <c r="BO454" s="261"/>
      <c r="BP454" s="261"/>
      <c r="BQ454" s="262"/>
      <c r="BS454" s="263"/>
      <c r="BT454" s="261"/>
      <c r="BU454" s="262"/>
      <c r="BW454" s="263"/>
      <c r="BX454" s="261"/>
      <c r="BY454" s="262"/>
      <c r="CA454" s="263"/>
      <c r="CB454" s="261"/>
      <c r="CC454" s="262"/>
      <c r="CE454" s="263"/>
      <c r="CF454" s="261"/>
      <c r="CG454" s="262"/>
      <c r="CI454" s="263"/>
      <c r="CJ454" s="261"/>
      <c r="CK454" s="262"/>
      <c r="CM454" s="263"/>
      <c r="CN454" s="261"/>
      <c r="CO454" s="262"/>
      <c r="CQ454" s="263"/>
      <c r="CR454" s="261"/>
      <c r="CS454" s="262"/>
      <c r="CU454" s="263"/>
      <c r="CV454" s="261"/>
      <c r="CW454" s="262"/>
      <c r="CY454" s="263"/>
      <c r="CZ454" s="261"/>
      <c r="DA454" s="262"/>
      <c r="DC454" s="263"/>
      <c r="DD454" s="261"/>
      <c r="DF454" s="261"/>
      <c r="DI454" s="262"/>
      <c r="DJ454" s="261"/>
      <c r="DK454" s="263"/>
      <c r="DL454" s="263"/>
      <c r="DN454" s="261"/>
      <c r="DP454" s="261"/>
      <c r="DR454" s="261"/>
      <c r="DT454" s="261"/>
      <c r="DV454" s="261"/>
      <c r="DX454" s="261"/>
      <c r="DZ454" s="261"/>
      <c r="EB454" s="261"/>
      <c r="ED454" s="261"/>
      <c r="EF454" s="261"/>
    </row>
    <row r="455" spans="1:136" s="260" customFormat="1" ht="15" customHeight="1">
      <c r="A455" s="122"/>
      <c r="B455" s="122"/>
      <c r="C455" s="259"/>
      <c r="F455" s="261"/>
      <c r="H455" s="261"/>
      <c r="I455" s="261"/>
      <c r="J455" s="261"/>
      <c r="K455" s="261"/>
      <c r="M455" s="261"/>
      <c r="O455" s="261"/>
      <c r="P455" s="261"/>
      <c r="Q455" s="261"/>
      <c r="R455" s="261"/>
      <c r="S455" s="261"/>
      <c r="T455" s="261"/>
      <c r="V455" s="261"/>
      <c r="W455" s="262"/>
      <c r="Y455" s="263"/>
      <c r="Z455" s="261"/>
      <c r="AA455" s="262"/>
      <c r="AC455" s="263"/>
      <c r="AD455" s="261"/>
      <c r="AE455" s="262"/>
      <c r="AG455" s="263"/>
      <c r="AH455" s="261"/>
      <c r="AI455" s="262"/>
      <c r="AK455" s="263"/>
      <c r="AL455" s="261"/>
      <c r="AM455" s="262"/>
      <c r="AO455" s="263"/>
      <c r="AP455" s="261"/>
      <c r="AQ455" s="262"/>
      <c r="AS455" s="263"/>
      <c r="AT455" s="261"/>
      <c r="AU455" s="262"/>
      <c r="AW455" s="263"/>
      <c r="AX455" s="261"/>
      <c r="AY455" s="262"/>
      <c r="BA455" s="263"/>
      <c r="BB455" s="261"/>
      <c r="BC455" s="262"/>
      <c r="BE455" s="263"/>
      <c r="BF455" s="261"/>
      <c r="BG455" s="262"/>
      <c r="BI455" s="263"/>
      <c r="BJ455" s="261"/>
      <c r="BL455" s="261"/>
      <c r="BO455" s="261"/>
      <c r="BP455" s="261"/>
      <c r="BQ455" s="262"/>
      <c r="BS455" s="263"/>
      <c r="BT455" s="261"/>
      <c r="BU455" s="262"/>
      <c r="BW455" s="263"/>
      <c r="BX455" s="261"/>
      <c r="BY455" s="262"/>
      <c r="CA455" s="263"/>
      <c r="CB455" s="261"/>
      <c r="CC455" s="262"/>
      <c r="CE455" s="263"/>
      <c r="CF455" s="261"/>
      <c r="CG455" s="262"/>
      <c r="CI455" s="263"/>
      <c r="CJ455" s="261"/>
      <c r="CK455" s="262"/>
      <c r="CM455" s="263"/>
      <c r="CN455" s="261"/>
      <c r="CO455" s="262"/>
      <c r="CQ455" s="263"/>
      <c r="CR455" s="261"/>
      <c r="CS455" s="262"/>
      <c r="CU455" s="263"/>
      <c r="CV455" s="261"/>
      <c r="CW455" s="262"/>
      <c r="CY455" s="263"/>
      <c r="CZ455" s="261"/>
      <c r="DA455" s="262"/>
      <c r="DC455" s="263"/>
      <c r="DD455" s="261"/>
      <c r="DF455" s="261"/>
      <c r="DI455" s="262"/>
      <c r="DJ455" s="261"/>
      <c r="DK455" s="263"/>
      <c r="DL455" s="263"/>
      <c r="DN455" s="261"/>
      <c r="DP455" s="261"/>
      <c r="DR455" s="261"/>
      <c r="DT455" s="261"/>
      <c r="DV455" s="261"/>
      <c r="DX455" s="261"/>
      <c r="DZ455" s="261"/>
      <c r="EB455" s="261"/>
      <c r="ED455" s="261"/>
      <c r="EF455" s="261"/>
    </row>
    <row r="456" spans="1:136" s="260" customFormat="1" ht="15" customHeight="1">
      <c r="A456" s="122"/>
      <c r="B456" s="122"/>
      <c r="C456" s="259"/>
      <c r="F456" s="261"/>
      <c r="H456" s="261"/>
      <c r="I456" s="261"/>
      <c r="J456" s="261"/>
      <c r="K456" s="261"/>
      <c r="M456" s="261"/>
      <c r="O456" s="261"/>
      <c r="P456" s="261"/>
      <c r="Q456" s="261"/>
      <c r="R456" s="261"/>
      <c r="S456" s="261"/>
      <c r="T456" s="261"/>
      <c r="V456" s="261"/>
      <c r="W456" s="262"/>
      <c r="Y456" s="263"/>
      <c r="Z456" s="261"/>
      <c r="AA456" s="262"/>
      <c r="AC456" s="263"/>
      <c r="AD456" s="261"/>
      <c r="AE456" s="262"/>
      <c r="AG456" s="263"/>
      <c r="AH456" s="261"/>
      <c r="AI456" s="262"/>
      <c r="AK456" s="263"/>
      <c r="AL456" s="261"/>
      <c r="AM456" s="262"/>
      <c r="AO456" s="263"/>
      <c r="AP456" s="261"/>
      <c r="AQ456" s="262"/>
      <c r="AS456" s="263"/>
      <c r="AT456" s="261"/>
      <c r="AU456" s="262"/>
      <c r="AW456" s="263"/>
      <c r="AX456" s="261"/>
      <c r="AY456" s="262"/>
      <c r="BA456" s="263"/>
      <c r="BB456" s="261"/>
      <c r="BC456" s="262"/>
      <c r="BE456" s="263"/>
      <c r="BF456" s="261"/>
      <c r="BG456" s="262"/>
      <c r="BI456" s="263"/>
      <c r="BJ456" s="261"/>
      <c r="BL456" s="261"/>
      <c r="BO456" s="261"/>
      <c r="BP456" s="261"/>
      <c r="BQ456" s="262"/>
      <c r="BS456" s="263"/>
      <c r="BT456" s="261"/>
      <c r="BU456" s="262"/>
      <c r="BW456" s="263"/>
      <c r="BX456" s="261"/>
      <c r="BY456" s="262"/>
      <c r="CA456" s="263"/>
      <c r="CB456" s="261"/>
      <c r="CC456" s="262"/>
      <c r="CE456" s="263"/>
      <c r="CF456" s="261"/>
      <c r="CG456" s="262"/>
      <c r="CI456" s="263"/>
      <c r="CJ456" s="261"/>
      <c r="CK456" s="262"/>
      <c r="CM456" s="263"/>
      <c r="CN456" s="261"/>
      <c r="CO456" s="262"/>
      <c r="CQ456" s="263"/>
      <c r="CR456" s="261"/>
      <c r="CS456" s="262"/>
      <c r="CU456" s="263"/>
      <c r="CV456" s="261"/>
      <c r="CW456" s="262"/>
      <c r="CY456" s="263"/>
      <c r="CZ456" s="261"/>
      <c r="DA456" s="262"/>
      <c r="DC456" s="263"/>
      <c r="DD456" s="261"/>
      <c r="DF456" s="261"/>
      <c r="DI456" s="262"/>
      <c r="DJ456" s="261"/>
      <c r="DK456" s="263"/>
      <c r="DL456" s="263"/>
      <c r="DN456" s="261"/>
      <c r="DP456" s="261"/>
      <c r="DR456" s="261"/>
      <c r="DT456" s="261"/>
      <c r="DV456" s="261"/>
      <c r="DX456" s="261"/>
      <c r="DZ456" s="261"/>
      <c r="EB456" s="261"/>
      <c r="ED456" s="261"/>
      <c r="EF456" s="261"/>
    </row>
    <row r="457" spans="1:136" s="260" customFormat="1" ht="15" customHeight="1">
      <c r="A457" s="122"/>
      <c r="B457" s="122"/>
      <c r="C457" s="259"/>
      <c r="F457" s="261"/>
      <c r="H457" s="261"/>
      <c r="I457" s="261"/>
      <c r="J457" s="261"/>
      <c r="K457" s="261"/>
      <c r="M457" s="261"/>
      <c r="O457" s="261"/>
      <c r="P457" s="261"/>
      <c r="Q457" s="261"/>
      <c r="R457" s="261"/>
      <c r="S457" s="261"/>
      <c r="T457" s="261"/>
      <c r="V457" s="261"/>
      <c r="W457" s="262"/>
      <c r="Y457" s="263"/>
      <c r="Z457" s="261"/>
      <c r="AA457" s="262"/>
      <c r="AC457" s="263"/>
      <c r="AD457" s="261"/>
      <c r="AE457" s="262"/>
      <c r="AG457" s="263"/>
      <c r="AH457" s="261"/>
      <c r="AI457" s="262"/>
      <c r="AK457" s="263"/>
      <c r="AL457" s="261"/>
      <c r="AM457" s="262"/>
      <c r="AO457" s="263"/>
      <c r="AP457" s="261"/>
      <c r="AQ457" s="262"/>
      <c r="AS457" s="263"/>
      <c r="AT457" s="261"/>
      <c r="AU457" s="262"/>
      <c r="AW457" s="263"/>
      <c r="AX457" s="261"/>
      <c r="AY457" s="262"/>
      <c r="BA457" s="263"/>
      <c r="BB457" s="261"/>
      <c r="BC457" s="262"/>
      <c r="BE457" s="263"/>
      <c r="BF457" s="261"/>
      <c r="BG457" s="262"/>
      <c r="BI457" s="263"/>
      <c r="BJ457" s="261"/>
      <c r="BL457" s="261"/>
      <c r="BO457" s="261"/>
      <c r="BP457" s="261"/>
      <c r="BQ457" s="262"/>
      <c r="BS457" s="263"/>
      <c r="BT457" s="261"/>
      <c r="BU457" s="262"/>
      <c r="BW457" s="263"/>
      <c r="BX457" s="261"/>
      <c r="BY457" s="262"/>
      <c r="CA457" s="263"/>
      <c r="CB457" s="261"/>
      <c r="CC457" s="262"/>
      <c r="CE457" s="263"/>
      <c r="CF457" s="261"/>
      <c r="CG457" s="262"/>
      <c r="CI457" s="263"/>
      <c r="CJ457" s="261"/>
      <c r="CK457" s="262"/>
      <c r="CM457" s="263"/>
      <c r="CN457" s="261"/>
      <c r="CO457" s="262"/>
      <c r="CQ457" s="263"/>
      <c r="CR457" s="261"/>
      <c r="CS457" s="262"/>
      <c r="CU457" s="263"/>
      <c r="CV457" s="261"/>
      <c r="CW457" s="262"/>
      <c r="CY457" s="263"/>
      <c r="CZ457" s="261"/>
      <c r="DA457" s="262"/>
      <c r="DC457" s="263"/>
      <c r="DD457" s="261"/>
      <c r="DF457" s="261"/>
      <c r="DI457" s="262"/>
      <c r="DJ457" s="261"/>
      <c r="DK457" s="263"/>
      <c r="DL457" s="263"/>
      <c r="DN457" s="261"/>
      <c r="DP457" s="261"/>
      <c r="DR457" s="261"/>
      <c r="DT457" s="261"/>
      <c r="DV457" s="261"/>
      <c r="DX457" s="261"/>
      <c r="DZ457" s="261"/>
      <c r="EB457" s="261"/>
      <c r="ED457" s="261"/>
      <c r="EF457" s="261"/>
    </row>
    <row r="458" spans="1:136" s="260" customFormat="1" ht="15" customHeight="1">
      <c r="A458" s="122"/>
      <c r="B458" s="122"/>
      <c r="C458" s="259"/>
      <c r="F458" s="261"/>
      <c r="H458" s="261"/>
      <c r="I458" s="261"/>
      <c r="J458" s="261"/>
      <c r="K458" s="261"/>
      <c r="M458" s="261"/>
      <c r="O458" s="261"/>
      <c r="P458" s="261"/>
      <c r="Q458" s="261"/>
      <c r="R458" s="261"/>
      <c r="S458" s="261"/>
      <c r="T458" s="261"/>
      <c r="V458" s="261"/>
      <c r="W458" s="262"/>
      <c r="Y458" s="263"/>
      <c r="Z458" s="261"/>
      <c r="AA458" s="262"/>
      <c r="AC458" s="263"/>
      <c r="AD458" s="261"/>
      <c r="AE458" s="262"/>
      <c r="AG458" s="263"/>
      <c r="AH458" s="261"/>
      <c r="AI458" s="262"/>
      <c r="AK458" s="263"/>
      <c r="AL458" s="261"/>
      <c r="AM458" s="262"/>
      <c r="AO458" s="263"/>
      <c r="AP458" s="261"/>
      <c r="AQ458" s="262"/>
      <c r="AS458" s="263"/>
      <c r="AT458" s="261"/>
      <c r="AU458" s="262"/>
      <c r="AW458" s="263"/>
      <c r="AX458" s="261"/>
      <c r="AY458" s="262"/>
      <c r="BA458" s="263"/>
      <c r="BB458" s="261"/>
      <c r="BC458" s="262"/>
      <c r="BE458" s="263"/>
      <c r="BF458" s="261"/>
      <c r="BG458" s="262"/>
      <c r="BI458" s="263"/>
      <c r="BJ458" s="261"/>
      <c r="BL458" s="261"/>
      <c r="BO458" s="261"/>
      <c r="BP458" s="261"/>
      <c r="BQ458" s="262"/>
      <c r="BS458" s="263"/>
      <c r="BT458" s="261"/>
      <c r="BU458" s="262"/>
      <c r="BW458" s="263"/>
      <c r="BX458" s="261"/>
      <c r="BY458" s="262"/>
      <c r="CA458" s="263"/>
      <c r="CB458" s="261"/>
      <c r="CC458" s="262"/>
      <c r="CE458" s="263"/>
      <c r="CF458" s="261"/>
      <c r="CG458" s="262"/>
      <c r="CI458" s="263"/>
      <c r="CJ458" s="261"/>
      <c r="CK458" s="262"/>
      <c r="CM458" s="263"/>
      <c r="CN458" s="261"/>
      <c r="CO458" s="262"/>
      <c r="CQ458" s="263"/>
      <c r="CR458" s="261"/>
      <c r="CS458" s="262"/>
      <c r="CU458" s="263"/>
      <c r="CV458" s="261"/>
      <c r="CW458" s="262"/>
      <c r="CY458" s="263"/>
      <c r="CZ458" s="261"/>
      <c r="DA458" s="262"/>
      <c r="DC458" s="263"/>
      <c r="DD458" s="261"/>
      <c r="DF458" s="261"/>
      <c r="DI458" s="262"/>
      <c r="DJ458" s="261"/>
      <c r="DK458" s="263"/>
      <c r="DL458" s="263"/>
      <c r="DN458" s="261"/>
      <c r="DP458" s="261"/>
      <c r="DR458" s="261"/>
      <c r="DT458" s="261"/>
      <c r="DV458" s="261"/>
      <c r="DX458" s="261"/>
      <c r="DZ458" s="261"/>
      <c r="EB458" s="261"/>
      <c r="ED458" s="261"/>
      <c r="EF458" s="261"/>
    </row>
    <row r="459" spans="1:136" s="260" customFormat="1" ht="15" customHeight="1">
      <c r="A459" s="122"/>
      <c r="B459" s="122"/>
      <c r="C459" s="259"/>
      <c r="F459" s="261"/>
      <c r="H459" s="261"/>
      <c r="I459" s="261"/>
      <c r="J459" s="261"/>
      <c r="K459" s="261"/>
      <c r="M459" s="261"/>
      <c r="O459" s="261"/>
      <c r="P459" s="261"/>
      <c r="Q459" s="261"/>
      <c r="R459" s="261"/>
      <c r="S459" s="261"/>
      <c r="T459" s="261"/>
      <c r="V459" s="261"/>
      <c r="W459" s="262"/>
      <c r="Y459" s="263"/>
      <c r="Z459" s="261"/>
      <c r="AA459" s="262"/>
      <c r="AC459" s="263"/>
      <c r="AD459" s="261"/>
      <c r="AE459" s="262"/>
      <c r="AG459" s="263"/>
      <c r="AH459" s="261"/>
      <c r="AI459" s="262"/>
      <c r="AK459" s="263"/>
      <c r="AL459" s="261"/>
      <c r="AM459" s="262"/>
      <c r="AO459" s="263"/>
      <c r="AP459" s="261"/>
      <c r="AQ459" s="262"/>
      <c r="AS459" s="263"/>
      <c r="AT459" s="261"/>
      <c r="AU459" s="262"/>
      <c r="AW459" s="263"/>
      <c r="AX459" s="261"/>
      <c r="AY459" s="262"/>
      <c r="BA459" s="263"/>
      <c r="BB459" s="261"/>
      <c r="BC459" s="262"/>
      <c r="BE459" s="263"/>
      <c r="BF459" s="261"/>
      <c r="BG459" s="262"/>
      <c r="BI459" s="263"/>
      <c r="BJ459" s="261"/>
      <c r="BL459" s="261"/>
      <c r="BO459" s="261"/>
      <c r="BP459" s="261"/>
      <c r="BQ459" s="262"/>
      <c r="BS459" s="263"/>
      <c r="BT459" s="261"/>
      <c r="BU459" s="262"/>
      <c r="BW459" s="263"/>
      <c r="BX459" s="261"/>
      <c r="BY459" s="262"/>
      <c r="CA459" s="263"/>
      <c r="CB459" s="261"/>
      <c r="CC459" s="262"/>
      <c r="CE459" s="263"/>
      <c r="CF459" s="261"/>
      <c r="CG459" s="262"/>
      <c r="CI459" s="263"/>
      <c r="CJ459" s="261"/>
      <c r="CK459" s="262"/>
      <c r="CM459" s="263"/>
      <c r="CN459" s="261"/>
      <c r="CO459" s="262"/>
      <c r="CQ459" s="263"/>
      <c r="CR459" s="261"/>
      <c r="CS459" s="262"/>
      <c r="CU459" s="263"/>
      <c r="CV459" s="261"/>
      <c r="CW459" s="262"/>
      <c r="CY459" s="263"/>
      <c r="CZ459" s="261"/>
      <c r="DA459" s="262"/>
      <c r="DC459" s="263"/>
      <c r="DD459" s="261"/>
      <c r="DF459" s="261"/>
      <c r="DI459" s="262"/>
      <c r="DJ459" s="261"/>
      <c r="DK459" s="263"/>
      <c r="DL459" s="263"/>
      <c r="DN459" s="261"/>
      <c r="DP459" s="261"/>
      <c r="DR459" s="261"/>
      <c r="DT459" s="261"/>
      <c r="DV459" s="261"/>
      <c r="DX459" s="261"/>
      <c r="DZ459" s="261"/>
      <c r="EB459" s="261"/>
      <c r="ED459" s="261"/>
      <c r="EF459" s="261"/>
    </row>
    <row r="460" spans="1:136" s="260" customFormat="1" ht="15" customHeight="1">
      <c r="A460" s="122"/>
      <c r="B460" s="122"/>
      <c r="C460" s="259"/>
      <c r="F460" s="261"/>
      <c r="H460" s="261"/>
      <c r="I460" s="261"/>
      <c r="J460" s="261"/>
      <c r="K460" s="261"/>
      <c r="M460" s="261"/>
      <c r="O460" s="261"/>
      <c r="P460" s="261"/>
      <c r="Q460" s="261"/>
      <c r="R460" s="261"/>
      <c r="S460" s="261"/>
      <c r="T460" s="261"/>
      <c r="V460" s="261"/>
      <c r="W460" s="262"/>
      <c r="Y460" s="263"/>
      <c r="Z460" s="261"/>
      <c r="AA460" s="262"/>
      <c r="AC460" s="263"/>
      <c r="AD460" s="261"/>
      <c r="AE460" s="262"/>
      <c r="AG460" s="263"/>
      <c r="AH460" s="261"/>
      <c r="AI460" s="262"/>
      <c r="AK460" s="263"/>
      <c r="AL460" s="261"/>
      <c r="AM460" s="262"/>
      <c r="AO460" s="263"/>
      <c r="AP460" s="261"/>
      <c r="AQ460" s="262"/>
      <c r="AS460" s="263"/>
      <c r="AT460" s="261"/>
      <c r="AU460" s="262"/>
      <c r="AW460" s="263"/>
      <c r="AX460" s="261"/>
      <c r="AY460" s="262"/>
      <c r="BA460" s="263"/>
      <c r="BB460" s="261"/>
      <c r="BC460" s="262"/>
      <c r="BE460" s="263"/>
      <c r="BF460" s="261"/>
      <c r="BG460" s="262"/>
      <c r="BI460" s="263"/>
      <c r="BJ460" s="261"/>
      <c r="BL460" s="261"/>
      <c r="BO460" s="261"/>
      <c r="BP460" s="261"/>
      <c r="BQ460" s="262"/>
      <c r="BS460" s="263"/>
      <c r="BT460" s="261"/>
      <c r="BU460" s="262"/>
      <c r="BW460" s="263"/>
      <c r="BX460" s="261"/>
      <c r="BY460" s="262"/>
      <c r="CA460" s="263"/>
      <c r="CB460" s="261"/>
      <c r="CC460" s="262"/>
      <c r="CE460" s="263"/>
      <c r="CF460" s="261"/>
      <c r="CG460" s="262"/>
      <c r="CI460" s="263"/>
      <c r="CJ460" s="261"/>
      <c r="CK460" s="262"/>
      <c r="CM460" s="263"/>
      <c r="CN460" s="261"/>
      <c r="CO460" s="262"/>
      <c r="CQ460" s="263"/>
      <c r="CR460" s="261"/>
      <c r="CS460" s="262"/>
      <c r="CU460" s="263"/>
      <c r="CV460" s="261"/>
      <c r="CW460" s="262"/>
      <c r="CY460" s="263"/>
      <c r="CZ460" s="261"/>
      <c r="DA460" s="262"/>
      <c r="DC460" s="263"/>
      <c r="DD460" s="261"/>
      <c r="DF460" s="261"/>
      <c r="DI460" s="262"/>
      <c r="DJ460" s="261"/>
      <c r="DK460" s="263"/>
      <c r="DL460" s="263"/>
      <c r="DN460" s="261"/>
      <c r="DP460" s="261"/>
      <c r="DR460" s="261"/>
      <c r="DT460" s="261"/>
      <c r="DV460" s="261"/>
      <c r="DX460" s="261"/>
      <c r="DZ460" s="261"/>
      <c r="EB460" s="261"/>
      <c r="ED460" s="261"/>
      <c r="EF460" s="261"/>
    </row>
    <row r="461" spans="1:136" s="260" customFormat="1" ht="15" customHeight="1">
      <c r="A461" s="122"/>
      <c r="B461" s="122"/>
      <c r="C461" s="259"/>
      <c r="F461" s="261"/>
      <c r="H461" s="261"/>
      <c r="I461" s="261"/>
      <c r="J461" s="261"/>
      <c r="K461" s="261"/>
      <c r="M461" s="261"/>
      <c r="O461" s="261"/>
      <c r="P461" s="261"/>
      <c r="Q461" s="261"/>
      <c r="R461" s="261"/>
      <c r="S461" s="261"/>
      <c r="T461" s="261"/>
      <c r="V461" s="261"/>
      <c r="W461" s="262"/>
      <c r="Y461" s="263"/>
      <c r="Z461" s="261"/>
      <c r="AA461" s="262"/>
      <c r="AC461" s="263"/>
      <c r="AD461" s="261"/>
      <c r="AE461" s="262"/>
      <c r="AG461" s="263"/>
      <c r="AH461" s="261"/>
      <c r="AI461" s="262"/>
      <c r="AK461" s="263"/>
      <c r="AL461" s="261"/>
      <c r="AM461" s="262"/>
      <c r="AO461" s="263"/>
      <c r="AP461" s="261"/>
      <c r="AQ461" s="262"/>
      <c r="AS461" s="263"/>
      <c r="AT461" s="261"/>
      <c r="AU461" s="262"/>
      <c r="AW461" s="263"/>
      <c r="AX461" s="261"/>
      <c r="AY461" s="262"/>
      <c r="BA461" s="263"/>
      <c r="BB461" s="261"/>
      <c r="BC461" s="262"/>
      <c r="BE461" s="263"/>
      <c r="BF461" s="261"/>
      <c r="BG461" s="262"/>
      <c r="BI461" s="263"/>
      <c r="BJ461" s="261"/>
      <c r="BL461" s="261"/>
      <c r="BO461" s="261"/>
      <c r="BP461" s="261"/>
      <c r="BQ461" s="262"/>
      <c r="BS461" s="263"/>
      <c r="BT461" s="261"/>
      <c r="BU461" s="262"/>
      <c r="BW461" s="263"/>
      <c r="BX461" s="261"/>
      <c r="BY461" s="262"/>
      <c r="CA461" s="263"/>
      <c r="CB461" s="261"/>
      <c r="CC461" s="262"/>
      <c r="CE461" s="263"/>
      <c r="CF461" s="261"/>
      <c r="CG461" s="262"/>
      <c r="CI461" s="263"/>
      <c r="CJ461" s="261"/>
      <c r="CK461" s="262"/>
      <c r="CM461" s="263"/>
      <c r="CN461" s="261"/>
      <c r="CO461" s="262"/>
      <c r="CQ461" s="263"/>
      <c r="CR461" s="261"/>
      <c r="CS461" s="262"/>
      <c r="CU461" s="263"/>
      <c r="CV461" s="261"/>
      <c r="CW461" s="262"/>
      <c r="CY461" s="263"/>
      <c r="CZ461" s="261"/>
      <c r="DA461" s="262"/>
      <c r="DC461" s="263"/>
      <c r="DD461" s="261"/>
      <c r="DF461" s="261"/>
      <c r="DI461" s="262"/>
      <c r="DJ461" s="261"/>
      <c r="DK461" s="263"/>
      <c r="DL461" s="263"/>
      <c r="DN461" s="261"/>
      <c r="DP461" s="261"/>
      <c r="DR461" s="261"/>
      <c r="DT461" s="261"/>
      <c r="DV461" s="261"/>
      <c r="DX461" s="261"/>
      <c r="DZ461" s="261"/>
      <c r="EB461" s="261"/>
      <c r="ED461" s="261"/>
      <c r="EF461" s="261"/>
    </row>
    <row r="462" spans="1:136" s="260" customFormat="1" ht="15" customHeight="1">
      <c r="A462" s="122"/>
      <c r="B462" s="122"/>
      <c r="C462" s="259"/>
      <c r="F462" s="261"/>
      <c r="H462" s="261"/>
      <c r="I462" s="261"/>
      <c r="J462" s="261"/>
      <c r="K462" s="261"/>
      <c r="M462" s="261"/>
      <c r="O462" s="261"/>
      <c r="P462" s="261"/>
      <c r="Q462" s="261"/>
      <c r="R462" s="261"/>
      <c r="S462" s="261"/>
      <c r="T462" s="261"/>
      <c r="V462" s="261"/>
      <c r="W462" s="262"/>
      <c r="Y462" s="263"/>
      <c r="Z462" s="261"/>
      <c r="AA462" s="262"/>
      <c r="AC462" s="263"/>
      <c r="AD462" s="261"/>
      <c r="AE462" s="262"/>
      <c r="AG462" s="263"/>
      <c r="AH462" s="261"/>
      <c r="AI462" s="262"/>
      <c r="AK462" s="263"/>
      <c r="AL462" s="261"/>
      <c r="AM462" s="262"/>
      <c r="AO462" s="263"/>
      <c r="AP462" s="261"/>
      <c r="AQ462" s="262"/>
      <c r="AS462" s="263"/>
      <c r="AT462" s="261"/>
      <c r="AU462" s="262"/>
      <c r="AW462" s="263"/>
      <c r="AX462" s="261"/>
      <c r="AY462" s="262"/>
      <c r="BA462" s="263"/>
      <c r="BB462" s="261"/>
      <c r="BC462" s="262"/>
      <c r="BE462" s="263"/>
      <c r="BF462" s="261"/>
      <c r="BG462" s="262"/>
      <c r="BI462" s="263"/>
      <c r="BJ462" s="261"/>
      <c r="BL462" s="261"/>
      <c r="BO462" s="261"/>
      <c r="BP462" s="261"/>
      <c r="BQ462" s="262"/>
      <c r="BS462" s="263"/>
      <c r="BT462" s="261"/>
      <c r="BU462" s="262"/>
      <c r="BW462" s="263"/>
      <c r="BX462" s="261"/>
      <c r="BY462" s="262"/>
      <c r="CA462" s="263"/>
      <c r="CB462" s="261"/>
      <c r="CC462" s="262"/>
      <c r="CE462" s="263"/>
      <c r="CF462" s="261"/>
      <c r="CG462" s="262"/>
      <c r="CI462" s="263"/>
      <c r="CJ462" s="261"/>
      <c r="CK462" s="262"/>
      <c r="CM462" s="263"/>
      <c r="CN462" s="261"/>
      <c r="CO462" s="262"/>
      <c r="CQ462" s="263"/>
      <c r="CR462" s="261"/>
      <c r="CS462" s="262"/>
      <c r="CU462" s="263"/>
      <c r="CV462" s="261"/>
      <c r="CW462" s="262"/>
      <c r="CY462" s="263"/>
      <c r="CZ462" s="261"/>
      <c r="DA462" s="262"/>
      <c r="DC462" s="263"/>
      <c r="DD462" s="261"/>
      <c r="DF462" s="261"/>
      <c r="DI462" s="262"/>
      <c r="DJ462" s="261"/>
      <c r="DK462" s="263"/>
      <c r="DL462" s="263"/>
      <c r="DN462" s="261"/>
      <c r="DP462" s="261"/>
      <c r="DR462" s="261"/>
      <c r="DT462" s="261"/>
      <c r="DV462" s="261"/>
      <c r="DX462" s="261"/>
      <c r="DZ462" s="261"/>
      <c r="EB462" s="261"/>
      <c r="ED462" s="261"/>
      <c r="EF462" s="261"/>
    </row>
    <row r="463" spans="1:136" s="260" customFormat="1" ht="15" customHeight="1">
      <c r="A463" s="122"/>
      <c r="B463" s="122"/>
      <c r="C463" s="259"/>
      <c r="F463" s="261"/>
      <c r="H463" s="261"/>
      <c r="I463" s="261"/>
      <c r="J463" s="261"/>
      <c r="K463" s="261"/>
      <c r="M463" s="261"/>
      <c r="O463" s="261"/>
      <c r="P463" s="261"/>
      <c r="Q463" s="261"/>
      <c r="R463" s="261"/>
      <c r="S463" s="261"/>
      <c r="T463" s="261"/>
      <c r="V463" s="261"/>
      <c r="W463" s="262"/>
      <c r="Y463" s="263"/>
      <c r="Z463" s="261"/>
      <c r="AA463" s="262"/>
      <c r="AC463" s="263"/>
      <c r="AD463" s="261"/>
      <c r="AE463" s="262"/>
      <c r="AG463" s="263"/>
      <c r="AH463" s="261"/>
      <c r="AI463" s="262"/>
      <c r="AK463" s="263"/>
      <c r="AL463" s="261"/>
      <c r="AM463" s="262"/>
      <c r="AO463" s="263"/>
      <c r="AP463" s="261"/>
      <c r="AQ463" s="262"/>
      <c r="AS463" s="263"/>
      <c r="AT463" s="261"/>
      <c r="AU463" s="262"/>
      <c r="AW463" s="263"/>
      <c r="AX463" s="261"/>
      <c r="AY463" s="262"/>
      <c r="BA463" s="263"/>
      <c r="BB463" s="261"/>
      <c r="BC463" s="262"/>
      <c r="BE463" s="263"/>
      <c r="BF463" s="261"/>
      <c r="BG463" s="262"/>
      <c r="BI463" s="263"/>
      <c r="BJ463" s="261"/>
      <c r="BL463" s="261"/>
      <c r="BO463" s="261"/>
      <c r="BP463" s="261"/>
      <c r="BQ463" s="262"/>
      <c r="BS463" s="263"/>
      <c r="BT463" s="261"/>
      <c r="BU463" s="262"/>
      <c r="BW463" s="263"/>
      <c r="BX463" s="261"/>
      <c r="BY463" s="262"/>
      <c r="CA463" s="263"/>
      <c r="CB463" s="261"/>
      <c r="CC463" s="262"/>
      <c r="CE463" s="263"/>
      <c r="CF463" s="261"/>
      <c r="CG463" s="262"/>
      <c r="CI463" s="263"/>
      <c r="CJ463" s="261"/>
      <c r="CK463" s="262"/>
      <c r="CM463" s="263"/>
      <c r="CN463" s="261"/>
      <c r="CO463" s="262"/>
      <c r="CQ463" s="263"/>
      <c r="CR463" s="261"/>
      <c r="CS463" s="262"/>
      <c r="CU463" s="263"/>
      <c r="CV463" s="261"/>
      <c r="CW463" s="262"/>
      <c r="CY463" s="263"/>
      <c r="CZ463" s="261"/>
      <c r="DA463" s="262"/>
      <c r="DC463" s="263"/>
      <c r="DD463" s="261"/>
      <c r="DF463" s="261"/>
      <c r="DI463" s="262"/>
      <c r="DJ463" s="261"/>
      <c r="DK463" s="263"/>
      <c r="DL463" s="263"/>
      <c r="DN463" s="261"/>
      <c r="DP463" s="261"/>
      <c r="DR463" s="261"/>
      <c r="DT463" s="261"/>
      <c r="DV463" s="261"/>
      <c r="DX463" s="261"/>
      <c r="DZ463" s="261"/>
      <c r="EB463" s="261"/>
      <c r="ED463" s="261"/>
      <c r="EF463" s="261"/>
    </row>
    <row r="464" spans="1:136" s="260" customFormat="1" ht="15" customHeight="1">
      <c r="A464" s="122"/>
      <c r="B464" s="122"/>
      <c r="C464" s="259"/>
      <c r="F464" s="261"/>
      <c r="H464" s="261"/>
      <c r="I464" s="261"/>
      <c r="J464" s="261"/>
      <c r="K464" s="261"/>
      <c r="M464" s="261"/>
      <c r="O464" s="261"/>
      <c r="P464" s="261"/>
      <c r="Q464" s="261"/>
      <c r="R464" s="261"/>
      <c r="S464" s="261"/>
      <c r="T464" s="261"/>
      <c r="V464" s="261"/>
      <c r="W464" s="262"/>
      <c r="Y464" s="263"/>
      <c r="Z464" s="261"/>
      <c r="AA464" s="262"/>
      <c r="AC464" s="263"/>
      <c r="AD464" s="261"/>
      <c r="AE464" s="262"/>
      <c r="AG464" s="263"/>
      <c r="AH464" s="261"/>
      <c r="AI464" s="262"/>
      <c r="AK464" s="263"/>
      <c r="AL464" s="261"/>
      <c r="AM464" s="262"/>
      <c r="AO464" s="263"/>
      <c r="AP464" s="261"/>
      <c r="AQ464" s="262"/>
      <c r="AS464" s="263"/>
      <c r="AT464" s="261"/>
      <c r="AU464" s="262"/>
      <c r="AW464" s="263"/>
      <c r="AX464" s="261"/>
      <c r="AY464" s="262"/>
      <c r="BA464" s="263"/>
      <c r="BB464" s="261"/>
      <c r="BC464" s="262"/>
      <c r="BE464" s="263"/>
      <c r="BF464" s="261"/>
      <c r="BG464" s="262"/>
      <c r="BI464" s="263"/>
      <c r="BJ464" s="261"/>
      <c r="BL464" s="261"/>
      <c r="BO464" s="261"/>
      <c r="BP464" s="261"/>
      <c r="BQ464" s="262"/>
      <c r="BS464" s="263"/>
      <c r="BT464" s="261"/>
      <c r="BU464" s="262"/>
      <c r="BW464" s="263"/>
      <c r="BX464" s="261"/>
      <c r="BY464" s="262"/>
      <c r="CA464" s="263"/>
      <c r="CB464" s="261"/>
      <c r="CC464" s="262"/>
      <c r="CE464" s="263"/>
      <c r="CF464" s="261"/>
      <c r="CG464" s="262"/>
      <c r="CI464" s="263"/>
      <c r="CJ464" s="261"/>
      <c r="CK464" s="262"/>
      <c r="CM464" s="263"/>
      <c r="CN464" s="261"/>
      <c r="CO464" s="262"/>
      <c r="CQ464" s="263"/>
      <c r="CR464" s="261"/>
      <c r="CS464" s="262"/>
      <c r="CU464" s="263"/>
      <c r="CV464" s="261"/>
      <c r="CW464" s="262"/>
      <c r="CY464" s="263"/>
      <c r="CZ464" s="261"/>
      <c r="DA464" s="262"/>
      <c r="DC464" s="263"/>
      <c r="DD464" s="261"/>
      <c r="DF464" s="261"/>
      <c r="DI464" s="262"/>
      <c r="DJ464" s="261"/>
      <c r="DK464" s="263"/>
      <c r="DL464" s="263"/>
      <c r="DN464" s="261"/>
      <c r="DP464" s="261"/>
      <c r="DR464" s="261"/>
      <c r="DT464" s="261"/>
      <c r="DV464" s="261"/>
      <c r="DX464" s="261"/>
      <c r="DZ464" s="261"/>
      <c r="EB464" s="261"/>
      <c r="ED464" s="261"/>
      <c r="EF464" s="261"/>
    </row>
    <row r="465" spans="1:136" s="260" customFormat="1" ht="15" customHeight="1">
      <c r="A465" s="122"/>
      <c r="B465" s="122"/>
      <c r="C465" s="259"/>
      <c r="F465" s="261"/>
      <c r="H465" s="261"/>
      <c r="I465" s="261"/>
      <c r="J465" s="261"/>
      <c r="K465" s="261"/>
      <c r="M465" s="261"/>
      <c r="O465" s="261"/>
      <c r="P465" s="261"/>
      <c r="Q465" s="261"/>
      <c r="R465" s="261"/>
      <c r="S465" s="261"/>
      <c r="T465" s="261"/>
      <c r="V465" s="261"/>
      <c r="W465" s="262"/>
      <c r="Y465" s="263"/>
      <c r="Z465" s="261"/>
      <c r="AA465" s="262"/>
      <c r="AC465" s="263"/>
      <c r="AD465" s="261"/>
      <c r="AE465" s="262"/>
      <c r="AG465" s="263"/>
      <c r="AH465" s="261"/>
      <c r="AI465" s="262"/>
      <c r="AK465" s="263"/>
      <c r="AL465" s="261"/>
      <c r="AM465" s="262"/>
      <c r="AO465" s="263"/>
      <c r="AP465" s="261"/>
      <c r="AQ465" s="262"/>
      <c r="AS465" s="263"/>
      <c r="AT465" s="261"/>
      <c r="AU465" s="262"/>
      <c r="AW465" s="263"/>
      <c r="AX465" s="261"/>
      <c r="AY465" s="262"/>
      <c r="BA465" s="263"/>
      <c r="BB465" s="261"/>
      <c r="BC465" s="262"/>
      <c r="BE465" s="263"/>
      <c r="BF465" s="261"/>
      <c r="BG465" s="262"/>
      <c r="BI465" s="263"/>
      <c r="BJ465" s="261"/>
      <c r="BL465" s="261"/>
      <c r="BO465" s="261"/>
      <c r="BP465" s="261"/>
      <c r="BQ465" s="262"/>
      <c r="BS465" s="263"/>
      <c r="BT465" s="261"/>
      <c r="BU465" s="262"/>
      <c r="BW465" s="263"/>
      <c r="BX465" s="261"/>
      <c r="BY465" s="262"/>
      <c r="CA465" s="263"/>
      <c r="CB465" s="261"/>
      <c r="CC465" s="262"/>
      <c r="CE465" s="263"/>
      <c r="CF465" s="261"/>
      <c r="CG465" s="262"/>
      <c r="CI465" s="263"/>
      <c r="CJ465" s="261"/>
      <c r="CK465" s="262"/>
      <c r="CM465" s="263"/>
      <c r="CN465" s="261"/>
      <c r="CO465" s="262"/>
      <c r="CQ465" s="263"/>
      <c r="CR465" s="261"/>
      <c r="CS465" s="262"/>
      <c r="CU465" s="263"/>
      <c r="CV465" s="261"/>
      <c r="CW465" s="262"/>
      <c r="CY465" s="263"/>
      <c r="CZ465" s="261"/>
      <c r="DA465" s="262"/>
      <c r="DC465" s="263"/>
      <c r="DD465" s="261"/>
      <c r="DF465" s="261"/>
      <c r="DI465" s="262"/>
      <c r="DJ465" s="261"/>
      <c r="DK465" s="263"/>
      <c r="DL465" s="263"/>
      <c r="DN465" s="261"/>
      <c r="DP465" s="261"/>
      <c r="DR465" s="261"/>
      <c r="DT465" s="261"/>
      <c r="DV465" s="261"/>
      <c r="DX465" s="261"/>
      <c r="DZ465" s="261"/>
      <c r="EB465" s="261"/>
      <c r="ED465" s="261"/>
      <c r="EF465" s="261"/>
    </row>
    <row r="466" spans="1:136" s="260" customFormat="1" ht="15" customHeight="1">
      <c r="A466" s="122"/>
      <c r="B466" s="122"/>
      <c r="C466" s="259"/>
      <c r="F466" s="261"/>
      <c r="H466" s="261"/>
      <c r="I466" s="261"/>
      <c r="J466" s="261"/>
      <c r="K466" s="261"/>
      <c r="M466" s="261"/>
      <c r="O466" s="261"/>
      <c r="P466" s="261"/>
      <c r="Q466" s="261"/>
      <c r="R466" s="261"/>
      <c r="S466" s="261"/>
      <c r="T466" s="261"/>
      <c r="V466" s="261"/>
      <c r="W466" s="262"/>
      <c r="Y466" s="263"/>
      <c r="Z466" s="261"/>
      <c r="AA466" s="262"/>
      <c r="AC466" s="263"/>
      <c r="AD466" s="261"/>
      <c r="AE466" s="262"/>
      <c r="AG466" s="263"/>
      <c r="AH466" s="261"/>
      <c r="AI466" s="262"/>
      <c r="AK466" s="263"/>
      <c r="AL466" s="261"/>
      <c r="AM466" s="262"/>
      <c r="AO466" s="263"/>
      <c r="AP466" s="261"/>
      <c r="AQ466" s="262"/>
      <c r="AS466" s="263"/>
      <c r="AT466" s="261"/>
      <c r="AU466" s="262"/>
      <c r="AW466" s="263"/>
      <c r="AX466" s="261"/>
      <c r="AY466" s="262"/>
      <c r="BA466" s="263"/>
      <c r="BB466" s="261"/>
      <c r="BC466" s="262"/>
      <c r="BE466" s="263"/>
      <c r="BF466" s="261"/>
      <c r="BG466" s="262"/>
      <c r="BI466" s="263"/>
      <c r="BJ466" s="261"/>
      <c r="BL466" s="261"/>
      <c r="BO466" s="261"/>
      <c r="BP466" s="261"/>
      <c r="BQ466" s="262"/>
      <c r="BS466" s="263"/>
      <c r="BT466" s="261"/>
      <c r="BU466" s="262"/>
      <c r="BW466" s="263"/>
      <c r="BX466" s="261"/>
      <c r="BY466" s="262"/>
      <c r="CA466" s="263"/>
      <c r="CB466" s="261"/>
      <c r="CC466" s="262"/>
      <c r="CE466" s="263"/>
      <c r="CF466" s="261"/>
      <c r="CG466" s="262"/>
      <c r="CI466" s="263"/>
      <c r="CJ466" s="261"/>
      <c r="CK466" s="262"/>
      <c r="CM466" s="263"/>
      <c r="CN466" s="261"/>
      <c r="CO466" s="262"/>
      <c r="CQ466" s="263"/>
      <c r="CR466" s="261"/>
      <c r="CS466" s="262"/>
      <c r="CU466" s="263"/>
      <c r="CV466" s="261"/>
      <c r="CW466" s="262"/>
      <c r="CY466" s="263"/>
      <c r="CZ466" s="261"/>
      <c r="DA466" s="262"/>
      <c r="DC466" s="263"/>
      <c r="DD466" s="261"/>
      <c r="DF466" s="261"/>
      <c r="DI466" s="262"/>
      <c r="DJ466" s="261"/>
      <c r="DK466" s="263"/>
      <c r="DL466" s="263"/>
      <c r="DN466" s="261"/>
      <c r="DP466" s="261"/>
      <c r="DR466" s="261"/>
      <c r="DT466" s="261"/>
      <c r="DV466" s="261"/>
      <c r="DX466" s="261"/>
      <c r="DZ466" s="261"/>
      <c r="EB466" s="261"/>
      <c r="ED466" s="261"/>
      <c r="EF466" s="261"/>
    </row>
    <row r="467" spans="1:136" s="260" customFormat="1" ht="15" customHeight="1">
      <c r="A467" s="122"/>
      <c r="B467" s="122"/>
      <c r="C467" s="259"/>
      <c r="F467" s="261"/>
      <c r="H467" s="261"/>
      <c r="I467" s="261"/>
      <c r="J467" s="261"/>
      <c r="K467" s="261"/>
      <c r="M467" s="261"/>
      <c r="O467" s="261"/>
      <c r="P467" s="261"/>
      <c r="Q467" s="261"/>
      <c r="R467" s="261"/>
      <c r="S467" s="261"/>
      <c r="T467" s="261"/>
      <c r="V467" s="261"/>
      <c r="W467" s="262"/>
      <c r="Y467" s="263"/>
      <c r="Z467" s="261"/>
      <c r="AA467" s="262"/>
      <c r="AC467" s="263"/>
      <c r="AD467" s="261"/>
      <c r="AE467" s="262"/>
      <c r="AG467" s="263"/>
      <c r="AH467" s="261"/>
      <c r="AI467" s="262"/>
      <c r="AK467" s="263"/>
      <c r="AL467" s="261"/>
      <c r="AM467" s="262"/>
      <c r="AO467" s="263"/>
      <c r="AP467" s="261"/>
      <c r="AQ467" s="262"/>
      <c r="AS467" s="263"/>
      <c r="AT467" s="261"/>
      <c r="AU467" s="262"/>
      <c r="AW467" s="263"/>
      <c r="AX467" s="261"/>
      <c r="AY467" s="262"/>
      <c r="BA467" s="263"/>
      <c r="BB467" s="261"/>
      <c r="BC467" s="262"/>
      <c r="BE467" s="263"/>
      <c r="BF467" s="261"/>
      <c r="BG467" s="262"/>
      <c r="BI467" s="263"/>
      <c r="BJ467" s="261"/>
      <c r="BL467" s="261"/>
      <c r="BO467" s="261"/>
      <c r="BP467" s="261"/>
      <c r="BQ467" s="262"/>
      <c r="BS467" s="263"/>
      <c r="BT467" s="261"/>
      <c r="BU467" s="262"/>
      <c r="BW467" s="263"/>
      <c r="BX467" s="261"/>
      <c r="BY467" s="262"/>
      <c r="CA467" s="263"/>
      <c r="CB467" s="261"/>
      <c r="CC467" s="262"/>
      <c r="CE467" s="263"/>
      <c r="CF467" s="261"/>
      <c r="CG467" s="262"/>
      <c r="CI467" s="263"/>
      <c r="CJ467" s="261"/>
      <c r="CK467" s="262"/>
      <c r="CM467" s="263"/>
      <c r="CN467" s="261"/>
      <c r="CO467" s="262"/>
      <c r="CQ467" s="263"/>
      <c r="CR467" s="261"/>
      <c r="CS467" s="262"/>
      <c r="CU467" s="263"/>
      <c r="CV467" s="261"/>
      <c r="CW467" s="262"/>
      <c r="CY467" s="263"/>
      <c r="CZ467" s="261"/>
      <c r="DA467" s="262"/>
      <c r="DC467" s="263"/>
      <c r="DD467" s="261"/>
      <c r="DF467" s="261"/>
      <c r="DI467" s="262"/>
      <c r="DJ467" s="261"/>
      <c r="DK467" s="263"/>
      <c r="DL467" s="263"/>
      <c r="DN467" s="261"/>
      <c r="DP467" s="261"/>
      <c r="DR467" s="261"/>
      <c r="DT467" s="261"/>
      <c r="DV467" s="261"/>
      <c r="DX467" s="261"/>
      <c r="DZ467" s="261"/>
      <c r="EB467" s="261"/>
      <c r="ED467" s="261"/>
      <c r="EF467" s="261"/>
    </row>
    <row r="468" spans="1:136" s="260" customFormat="1" ht="15" customHeight="1">
      <c r="A468" s="122"/>
      <c r="B468" s="122"/>
      <c r="C468" s="259"/>
      <c r="F468" s="261"/>
      <c r="H468" s="261"/>
      <c r="I468" s="261"/>
      <c r="J468" s="261"/>
      <c r="K468" s="261"/>
      <c r="M468" s="261"/>
      <c r="O468" s="261"/>
      <c r="P468" s="261"/>
      <c r="Q468" s="261"/>
      <c r="R468" s="261"/>
      <c r="S468" s="261"/>
      <c r="T468" s="261"/>
      <c r="V468" s="261"/>
      <c r="W468" s="262"/>
      <c r="Y468" s="263"/>
      <c r="Z468" s="261"/>
      <c r="AA468" s="262"/>
      <c r="AC468" s="263"/>
      <c r="AD468" s="261"/>
      <c r="AE468" s="262"/>
      <c r="AG468" s="263"/>
      <c r="AH468" s="261"/>
      <c r="AI468" s="262"/>
      <c r="AK468" s="263"/>
      <c r="AL468" s="261"/>
      <c r="AM468" s="262"/>
      <c r="AO468" s="263"/>
      <c r="AP468" s="261"/>
      <c r="AQ468" s="262"/>
      <c r="AS468" s="263"/>
      <c r="AT468" s="261"/>
      <c r="AU468" s="262"/>
      <c r="AW468" s="263"/>
      <c r="AX468" s="261"/>
      <c r="AY468" s="262"/>
      <c r="BA468" s="263"/>
      <c r="BB468" s="261"/>
      <c r="BC468" s="262"/>
      <c r="BE468" s="263"/>
      <c r="BF468" s="261"/>
      <c r="BG468" s="262"/>
      <c r="BI468" s="263"/>
      <c r="BJ468" s="261"/>
      <c r="BL468" s="261"/>
      <c r="BO468" s="261"/>
      <c r="BP468" s="261"/>
      <c r="BQ468" s="262"/>
      <c r="BS468" s="263"/>
      <c r="BT468" s="261"/>
      <c r="BU468" s="262"/>
      <c r="BW468" s="263"/>
      <c r="BX468" s="261"/>
      <c r="BY468" s="262"/>
      <c r="CA468" s="263"/>
      <c r="CB468" s="261"/>
      <c r="CC468" s="262"/>
      <c r="CE468" s="263"/>
      <c r="CF468" s="261"/>
      <c r="CG468" s="262"/>
      <c r="CI468" s="263"/>
      <c r="CJ468" s="261"/>
      <c r="CK468" s="262"/>
      <c r="CM468" s="263"/>
      <c r="CN468" s="261"/>
      <c r="CO468" s="262"/>
      <c r="CQ468" s="263"/>
      <c r="CR468" s="261"/>
      <c r="CS468" s="262"/>
      <c r="CU468" s="263"/>
      <c r="CV468" s="261"/>
      <c r="CW468" s="262"/>
      <c r="CY468" s="263"/>
      <c r="CZ468" s="261"/>
      <c r="DA468" s="262"/>
      <c r="DC468" s="263"/>
      <c r="DD468" s="261"/>
      <c r="DF468" s="261"/>
      <c r="DI468" s="262"/>
      <c r="DJ468" s="261"/>
      <c r="DK468" s="263"/>
      <c r="DL468" s="263"/>
      <c r="DN468" s="261"/>
      <c r="DP468" s="261"/>
      <c r="DR468" s="261"/>
      <c r="DT468" s="261"/>
      <c r="DV468" s="261"/>
      <c r="DX468" s="261"/>
      <c r="DZ468" s="261"/>
      <c r="EB468" s="261"/>
      <c r="ED468" s="261"/>
      <c r="EF468" s="261"/>
    </row>
    <row r="469" spans="1:136" s="260" customFormat="1" ht="15" customHeight="1">
      <c r="A469" s="122"/>
      <c r="B469" s="122"/>
      <c r="C469" s="259"/>
      <c r="F469" s="261"/>
      <c r="H469" s="261"/>
      <c r="I469" s="261"/>
      <c r="J469" s="261"/>
      <c r="K469" s="261"/>
      <c r="M469" s="261"/>
      <c r="O469" s="261"/>
      <c r="P469" s="261"/>
      <c r="Q469" s="261"/>
      <c r="R469" s="261"/>
      <c r="S469" s="261"/>
      <c r="T469" s="261"/>
      <c r="V469" s="261"/>
      <c r="W469" s="262"/>
      <c r="Y469" s="263"/>
      <c r="Z469" s="261"/>
      <c r="AA469" s="262"/>
      <c r="AC469" s="263"/>
      <c r="AD469" s="261"/>
      <c r="AE469" s="262"/>
      <c r="AG469" s="263"/>
      <c r="AH469" s="261"/>
      <c r="AI469" s="262"/>
      <c r="AK469" s="263"/>
      <c r="AL469" s="261"/>
      <c r="AM469" s="262"/>
      <c r="AO469" s="263"/>
      <c r="AP469" s="261"/>
      <c r="AQ469" s="262"/>
      <c r="AS469" s="263"/>
      <c r="AT469" s="261"/>
      <c r="AU469" s="262"/>
      <c r="AW469" s="263"/>
      <c r="AX469" s="261"/>
      <c r="AY469" s="262"/>
      <c r="BA469" s="263"/>
      <c r="BB469" s="261"/>
      <c r="BC469" s="262"/>
      <c r="BE469" s="263"/>
      <c r="BF469" s="261"/>
      <c r="BG469" s="262"/>
      <c r="BI469" s="263"/>
      <c r="BJ469" s="261"/>
      <c r="BL469" s="261"/>
      <c r="BO469" s="261"/>
      <c r="BP469" s="261"/>
      <c r="BQ469" s="262"/>
      <c r="BS469" s="263"/>
      <c r="BT469" s="261"/>
      <c r="BU469" s="262"/>
      <c r="BW469" s="263"/>
      <c r="BX469" s="261"/>
      <c r="BY469" s="262"/>
      <c r="CA469" s="263"/>
      <c r="CB469" s="261"/>
      <c r="CC469" s="262"/>
      <c r="CE469" s="263"/>
      <c r="CF469" s="261"/>
      <c r="CG469" s="262"/>
      <c r="CI469" s="263"/>
      <c r="CJ469" s="261"/>
      <c r="CK469" s="262"/>
      <c r="CM469" s="263"/>
      <c r="CN469" s="261"/>
      <c r="CO469" s="262"/>
      <c r="CQ469" s="263"/>
      <c r="CR469" s="261"/>
      <c r="CS469" s="262"/>
      <c r="CU469" s="263"/>
      <c r="CV469" s="261"/>
      <c r="CW469" s="262"/>
      <c r="CY469" s="263"/>
      <c r="CZ469" s="261"/>
      <c r="DA469" s="262"/>
      <c r="DC469" s="263"/>
      <c r="DD469" s="261"/>
      <c r="DF469" s="261"/>
      <c r="DI469" s="262"/>
      <c r="DJ469" s="261"/>
      <c r="DK469" s="263"/>
      <c r="DL469" s="263"/>
      <c r="DN469" s="261"/>
      <c r="DP469" s="261"/>
      <c r="DR469" s="261"/>
      <c r="DT469" s="261"/>
      <c r="DV469" s="261"/>
      <c r="DX469" s="261"/>
      <c r="DZ469" s="261"/>
      <c r="EB469" s="261"/>
      <c r="ED469" s="261"/>
      <c r="EF469" s="261"/>
    </row>
    <row r="470" spans="1:136" s="260" customFormat="1" ht="15" customHeight="1">
      <c r="A470" s="122"/>
      <c r="B470" s="122"/>
      <c r="C470" s="259"/>
      <c r="F470" s="261"/>
      <c r="H470" s="261"/>
      <c r="I470" s="261"/>
      <c r="J470" s="261"/>
      <c r="K470" s="261"/>
      <c r="M470" s="261"/>
      <c r="O470" s="261"/>
      <c r="P470" s="261"/>
      <c r="Q470" s="261"/>
      <c r="R470" s="261"/>
      <c r="S470" s="261"/>
      <c r="T470" s="261"/>
      <c r="V470" s="261"/>
      <c r="W470" s="262"/>
      <c r="Y470" s="263"/>
      <c r="Z470" s="261"/>
      <c r="AA470" s="262"/>
      <c r="AC470" s="263"/>
      <c r="AD470" s="261"/>
      <c r="AE470" s="262"/>
      <c r="AG470" s="263"/>
      <c r="AH470" s="261"/>
      <c r="AI470" s="262"/>
      <c r="AK470" s="263"/>
      <c r="AL470" s="261"/>
      <c r="AM470" s="262"/>
      <c r="AO470" s="263"/>
      <c r="AP470" s="261"/>
      <c r="AQ470" s="262"/>
      <c r="AS470" s="263"/>
      <c r="AT470" s="261"/>
      <c r="AU470" s="262"/>
      <c r="AW470" s="263"/>
      <c r="AX470" s="261"/>
      <c r="AY470" s="262"/>
      <c r="BA470" s="263"/>
      <c r="BB470" s="261"/>
      <c r="BC470" s="262"/>
      <c r="BE470" s="263"/>
      <c r="BF470" s="261"/>
      <c r="BG470" s="262"/>
      <c r="BI470" s="263"/>
      <c r="BJ470" s="261"/>
      <c r="BL470" s="261"/>
      <c r="BO470" s="261"/>
      <c r="BP470" s="261"/>
      <c r="BQ470" s="262"/>
      <c r="BS470" s="263"/>
      <c r="BT470" s="261"/>
      <c r="BU470" s="262"/>
      <c r="BW470" s="263"/>
      <c r="BX470" s="261"/>
      <c r="BY470" s="262"/>
      <c r="CA470" s="263"/>
      <c r="CB470" s="261"/>
      <c r="CC470" s="262"/>
      <c r="CE470" s="263"/>
      <c r="CF470" s="261"/>
      <c r="CG470" s="262"/>
      <c r="CI470" s="263"/>
      <c r="CJ470" s="261"/>
      <c r="CK470" s="262"/>
      <c r="CM470" s="263"/>
      <c r="CN470" s="261"/>
      <c r="CO470" s="262"/>
      <c r="CQ470" s="263"/>
      <c r="CR470" s="261"/>
      <c r="CS470" s="262"/>
      <c r="CU470" s="263"/>
      <c r="CV470" s="261"/>
      <c r="CW470" s="262"/>
      <c r="CY470" s="263"/>
      <c r="CZ470" s="261"/>
      <c r="DA470" s="262"/>
      <c r="DC470" s="263"/>
      <c r="DD470" s="261"/>
      <c r="DF470" s="261"/>
      <c r="DI470" s="262"/>
      <c r="DJ470" s="261"/>
      <c r="DK470" s="263"/>
      <c r="DL470" s="263"/>
      <c r="DN470" s="261"/>
      <c r="DP470" s="261"/>
      <c r="DR470" s="261"/>
      <c r="DT470" s="261"/>
      <c r="DV470" s="261"/>
      <c r="DX470" s="261"/>
      <c r="DZ470" s="261"/>
      <c r="EB470" s="261"/>
      <c r="ED470" s="261"/>
      <c r="EF470" s="261"/>
    </row>
    <row r="471" spans="1:136" s="260" customFormat="1" ht="15" customHeight="1">
      <c r="A471" s="122"/>
      <c r="B471" s="122"/>
      <c r="C471" s="259"/>
      <c r="F471" s="261"/>
      <c r="H471" s="261"/>
      <c r="I471" s="261"/>
      <c r="J471" s="261"/>
      <c r="K471" s="261"/>
      <c r="M471" s="261"/>
      <c r="O471" s="261"/>
      <c r="P471" s="261"/>
      <c r="Q471" s="261"/>
      <c r="R471" s="261"/>
      <c r="S471" s="261"/>
      <c r="T471" s="261"/>
      <c r="V471" s="261"/>
      <c r="W471" s="262"/>
      <c r="Y471" s="263"/>
      <c r="Z471" s="261"/>
      <c r="AA471" s="262"/>
      <c r="AC471" s="263"/>
      <c r="AD471" s="261"/>
      <c r="AE471" s="262"/>
      <c r="AG471" s="263"/>
      <c r="AH471" s="261"/>
      <c r="AI471" s="262"/>
      <c r="AK471" s="263"/>
      <c r="AL471" s="261"/>
      <c r="AM471" s="262"/>
      <c r="AO471" s="263"/>
      <c r="AP471" s="261"/>
      <c r="AQ471" s="262"/>
      <c r="AS471" s="263"/>
      <c r="AT471" s="261"/>
      <c r="AU471" s="262"/>
      <c r="AW471" s="263"/>
      <c r="AX471" s="261"/>
      <c r="AY471" s="262"/>
      <c r="BA471" s="263"/>
      <c r="BB471" s="261"/>
      <c r="BC471" s="262"/>
      <c r="BE471" s="263"/>
      <c r="BF471" s="261"/>
      <c r="BG471" s="262"/>
      <c r="BI471" s="263"/>
      <c r="BJ471" s="261"/>
      <c r="BL471" s="261"/>
      <c r="BO471" s="261"/>
      <c r="BP471" s="261"/>
      <c r="BQ471" s="262"/>
      <c r="BS471" s="263"/>
      <c r="BT471" s="261"/>
      <c r="BU471" s="262"/>
      <c r="BW471" s="263"/>
      <c r="BX471" s="261"/>
      <c r="BY471" s="262"/>
      <c r="CA471" s="263"/>
      <c r="CB471" s="261"/>
      <c r="CC471" s="262"/>
      <c r="CE471" s="263"/>
      <c r="CF471" s="261"/>
      <c r="CG471" s="262"/>
      <c r="CI471" s="263"/>
      <c r="CJ471" s="261"/>
      <c r="CK471" s="262"/>
      <c r="CM471" s="263"/>
      <c r="CN471" s="261"/>
      <c r="CO471" s="262"/>
      <c r="CQ471" s="263"/>
      <c r="CR471" s="261"/>
      <c r="CS471" s="262"/>
      <c r="CU471" s="263"/>
      <c r="CV471" s="261"/>
      <c r="CW471" s="262"/>
      <c r="CY471" s="263"/>
      <c r="CZ471" s="261"/>
      <c r="DA471" s="262"/>
      <c r="DC471" s="263"/>
      <c r="DD471" s="261"/>
      <c r="DF471" s="261"/>
      <c r="DI471" s="262"/>
      <c r="DJ471" s="261"/>
      <c r="DK471" s="263"/>
      <c r="DL471" s="263"/>
      <c r="DN471" s="261"/>
      <c r="DP471" s="261"/>
      <c r="DR471" s="261"/>
      <c r="DT471" s="261"/>
      <c r="DV471" s="261"/>
      <c r="DX471" s="261"/>
      <c r="DZ471" s="261"/>
      <c r="EB471" s="261"/>
      <c r="ED471" s="261"/>
      <c r="EF471" s="261"/>
    </row>
    <row r="472" spans="1:136" s="260" customFormat="1" ht="15" customHeight="1">
      <c r="A472" s="122"/>
      <c r="B472" s="122"/>
      <c r="C472" s="259"/>
      <c r="F472" s="261"/>
      <c r="H472" s="261"/>
      <c r="I472" s="261"/>
      <c r="J472" s="261"/>
      <c r="K472" s="261"/>
      <c r="M472" s="261"/>
      <c r="O472" s="261"/>
      <c r="P472" s="261"/>
      <c r="Q472" s="261"/>
      <c r="R472" s="261"/>
      <c r="S472" s="261"/>
      <c r="T472" s="261"/>
      <c r="V472" s="261"/>
      <c r="W472" s="262"/>
      <c r="Y472" s="263"/>
      <c r="Z472" s="261"/>
      <c r="AA472" s="262"/>
      <c r="AC472" s="263"/>
      <c r="AD472" s="261"/>
      <c r="AE472" s="262"/>
      <c r="AG472" s="263"/>
      <c r="AH472" s="261"/>
      <c r="AI472" s="262"/>
      <c r="AK472" s="263"/>
      <c r="AL472" s="261"/>
      <c r="AM472" s="262"/>
      <c r="AO472" s="263"/>
      <c r="AP472" s="261"/>
      <c r="AQ472" s="262"/>
      <c r="AS472" s="263"/>
      <c r="AT472" s="261"/>
      <c r="AU472" s="262"/>
      <c r="AW472" s="263"/>
      <c r="AX472" s="261"/>
      <c r="AY472" s="262"/>
      <c r="BA472" s="263"/>
      <c r="BB472" s="261"/>
      <c r="BC472" s="262"/>
      <c r="BE472" s="263"/>
      <c r="BF472" s="261"/>
      <c r="BG472" s="262"/>
      <c r="BI472" s="263"/>
      <c r="BJ472" s="261"/>
      <c r="BL472" s="261"/>
      <c r="BO472" s="261"/>
      <c r="BP472" s="261"/>
      <c r="BQ472" s="262"/>
      <c r="BS472" s="263"/>
      <c r="BT472" s="261"/>
      <c r="BU472" s="262"/>
      <c r="BW472" s="263"/>
      <c r="BX472" s="261"/>
      <c r="BY472" s="262"/>
      <c r="CA472" s="263"/>
      <c r="CB472" s="261"/>
      <c r="CC472" s="262"/>
      <c r="CE472" s="263"/>
      <c r="CF472" s="261"/>
      <c r="CG472" s="262"/>
      <c r="CI472" s="263"/>
      <c r="CJ472" s="261"/>
      <c r="CK472" s="262"/>
      <c r="CM472" s="263"/>
      <c r="CN472" s="261"/>
      <c r="CO472" s="262"/>
      <c r="CQ472" s="263"/>
      <c r="CR472" s="261"/>
      <c r="CS472" s="262"/>
      <c r="CU472" s="263"/>
      <c r="CV472" s="261"/>
      <c r="CW472" s="262"/>
      <c r="CY472" s="263"/>
      <c r="CZ472" s="261"/>
      <c r="DA472" s="262"/>
      <c r="DC472" s="263"/>
      <c r="DD472" s="261"/>
      <c r="DF472" s="261"/>
      <c r="DI472" s="262"/>
      <c r="DJ472" s="261"/>
      <c r="DK472" s="263"/>
      <c r="DL472" s="263"/>
      <c r="DN472" s="261"/>
      <c r="DP472" s="261"/>
      <c r="DR472" s="261"/>
      <c r="DT472" s="261"/>
      <c r="DV472" s="261"/>
      <c r="DX472" s="261"/>
      <c r="DZ472" s="261"/>
      <c r="EB472" s="261"/>
      <c r="ED472" s="261"/>
      <c r="EF472" s="261"/>
    </row>
    <row r="473" spans="1:136" s="260" customFormat="1" ht="15" customHeight="1">
      <c r="A473" s="122"/>
      <c r="B473" s="122"/>
      <c r="C473" s="259"/>
      <c r="F473" s="261"/>
      <c r="H473" s="261"/>
      <c r="I473" s="261"/>
      <c r="J473" s="261"/>
      <c r="K473" s="261"/>
      <c r="M473" s="261"/>
      <c r="O473" s="261"/>
      <c r="P473" s="261"/>
      <c r="Q473" s="261"/>
      <c r="R473" s="261"/>
      <c r="S473" s="261"/>
      <c r="T473" s="261"/>
      <c r="V473" s="261"/>
      <c r="W473" s="262"/>
      <c r="Y473" s="263"/>
      <c r="Z473" s="261"/>
      <c r="AA473" s="262"/>
      <c r="AC473" s="263"/>
      <c r="AD473" s="261"/>
      <c r="AE473" s="262"/>
      <c r="AG473" s="263"/>
      <c r="AH473" s="261"/>
      <c r="AI473" s="262"/>
      <c r="AK473" s="263"/>
      <c r="AL473" s="261"/>
      <c r="AM473" s="262"/>
      <c r="AO473" s="263"/>
      <c r="AP473" s="261"/>
      <c r="AQ473" s="262"/>
      <c r="AS473" s="263"/>
      <c r="AT473" s="261"/>
      <c r="AU473" s="262"/>
      <c r="AW473" s="263"/>
      <c r="AX473" s="261"/>
      <c r="AY473" s="262"/>
      <c r="BA473" s="263"/>
      <c r="BB473" s="261"/>
      <c r="BC473" s="262"/>
      <c r="BE473" s="263"/>
      <c r="BF473" s="261"/>
      <c r="BG473" s="262"/>
      <c r="BI473" s="263"/>
      <c r="BJ473" s="261"/>
      <c r="BL473" s="261"/>
      <c r="BO473" s="261"/>
      <c r="BP473" s="261"/>
      <c r="BQ473" s="262"/>
      <c r="BS473" s="263"/>
      <c r="BT473" s="261"/>
      <c r="BU473" s="262"/>
      <c r="BW473" s="263"/>
      <c r="BX473" s="261"/>
      <c r="BY473" s="262"/>
      <c r="CA473" s="263"/>
      <c r="CB473" s="261"/>
      <c r="CC473" s="262"/>
      <c r="CE473" s="263"/>
      <c r="CF473" s="261"/>
      <c r="CG473" s="262"/>
      <c r="CI473" s="263"/>
      <c r="CJ473" s="261"/>
      <c r="CK473" s="262"/>
      <c r="CM473" s="263"/>
      <c r="CN473" s="261"/>
      <c r="CO473" s="262"/>
      <c r="CQ473" s="263"/>
      <c r="CR473" s="261"/>
      <c r="CS473" s="262"/>
      <c r="CU473" s="263"/>
      <c r="CV473" s="261"/>
      <c r="CW473" s="262"/>
      <c r="CY473" s="263"/>
      <c r="CZ473" s="261"/>
      <c r="DA473" s="262"/>
      <c r="DC473" s="263"/>
      <c r="DD473" s="261"/>
      <c r="DF473" s="261"/>
      <c r="DI473" s="262"/>
      <c r="DJ473" s="261"/>
      <c r="DK473" s="263"/>
      <c r="DL473" s="263"/>
      <c r="DN473" s="261"/>
      <c r="DP473" s="261"/>
      <c r="DR473" s="261"/>
      <c r="DT473" s="261"/>
      <c r="DV473" s="261"/>
      <c r="DX473" s="261"/>
      <c r="DZ473" s="261"/>
      <c r="EB473" s="261"/>
      <c r="ED473" s="261"/>
      <c r="EF473" s="261"/>
    </row>
    <row r="474" spans="1:136" s="260" customFormat="1" ht="15" customHeight="1">
      <c r="A474" s="122"/>
      <c r="B474" s="122"/>
      <c r="C474" s="259"/>
      <c r="F474" s="261"/>
      <c r="H474" s="261"/>
      <c r="I474" s="261"/>
      <c r="J474" s="261"/>
      <c r="K474" s="261"/>
      <c r="M474" s="261"/>
      <c r="O474" s="261"/>
      <c r="P474" s="261"/>
      <c r="Q474" s="261"/>
      <c r="R474" s="261"/>
      <c r="S474" s="261"/>
      <c r="T474" s="261"/>
      <c r="V474" s="261"/>
      <c r="W474" s="262"/>
      <c r="Y474" s="263"/>
      <c r="Z474" s="261"/>
      <c r="AA474" s="262"/>
      <c r="AC474" s="263"/>
      <c r="AD474" s="261"/>
      <c r="AE474" s="262"/>
      <c r="AG474" s="263"/>
      <c r="AH474" s="261"/>
      <c r="AI474" s="262"/>
      <c r="AK474" s="263"/>
      <c r="AL474" s="261"/>
      <c r="AM474" s="262"/>
      <c r="AO474" s="263"/>
      <c r="AP474" s="261"/>
      <c r="AQ474" s="262"/>
      <c r="AS474" s="263"/>
      <c r="AT474" s="261"/>
      <c r="AU474" s="262"/>
      <c r="AW474" s="263"/>
      <c r="AX474" s="261"/>
      <c r="AY474" s="262"/>
      <c r="BA474" s="263"/>
      <c r="BB474" s="261"/>
      <c r="BC474" s="262"/>
      <c r="BE474" s="263"/>
      <c r="BF474" s="261"/>
      <c r="BG474" s="262"/>
      <c r="BI474" s="263"/>
      <c r="BJ474" s="261"/>
      <c r="BL474" s="261"/>
      <c r="BO474" s="261"/>
      <c r="BP474" s="261"/>
      <c r="BQ474" s="262"/>
      <c r="BS474" s="263"/>
      <c r="BT474" s="261"/>
      <c r="BU474" s="262"/>
      <c r="BW474" s="263"/>
      <c r="BX474" s="261"/>
      <c r="BY474" s="262"/>
      <c r="CA474" s="263"/>
      <c r="CB474" s="261"/>
      <c r="CC474" s="262"/>
      <c r="CE474" s="263"/>
      <c r="CF474" s="261"/>
      <c r="CG474" s="262"/>
      <c r="CI474" s="263"/>
      <c r="CJ474" s="261"/>
      <c r="CK474" s="262"/>
      <c r="CM474" s="263"/>
      <c r="CN474" s="261"/>
      <c r="CO474" s="262"/>
      <c r="CQ474" s="263"/>
      <c r="CR474" s="261"/>
      <c r="CS474" s="262"/>
      <c r="CU474" s="263"/>
      <c r="CV474" s="261"/>
      <c r="CW474" s="262"/>
      <c r="CY474" s="263"/>
      <c r="CZ474" s="261"/>
      <c r="DA474" s="262"/>
      <c r="DC474" s="263"/>
      <c r="DD474" s="261"/>
      <c r="DF474" s="261"/>
      <c r="DI474" s="262"/>
      <c r="DJ474" s="261"/>
      <c r="DK474" s="263"/>
      <c r="DL474" s="263"/>
      <c r="DN474" s="261"/>
      <c r="DP474" s="261"/>
      <c r="DR474" s="261"/>
      <c r="DT474" s="261"/>
      <c r="DV474" s="261"/>
      <c r="DX474" s="261"/>
      <c r="DZ474" s="261"/>
      <c r="EB474" s="261"/>
      <c r="ED474" s="261"/>
      <c r="EF474" s="261"/>
    </row>
    <row r="475" spans="1:136" s="260" customFormat="1" ht="15" customHeight="1">
      <c r="A475" s="122"/>
      <c r="B475" s="122"/>
      <c r="C475" s="259"/>
      <c r="F475" s="261"/>
      <c r="H475" s="261"/>
      <c r="I475" s="261"/>
      <c r="J475" s="261"/>
      <c r="K475" s="261"/>
      <c r="M475" s="261"/>
      <c r="O475" s="261"/>
      <c r="P475" s="261"/>
      <c r="Q475" s="261"/>
      <c r="R475" s="261"/>
      <c r="S475" s="261"/>
      <c r="T475" s="261"/>
      <c r="V475" s="261"/>
      <c r="W475" s="262"/>
      <c r="Y475" s="263"/>
      <c r="Z475" s="261"/>
      <c r="AA475" s="262"/>
      <c r="AC475" s="263"/>
      <c r="AD475" s="261"/>
      <c r="AE475" s="262"/>
      <c r="AG475" s="263"/>
      <c r="AH475" s="261"/>
      <c r="AI475" s="262"/>
      <c r="AK475" s="263"/>
      <c r="AL475" s="261"/>
      <c r="AM475" s="262"/>
      <c r="AO475" s="263"/>
      <c r="AP475" s="261"/>
      <c r="AQ475" s="262"/>
      <c r="AS475" s="263"/>
      <c r="AT475" s="261"/>
      <c r="AU475" s="262"/>
      <c r="AW475" s="263"/>
      <c r="AX475" s="261"/>
      <c r="AY475" s="262"/>
      <c r="BA475" s="263"/>
      <c r="BB475" s="261"/>
      <c r="BC475" s="262"/>
      <c r="BE475" s="263"/>
      <c r="BF475" s="261"/>
      <c r="BG475" s="262"/>
      <c r="BI475" s="263"/>
      <c r="BJ475" s="261"/>
      <c r="BL475" s="261"/>
      <c r="BO475" s="261"/>
      <c r="BP475" s="261"/>
      <c r="BQ475" s="262"/>
      <c r="BS475" s="263"/>
      <c r="BT475" s="261"/>
      <c r="BU475" s="262"/>
      <c r="BW475" s="263"/>
      <c r="BX475" s="261"/>
      <c r="BY475" s="262"/>
      <c r="CA475" s="263"/>
      <c r="CB475" s="261"/>
      <c r="CC475" s="262"/>
      <c r="CE475" s="263"/>
      <c r="CF475" s="261"/>
      <c r="CG475" s="262"/>
      <c r="CI475" s="263"/>
      <c r="CJ475" s="261"/>
      <c r="CK475" s="262"/>
      <c r="CM475" s="263"/>
      <c r="CN475" s="261"/>
      <c r="CO475" s="262"/>
      <c r="CQ475" s="263"/>
      <c r="CR475" s="261"/>
      <c r="CS475" s="262"/>
      <c r="CU475" s="263"/>
      <c r="CV475" s="261"/>
      <c r="CW475" s="262"/>
      <c r="CY475" s="263"/>
      <c r="CZ475" s="261"/>
      <c r="DA475" s="262"/>
      <c r="DC475" s="263"/>
      <c r="DD475" s="261"/>
      <c r="DF475" s="261"/>
      <c r="DI475" s="262"/>
      <c r="DJ475" s="261"/>
      <c r="DK475" s="263"/>
      <c r="DL475" s="263"/>
      <c r="DN475" s="261"/>
      <c r="DP475" s="261"/>
      <c r="DR475" s="261"/>
      <c r="DT475" s="261"/>
      <c r="DV475" s="261"/>
      <c r="DX475" s="261"/>
      <c r="DZ475" s="261"/>
      <c r="EB475" s="261"/>
      <c r="ED475" s="261"/>
      <c r="EF475" s="261"/>
    </row>
    <row r="476" spans="1:136" s="260" customFormat="1" ht="15" customHeight="1">
      <c r="A476" s="122"/>
      <c r="B476" s="122"/>
      <c r="C476" s="259"/>
      <c r="F476" s="261"/>
      <c r="H476" s="261"/>
      <c r="I476" s="261"/>
      <c r="J476" s="261"/>
      <c r="K476" s="261"/>
      <c r="M476" s="261"/>
      <c r="O476" s="261"/>
      <c r="P476" s="261"/>
      <c r="Q476" s="261"/>
      <c r="R476" s="261"/>
      <c r="S476" s="261"/>
      <c r="T476" s="261"/>
      <c r="V476" s="261"/>
      <c r="W476" s="262"/>
      <c r="Y476" s="263"/>
      <c r="Z476" s="261"/>
      <c r="AA476" s="262"/>
      <c r="AC476" s="263"/>
      <c r="AD476" s="261"/>
      <c r="AE476" s="262"/>
      <c r="AG476" s="263"/>
      <c r="AH476" s="261"/>
      <c r="AI476" s="262"/>
      <c r="AK476" s="263"/>
      <c r="AL476" s="261"/>
      <c r="AM476" s="262"/>
      <c r="AO476" s="263"/>
      <c r="AP476" s="261"/>
      <c r="AQ476" s="262"/>
      <c r="AS476" s="263"/>
      <c r="AT476" s="261"/>
      <c r="AU476" s="262"/>
      <c r="AW476" s="263"/>
      <c r="AX476" s="261"/>
      <c r="AY476" s="262"/>
      <c r="BA476" s="263"/>
      <c r="BB476" s="261"/>
      <c r="BC476" s="262"/>
      <c r="BE476" s="263"/>
      <c r="BF476" s="261"/>
      <c r="BG476" s="262"/>
      <c r="BI476" s="263"/>
      <c r="BJ476" s="261"/>
      <c r="BL476" s="261"/>
      <c r="BO476" s="261"/>
      <c r="BP476" s="261"/>
      <c r="BQ476" s="262"/>
      <c r="BS476" s="263"/>
      <c r="BT476" s="261"/>
      <c r="BU476" s="262"/>
      <c r="BW476" s="263"/>
      <c r="BX476" s="261"/>
      <c r="BY476" s="262"/>
      <c r="CA476" s="263"/>
      <c r="CB476" s="261"/>
      <c r="CC476" s="262"/>
      <c r="CE476" s="263"/>
      <c r="CF476" s="261"/>
      <c r="CG476" s="262"/>
      <c r="CI476" s="263"/>
      <c r="CJ476" s="261"/>
      <c r="CK476" s="262"/>
      <c r="CM476" s="263"/>
      <c r="CN476" s="261"/>
      <c r="CO476" s="262"/>
      <c r="CQ476" s="263"/>
      <c r="CR476" s="261"/>
      <c r="CS476" s="262"/>
      <c r="CU476" s="263"/>
      <c r="CV476" s="261"/>
      <c r="CW476" s="262"/>
      <c r="CY476" s="263"/>
      <c r="CZ476" s="261"/>
      <c r="DA476" s="262"/>
      <c r="DC476" s="263"/>
      <c r="DD476" s="261"/>
      <c r="DF476" s="261"/>
      <c r="DI476" s="262"/>
      <c r="DJ476" s="261"/>
      <c r="DK476" s="263"/>
      <c r="DL476" s="263"/>
      <c r="DN476" s="261"/>
      <c r="DP476" s="261"/>
      <c r="DR476" s="261"/>
      <c r="DT476" s="261"/>
      <c r="DV476" s="261"/>
      <c r="DX476" s="261"/>
      <c r="DZ476" s="261"/>
      <c r="EB476" s="261"/>
      <c r="ED476" s="261"/>
      <c r="EF476" s="261"/>
    </row>
    <row r="477" spans="1:136" s="260" customFormat="1" ht="15" customHeight="1">
      <c r="A477" s="122"/>
      <c r="B477" s="122"/>
      <c r="C477" s="259"/>
      <c r="F477" s="261"/>
      <c r="H477" s="261"/>
      <c r="I477" s="261"/>
      <c r="J477" s="261"/>
      <c r="K477" s="261"/>
      <c r="M477" s="261"/>
      <c r="O477" s="261"/>
      <c r="P477" s="261"/>
      <c r="Q477" s="261"/>
      <c r="R477" s="261"/>
      <c r="S477" s="261"/>
      <c r="T477" s="261"/>
      <c r="V477" s="261"/>
      <c r="W477" s="262"/>
      <c r="Y477" s="263"/>
      <c r="Z477" s="261"/>
      <c r="AA477" s="262"/>
      <c r="AC477" s="263"/>
      <c r="AD477" s="261"/>
      <c r="AE477" s="262"/>
      <c r="AG477" s="263"/>
      <c r="AH477" s="261"/>
      <c r="AI477" s="262"/>
      <c r="AK477" s="263"/>
      <c r="AL477" s="261"/>
      <c r="AM477" s="262"/>
      <c r="AO477" s="263"/>
      <c r="AP477" s="261"/>
      <c r="AQ477" s="262"/>
      <c r="AS477" s="263"/>
      <c r="AT477" s="261"/>
      <c r="AU477" s="262"/>
      <c r="AW477" s="263"/>
      <c r="AX477" s="261"/>
      <c r="AY477" s="262"/>
      <c r="BA477" s="263"/>
      <c r="BB477" s="261"/>
      <c r="BC477" s="262"/>
      <c r="BE477" s="263"/>
      <c r="BF477" s="261"/>
      <c r="BG477" s="262"/>
      <c r="BI477" s="263"/>
      <c r="BJ477" s="261"/>
      <c r="BL477" s="261"/>
      <c r="BO477" s="261"/>
      <c r="BP477" s="261"/>
      <c r="BQ477" s="262"/>
      <c r="BS477" s="263"/>
      <c r="BT477" s="261"/>
      <c r="BU477" s="262"/>
      <c r="BW477" s="263"/>
      <c r="BX477" s="261"/>
      <c r="BY477" s="262"/>
      <c r="CA477" s="263"/>
      <c r="CB477" s="261"/>
      <c r="CC477" s="262"/>
      <c r="CE477" s="263"/>
      <c r="CF477" s="261"/>
      <c r="CG477" s="262"/>
      <c r="CI477" s="263"/>
      <c r="CJ477" s="261"/>
      <c r="CK477" s="262"/>
      <c r="CM477" s="263"/>
      <c r="CN477" s="261"/>
      <c r="CO477" s="262"/>
      <c r="CQ477" s="263"/>
      <c r="CR477" s="261"/>
      <c r="CS477" s="262"/>
      <c r="CU477" s="263"/>
      <c r="CV477" s="261"/>
      <c r="CW477" s="262"/>
      <c r="CY477" s="263"/>
      <c r="CZ477" s="261"/>
      <c r="DA477" s="262"/>
      <c r="DC477" s="263"/>
      <c r="DD477" s="261"/>
      <c r="DF477" s="261"/>
      <c r="DI477" s="262"/>
      <c r="DJ477" s="261"/>
      <c r="DK477" s="263"/>
      <c r="DL477" s="263"/>
      <c r="DN477" s="261"/>
      <c r="DP477" s="261"/>
      <c r="DR477" s="261"/>
      <c r="DT477" s="261"/>
      <c r="DV477" s="261"/>
      <c r="DX477" s="261"/>
      <c r="DZ477" s="261"/>
      <c r="EB477" s="261"/>
      <c r="ED477" s="261"/>
      <c r="EF477" s="261"/>
    </row>
    <row r="478" spans="1:136" s="260" customFormat="1" ht="15" customHeight="1">
      <c r="A478" s="122"/>
      <c r="B478" s="122"/>
      <c r="C478" s="259"/>
      <c r="F478" s="261"/>
      <c r="H478" s="261"/>
      <c r="I478" s="261"/>
      <c r="J478" s="261"/>
      <c r="K478" s="261"/>
      <c r="M478" s="261"/>
      <c r="O478" s="261"/>
      <c r="P478" s="261"/>
      <c r="Q478" s="261"/>
      <c r="R478" s="261"/>
      <c r="S478" s="261"/>
      <c r="T478" s="261"/>
      <c r="V478" s="261"/>
      <c r="W478" s="262"/>
      <c r="Y478" s="263"/>
      <c r="Z478" s="261"/>
      <c r="AA478" s="262"/>
      <c r="AC478" s="263"/>
      <c r="AD478" s="261"/>
      <c r="AE478" s="262"/>
      <c r="AG478" s="263"/>
      <c r="AH478" s="261"/>
      <c r="AI478" s="262"/>
      <c r="AK478" s="263"/>
      <c r="AL478" s="261"/>
      <c r="AM478" s="262"/>
      <c r="AO478" s="263"/>
      <c r="AP478" s="261"/>
      <c r="AQ478" s="262"/>
      <c r="AS478" s="263"/>
      <c r="AT478" s="261"/>
      <c r="AU478" s="262"/>
      <c r="AW478" s="263"/>
      <c r="AX478" s="261"/>
      <c r="AY478" s="262"/>
      <c r="BA478" s="263"/>
      <c r="BB478" s="261"/>
      <c r="BC478" s="262"/>
      <c r="BE478" s="263"/>
      <c r="BF478" s="261"/>
      <c r="BG478" s="262"/>
      <c r="BI478" s="263"/>
      <c r="BJ478" s="261"/>
      <c r="BL478" s="261"/>
      <c r="BO478" s="261"/>
      <c r="BP478" s="261"/>
      <c r="BQ478" s="262"/>
      <c r="BS478" s="263"/>
      <c r="BT478" s="261"/>
      <c r="BU478" s="262"/>
      <c r="BW478" s="263"/>
      <c r="BX478" s="261"/>
      <c r="BY478" s="262"/>
      <c r="CA478" s="263"/>
      <c r="CB478" s="261"/>
      <c r="CC478" s="262"/>
      <c r="CE478" s="263"/>
      <c r="CF478" s="261"/>
      <c r="CG478" s="262"/>
      <c r="CI478" s="263"/>
      <c r="CJ478" s="261"/>
      <c r="CK478" s="262"/>
      <c r="CM478" s="263"/>
      <c r="CN478" s="261"/>
      <c r="CO478" s="262"/>
      <c r="CQ478" s="263"/>
      <c r="CR478" s="261"/>
      <c r="CS478" s="262"/>
      <c r="CU478" s="263"/>
      <c r="CV478" s="261"/>
      <c r="CW478" s="262"/>
      <c r="CY478" s="263"/>
      <c r="CZ478" s="261"/>
      <c r="DA478" s="262"/>
      <c r="DC478" s="263"/>
      <c r="DD478" s="261"/>
      <c r="DF478" s="261"/>
      <c r="DI478" s="262"/>
      <c r="DJ478" s="261"/>
      <c r="DK478" s="263"/>
      <c r="DL478" s="263"/>
      <c r="DN478" s="261"/>
      <c r="DP478" s="261"/>
      <c r="DR478" s="261"/>
      <c r="DT478" s="261"/>
      <c r="DV478" s="261"/>
      <c r="DX478" s="261"/>
      <c r="DZ478" s="261"/>
      <c r="EB478" s="261"/>
      <c r="ED478" s="261"/>
      <c r="EF478" s="261"/>
    </row>
    <row r="479" spans="1:136" s="260" customFormat="1" ht="15" customHeight="1">
      <c r="A479" s="122"/>
      <c r="B479" s="122"/>
      <c r="C479" s="259"/>
      <c r="F479" s="261"/>
      <c r="H479" s="261"/>
      <c r="I479" s="261"/>
      <c r="J479" s="261"/>
      <c r="K479" s="261"/>
      <c r="M479" s="261"/>
      <c r="O479" s="261"/>
      <c r="P479" s="261"/>
      <c r="Q479" s="261"/>
      <c r="R479" s="261"/>
      <c r="S479" s="261"/>
      <c r="T479" s="261"/>
      <c r="V479" s="261"/>
      <c r="W479" s="262"/>
      <c r="Y479" s="263"/>
      <c r="Z479" s="261"/>
      <c r="AA479" s="262"/>
      <c r="AC479" s="263"/>
      <c r="AD479" s="261"/>
      <c r="AE479" s="262"/>
      <c r="AG479" s="263"/>
      <c r="AH479" s="261"/>
      <c r="AI479" s="262"/>
      <c r="AK479" s="263"/>
      <c r="AL479" s="261"/>
      <c r="AM479" s="262"/>
      <c r="AO479" s="263"/>
      <c r="AP479" s="261"/>
      <c r="AQ479" s="262"/>
      <c r="AS479" s="263"/>
      <c r="AT479" s="261"/>
      <c r="AU479" s="262"/>
      <c r="AW479" s="263"/>
      <c r="AX479" s="261"/>
      <c r="AY479" s="262"/>
      <c r="BA479" s="263"/>
      <c r="BB479" s="261"/>
      <c r="BC479" s="262"/>
      <c r="BE479" s="263"/>
      <c r="BF479" s="261"/>
      <c r="BG479" s="262"/>
      <c r="BI479" s="263"/>
      <c r="BJ479" s="261"/>
      <c r="BL479" s="261"/>
      <c r="BO479" s="261"/>
      <c r="BP479" s="261"/>
      <c r="BQ479" s="262"/>
      <c r="BS479" s="263"/>
      <c r="BT479" s="261"/>
      <c r="BU479" s="262"/>
      <c r="BW479" s="263"/>
      <c r="BX479" s="261"/>
      <c r="BY479" s="262"/>
      <c r="CA479" s="263"/>
      <c r="CB479" s="261"/>
      <c r="CC479" s="262"/>
      <c r="CE479" s="263"/>
      <c r="CF479" s="261"/>
      <c r="CG479" s="262"/>
      <c r="CI479" s="263"/>
      <c r="CJ479" s="261"/>
      <c r="CK479" s="262"/>
      <c r="CM479" s="263"/>
      <c r="CN479" s="261"/>
      <c r="CO479" s="262"/>
      <c r="CQ479" s="263"/>
      <c r="CR479" s="261"/>
      <c r="CS479" s="262"/>
      <c r="CU479" s="263"/>
      <c r="CV479" s="261"/>
      <c r="CW479" s="262"/>
      <c r="CY479" s="263"/>
      <c r="CZ479" s="261"/>
      <c r="DA479" s="262"/>
      <c r="DC479" s="263"/>
      <c r="DD479" s="261"/>
      <c r="DF479" s="261"/>
      <c r="DI479" s="262"/>
      <c r="DJ479" s="261"/>
      <c r="DK479" s="263"/>
      <c r="DL479" s="263"/>
      <c r="DN479" s="261"/>
      <c r="DP479" s="261"/>
      <c r="DR479" s="261"/>
      <c r="DT479" s="261"/>
      <c r="DV479" s="261"/>
      <c r="DX479" s="261"/>
      <c r="DZ479" s="261"/>
      <c r="EB479" s="261"/>
      <c r="ED479" s="261"/>
      <c r="EF479" s="261"/>
    </row>
    <row r="480" spans="1:136" s="260" customFormat="1" ht="15" customHeight="1">
      <c r="A480" s="122"/>
      <c r="B480" s="122"/>
      <c r="C480" s="259"/>
      <c r="F480" s="261"/>
      <c r="H480" s="261"/>
      <c r="I480" s="261"/>
      <c r="J480" s="261"/>
      <c r="K480" s="261"/>
      <c r="M480" s="261"/>
      <c r="O480" s="261"/>
      <c r="P480" s="261"/>
      <c r="Q480" s="261"/>
      <c r="R480" s="261"/>
      <c r="S480" s="261"/>
      <c r="T480" s="261"/>
      <c r="V480" s="261"/>
      <c r="W480" s="262"/>
      <c r="Y480" s="263"/>
      <c r="Z480" s="261"/>
      <c r="AA480" s="262"/>
      <c r="AC480" s="263"/>
      <c r="AD480" s="261"/>
      <c r="AE480" s="262"/>
      <c r="AG480" s="263"/>
      <c r="AH480" s="261"/>
      <c r="AI480" s="262"/>
      <c r="AK480" s="263"/>
      <c r="AL480" s="261"/>
      <c r="AM480" s="262"/>
      <c r="AO480" s="263"/>
      <c r="AP480" s="261"/>
      <c r="AQ480" s="262"/>
      <c r="AS480" s="263"/>
      <c r="AT480" s="261"/>
      <c r="AU480" s="262"/>
      <c r="AW480" s="263"/>
      <c r="AX480" s="261"/>
      <c r="AY480" s="262"/>
      <c r="BA480" s="263"/>
      <c r="BB480" s="261"/>
      <c r="BC480" s="262"/>
      <c r="BE480" s="263"/>
      <c r="BF480" s="261"/>
      <c r="BG480" s="262"/>
      <c r="BI480" s="263"/>
      <c r="BJ480" s="261"/>
      <c r="BL480" s="261"/>
      <c r="BO480" s="261"/>
      <c r="BP480" s="261"/>
      <c r="BQ480" s="262"/>
      <c r="BS480" s="263"/>
      <c r="BT480" s="261"/>
      <c r="BU480" s="262"/>
      <c r="BW480" s="263"/>
      <c r="BX480" s="261"/>
      <c r="BY480" s="262"/>
      <c r="CA480" s="263"/>
      <c r="CB480" s="261"/>
      <c r="CC480" s="262"/>
      <c r="CE480" s="263"/>
      <c r="CF480" s="261"/>
      <c r="CG480" s="262"/>
      <c r="CI480" s="263"/>
      <c r="CJ480" s="261"/>
      <c r="CK480" s="262"/>
      <c r="CM480" s="263"/>
      <c r="CN480" s="261"/>
      <c r="CO480" s="262"/>
      <c r="CQ480" s="263"/>
      <c r="CR480" s="261"/>
      <c r="CS480" s="262"/>
      <c r="CU480" s="263"/>
      <c r="CV480" s="261"/>
      <c r="CW480" s="262"/>
      <c r="CY480" s="263"/>
      <c r="CZ480" s="261"/>
      <c r="DA480" s="262"/>
      <c r="DC480" s="263"/>
      <c r="DD480" s="261"/>
      <c r="DF480" s="261"/>
      <c r="DI480" s="262"/>
      <c r="DJ480" s="261"/>
      <c r="DK480" s="263"/>
      <c r="DL480" s="263"/>
      <c r="DN480" s="261"/>
      <c r="DP480" s="261"/>
      <c r="DR480" s="261"/>
      <c r="DT480" s="261"/>
      <c r="DV480" s="261"/>
      <c r="DX480" s="261"/>
      <c r="DZ480" s="261"/>
      <c r="EB480" s="261"/>
      <c r="ED480" s="261"/>
      <c r="EF480" s="261"/>
    </row>
    <row r="481" spans="1:136" s="260" customFormat="1" ht="15" customHeight="1">
      <c r="A481" s="122"/>
      <c r="B481" s="122"/>
      <c r="C481" s="259"/>
      <c r="F481" s="261"/>
      <c r="H481" s="261"/>
      <c r="I481" s="261"/>
      <c r="J481" s="261"/>
      <c r="K481" s="261"/>
      <c r="M481" s="261"/>
      <c r="O481" s="261"/>
      <c r="P481" s="261"/>
      <c r="Q481" s="261"/>
      <c r="R481" s="261"/>
      <c r="S481" s="261"/>
      <c r="T481" s="261"/>
      <c r="V481" s="261"/>
      <c r="W481" s="262"/>
      <c r="Y481" s="263"/>
      <c r="Z481" s="261"/>
      <c r="AA481" s="262"/>
      <c r="AC481" s="263"/>
      <c r="AD481" s="261"/>
      <c r="AE481" s="262"/>
      <c r="AG481" s="263"/>
      <c r="AH481" s="261"/>
      <c r="AI481" s="262"/>
      <c r="AK481" s="263"/>
      <c r="AL481" s="261"/>
      <c r="AM481" s="262"/>
      <c r="AO481" s="263"/>
      <c r="AP481" s="261"/>
      <c r="AQ481" s="262"/>
      <c r="AS481" s="263"/>
      <c r="AT481" s="261"/>
      <c r="AU481" s="262"/>
      <c r="AW481" s="263"/>
      <c r="AX481" s="261"/>
      <c r="AY481" s="262"/>
      <c r="BA481" s="263"/>
      <c r="BB481" s="261"/>
      <c r="BC481" s="262"/>
      <c r="BE481" s="263"/>
      <c r="BF481" s="261"/>
      <c r="BG481" s="262"/>
      <c r="BI481" s="263"/>
      <c r="BJ481" s="261"/>
      <c r="BL481" s="261"/>
      <c r="BO481" s="261"/>
      <c r="BP481" s="261"/>
      <c r="BQ481" s="262"/>
      <c r="BS481" s="263"/>
      <c r="BT481" s="261"/>
      <c r="BU481" s="262"/>
      <c r="BW481" s="263"/>
      <c r="BX481" s="261"/>
      <c r="BY481" s="262"/>
      <c r="CA481" s="263"/>
      <c r="CB481" s="261"/>
      <c r="CC481" s="262"/>
      <c r="CE481" s="263"/>
      <c r="CF481" s="261"/>
      <c r="CG481" s="262"/>
      <c r="CI481" s="263"/>
      <c r="CJ481" s="261"/>
      <c r="CK481" s="262"/>
      <c r="CM481" s="263"/>
      <c r="CN481" s="261"/>
      <c r="CO481" s="262"/>
      <c r="CQ481" s="263"/>
      <c r="CR481" s="261"/>
      <c r="CS481" s="262"/>
      <c r="CU481" s="263"/>
      <c r="CV481" s="261"/>
      <c r="CW481" s="262"/>
      <c r="CY481" s="263"/>
      <c r="CZ481" s="261"/>
      <c r="DA481" s="262"/>
      <c r="DC481" s="263"/>
      <c r="DD481" s="261"/>
      <c r="DF481" s="261"/>
      <c r="DI481" s="262"/>
      <c r="DJ481" s="261"/>
      <c r="DK481" s="263"/>
      <c r="DL481" s="263"/>
      <c r="DN481" s="261"/>
      <c r="DP481" s="261"/>
      <c r="DR481" s="261"/>
      <c r="DT481" s="261"/>
      <c r="DV481" s="261"/>
      <c r="DX481" s="261"/>
      <c r="DZ481" s="261"/>
      <c r="EB481" s="261"/>
      <c r="ED481" s="261"/>
      <c r="EF481" s="261"/>
    </row>
    <row r="482" spans="1:136" s="260" customFormat="1" ht="15" customHeight="1">
      <c r="A482" s="122"/>
      <c r="B482" s="122"/>
      <c r="C482" s="259"/>
      <c r="F482" s="261"/>
      <c r="H482" s="261"/>
      <c r="I482" s="261"/>
      <c r="J482" s="261"/>
      <c r="K482" s="261"/>
      <c r="M482" s="261"/>
      <c r="O482" s="261"/>
      <c r="P482" s="261"/>
      <c r="Q482" s="261"/>
      <c r="R482" s="261"/>
      <c r="S482" s="261"/>
      <c r="T482" s="261"/>
      <c r="V482" s="261"/>
      <c r="W482" s="262"/>
      <c r="Y482" s="263"/>
      <c r="Z482" s="261"/>
      <c r="AA482" s="262"/>
      <c r="AC482" s="263"/>
      <c r="AD482" s="261"/>
      <c r="AE482" s="262"/>
      <c r="AG482" s="263"/>
      <c r="AH482" s="261"/>
      <c r="AI482" s="262"/>
      <c r="AK482" s="263"/>
      <c r="AL482" s="261"/>
      <c r="AM482" s="262"/>
      <c r="AO482" s="263"/>
      <c r="AP482" s="261"/>
      <c r="AQ482" s="262"/>
      <c r="AS482" s="263"/>
      <c r="AT482" s="261"/>
      <c r="AU482" s="262"/>
      <c r="AW482" s="263"/>
      <c r="AX482" s="261"/>
      <c r="AY482" s="262"/>
      <c r="BA482" s="263"/>
      <c r="BB482" s="261"/>
      <c r="BC482" s="262"/>
      <c r="BE482" s="263"/>
      <c r="BF482" s="261"/>
      <c r="BG482" s="262"/>
      <c r="BI482" s="263"/>
      <c r="BJ482" s="261"/>
      <c r="BL482" s="261"/>
      <c r="BO482" s="261"/>
      <c r="BP482" s="261"/>
      <c r="BQ482" s="262"/>
      <c r="BS482" s="263"/>
      <c r="BT482" s="261"/>
      <c r="BU482" s="262"/>
      <c r="BW482" s="263"/>
      <c r="BX482" s="261"/>
      <c r="BY482" s="262"/>
      <c r="CA482" s="263"/>
      <c r="CB482" s="261"/>
      <c r="CC482" s="262"/>
      <c r="CE482" s="263"/>
      <c r="CF482" s="261"/>
      <c r="CG482" s="262"/>
      <c r="CI482" s="263"/>
      <c r="CJ482" s="261"/>
      <c r="CK482" s="262"/>
      <c r="CM482" s="263"/>
      <c r="CN482" s="261"/>
      <c r="CO482" s="262"/>
      <c r="CQ482" s="263"/>
      <c r="CR482" s="261"/>
      <c r="CS482" s="262"/>
      <c r="CU482" s="263"/>
      <c r="CV482" s="261"/>
      <c r="CW482" s="262"/>
      <c r="CY482" s="263"/>
      <c r="CZ482" s="261"/>
      <c r="DA482" s="262"/>
      <c r="DC482" s="263"/>
      <c r="DD482" s="261"/>
      <c r="DF482" s="261"/>
      <c r="DI482" s="262"/>
      <c r="DJ482" s="261"/>
      <c r="DK482" s="263"/>
      <c r="DL482" s="263"/>
      <c r="DN482" s="261"/>
      <c r="DP482" s="261"/>
      <c r="DR482" s="261"/>
      <c r="DT482" s="261"/>
      <c r="DV482" s="261"/>
      <c r="DX482" s="261"/>
      <c r="DZ482" s="261"/>
      <c r="EB482" s="261"/>
      <c r="ED482" s="261"/>
      <c r="EF482" s="261"/>
    </row>
    <row r="483" spans="1:136" s="260" customFormat="1" ht="15" customHeight="1">
      <c r="A483" s="122"/>
      <c r="B483" s="122"/>
      <c r="C483" s="259"/>
      <c r="F483" s="261"/>
      <c r="H483" s="261"/>
      <c r="I483" s="261"/>
      <c r="J483" s="261"/>
      <c r="K483" s="261"/>
      <c r="M483" s="261"/>
      <c r="O483" s="261"/>
      <c r="P483" s="261"/>
      <c r="Q483" s="261"/>
      <c r="R483" s="261"/>
      <c r="S483" s="261"/>
      <c r="T483" s="261"/>
      <c r="V483" s="261"/>
      <c r="W483" s="262"/>
      <c r="Y483" s="263"/>
      <c r="Z483" s="261"/>
      <c r="AA483" s="262"/>
      <c r="AC483" s="263"/>
      <c r="AD483" s="261"/>
      <c r="AE483" s="262"/>
      <c r="AG483" s="263"/>
      <c r="AH483" s="261"/>
      <c r="AI483" s="262"/>
      <c r="AK483" s="263"/>
      <c r="AL483" s="261"/>
      <c r="AM483" s="262"/>
      <c r="AO483" s="263"/>
      <c r="AP483" s="261"/>
      <c r="AQ483" s="262"/>
      <c r="AS483" s="263"/>
      <c r="AT483" s="261"/>
      <c r="AU483" s="262"/>
      <c r="AW483" s="263"/>
      <c r="AX483" s="261"/>
      <c r="AY483" s="262"/>
      <c r="BA483" s="263"/>
      <c r="BB483" s="261"/>
      <c r="BC483" s="262"/>
      <c r="BE483" s="263"/>
      <c r="BF483" s="261"/>
      <c r="BG483" s="262"/>
      <c r="BI483" s="263"/>
      <c r="BJ483" s="261"/>
      <c r="BL483" s="261"/>
      <c r="BO483" s="261"/>
      <c r="BP483" s="261"/>
      <c r="BQ483" s="262"/>
      <c r="BS483" s="263"/>
      <c r="BT483" s="261"/>
      <c r="BU483" s="262"/>
      <c r="BW483" s="263"/>
      <c r="BX483" s="261"/>
      <c r="BY483" s="262"/>
      <c r="CA483" s="263"/>
      <c r="CB483" s="261"/>
      <c r="CC483" s="262"/>
      <c r="CE483" s="263"/>
      <c r="CF483" s="261"/>
      <c r="CG483" s="262"/>
      <c r="CI483" s="263"/>
      <c r="CJ483" s="261"/>
      <c r="CK483" s="262"/>
      <c r="CM483" s="263"/>
      <c r="CN483" s="261"/>
      <c r="CO483" s="262"/>
      <c r="CQ483" s="263"/>
      <c r="CR483" s="261"/>
      <c r="CS483" s="262"/>
      <c r="CU483" s="263"/>
      <c r="CV483" s="261"/>
      <c r="CW483" s="262"/>
      <c r="CY483" s="263"/>
      <c r="CZ483" s="261"/>
      <c r="DA483" s="262"/>
      <c r="DC483" s="263"/>
      <c r="DD483" s="261"/>
      <c r="DF483" s="261"/>
      <c r="DI483" s="262"/>
      <c r="DJ483" s="261"/>
      <c r="DK483" s="263"/>
      <c r="DL483" s="263"/>
      <c r="DN483" s="261"/>
      <c r="DP483" s="261"/>
      <c r="DR483" s="261"/>
      <c r="DT483" s="261"/>
      <c r="DV483" s="261"/>
      <c r="DX483" s="261"/>
      <c r="DZ483" s="261"/>
      <c r="EB483" s="261"/>
      <c r="ED483" s="261"/>
      <c r="EF483" s="261"/>
    </row>
    <row r="484" spans="1:136" s="260" customFormat="1" ht="15" customHeight="1">
      <c r="A484" s="122"/>
      <c r="B484" s="122"/>
      <c r="C484" s="259"/>
      <c r="F484" s="261"/>
      <c r="H484" s="261"/>
      <c r="I484" s="261"/>
      <c r="J484" s="261"/>
      <c r="K484" s="261"/>
      <c r="M484" s="261"/>
      <c r="O484" s="261"/>
      <c r="P484" s="261"/>
      <c r="Q484" s="261"/>
      <c r="R484" s="261"/>
      <c r="S484" s="261"/>
      <c r="T484" s="261"/>
      <c r="V484" s="261"/>
      <c r="W484" s="262"/>
      <c r="Y484" s="263"/>
      <c r="Z484" s="261"/>
      <c r="AA484" s="262"/>
      <c r="AC484" s="263"/>
      <c r="AD484" s="261"/>
      <c r="AE484" s="262"/>
      <c r="AG484" s="263"/>
      <c r="AH484" s="261"/>
      <c r="AI484" s="262"/>
      <c r="AK484" s="263"/>
      <c r="AL484" s="261"/>
      <c r="AM484" s="262"/>
      <c r="AO484" s="263"/>
      <c r="AP484" s="261"/>
      <c r="AQ484" s="262"/>
      <c r="AS484" s="263"/>
      <c r="AT484" s="261"/>
      <c r="AU484" s="262"/>
      <c r="AW484" s="263"/>
      <c r="AX484" s="261"/>
      <c r="AY484" s="262"/>
      <c r="BA484" s="263"/>
      <c r="BB484" s="261"/>
      <c r="BC484" s="262"/>
      <c r="BE484" s="263"/>
      <c r="BF484" s="261"/>
      <c r="BG484" s="262"/>
      <c r="BI484" s="263"/>
      <c r="BJ484" s="261"/>
      <c r="BL484" s="261"/>
      <c r="BO484" s="261"/>
      <c r="BP484" s="261"/>
      <c r="BQ484" s="262"/>
      <c r="BS484" s="263"/>
      <c r="BT484" s="261"/>
      <c r="BU484" s="262"/>
      <c r="BW484" s="263"/>
      <c r="BX484" s="261"/>
      <c r="BY484" s="262"/>
      <c r="CA484" s="263"/>
      <c r="CB484" s="261"/>
      <c r="CC484" s="262"/>
      <c r="CE484" s="263"/>
      <c r="CF484" s="261"/>
      <c r="CG484" s="262"/>
      <c r="CI484" s="263"/>
      <c r="CJ484" s="261"/>
      <c r="CK484" s="262"/>
      <c r="CM484" s="263"/>
      <c r="CN484" s="261"/>
      <c r="CO484" s="262"/>
      <c r="CQ484" s="263"/>
      <c r="CR484" s="261"/>
      <c r="CS484" s="262"/>
      <c r="CU484" s="263"/>
      <c r="CV484" s="261"/>
      <c r="CW484" s="262"/>
      <c r="CY484" s="263"/>
      <c r="CZ484" s="261"/>
      <c r="DA484" s="262"/>
      <c r="DC484" s="263"/>
      <c r="DD484" s="261"/>
      <c r="DF484" s="261"/>
      <c r="DI484" s="262"/>
      <c r="DJ484" s="261"/>
      <c r="DK484" s="263"/>
      <c r="DL484" s="263"/>
      <c r="DN484" s="261"/>
      <c r="DP484" s="261"/>
      <c r="DR484" s="261"/>
      <c r="DT484" s="261"/>
      <c r="DV484" s="261"/>
      <c r="DX484" s="261"/>
      <c r="DZ484" s="261"/>
      <c r="EB484" s="261"/>
      <c r="ED484" s="261"/>
      <c r="EF484" s="261"/>
    </row>
    <row r="485" spans="1:136" s="260" customFormat="1" ht="15" customHeight="1">
      <c r="A485" s="122"/>
      <c r="B485" s="122"/>
      <c r="C485" s="259"/>
      <c r="F485" s="261"/>
      <c r="H485" s="261"/>
      <c r="I485" s="261"/>
      <c r="J485" s="261"/>
      <c r="K485" s="261"/>
      <c r="M485" s="261"/>
      <c r="O485" s="261"/>
      <c r="P485" s="261"/>
      <c r="Q485" s="261"/>
      <c r="R485" s="261"/>
      <c r="S485" s="261"/>
      <c r="T485" s="261"/>
      <c r="V485" s="261"/>
      <c r="W485" s="262"/>
      <c r="Y485" s="263"/>
      <c r="Z485" s="261"/>
      <c r="AA485" s="262"/>
      <c r="AC485" s="263"/>
      <c r="AD485" s="261"/>
      <c r="AE485" s="262"/>
      <c r="AG485" s="263"/>
      <c r="AH485" s="261"/>
      <c r="AI485" s="262"/>
      <c r="AK485" s="263"/>
      <c r="AL485" s="261"/>
      <c r="AM485" s="262"/>
      <c r="AO485" s="263"/>
      <c r="AP485" s="261"/>
      <c r="AQ485" s="262"/>
      <c r="AS485" s="263"/>
      <c r="AT485" s="261"/>
      <c r="AU485" s="262"/>
      <c r="AW485" s="263"/>
      <c r="AX485" s="261"/>
      <c r="AY485" s="262"/>
      <c r="BA485" s="263"/>
      <c r="BB485" s="261"/>
      <c r="BC485" s="262"/>
      <c r="BE485" s="263"/>
      <c r="BF485" s="261"/>
      <c r="BG485" s="262"/>
      <c r="BI485" s="263"/>
      <c r="BJ485" s="261"/>
      <c r="BL485" s="261"/>
      <c r="BO485" s="261"/>
      <c r="BP485" s="261"/>
      <c r="BQ485" s="262"/>
      <c r="BS485" s="263"/>
      <c r="BT485" s="261"/>
      <c r="BU485" s="262"/>
      <c r="BW485" s="263"/>
      <c r="BX485" s="261"/>
      <c r="BY485" s="262"/>
      <c r="CA485" s="263"/>
      <c r="CB485" s="261"/>
      <c r="CC485" s="262"/>
      <c r="CE485" s="263"/>
      <c r="CF485" s="261"/>
      <c r="CG485" s="262"/>
      <c r="CI485" s="263"/>
      <c r="CJ485" s="261"/>
      <c r="CK485" s="262"/>
      <c r="CM485" s="263"/>
      <c r="CN485" s="261"/>
      <c r="CO485" s="262"/>
      <c r="CQ485" s="263"/>
      <c r="CR485" s="261"/>
      <c r="CS485" s="262"/>
      <c r="CU485" s="263"/>
      <c r="CV485" s="261"/>
      <c r="CW485" s="262"/>
      <c r="CY485" s="263"/>
      <c r="CZ485" s="261"/>
      <c r="DA485" s="262"/>
      <c r="DC485" s="263"/>
      <c r="DD485" s="261"/>
      <c r="DF485" s="261"/>
      <c r="DI485" s="262"/>
      <c r="DJ485" s="261"/>
      <c r="DK485" s="263"/>
      <c r="DL485" s="263"/>
      <c r="DN485" s="261"/>
      <c r="DP485" s="261"/>
      <c r="DR485" s="261"/>
      <c r="DT485" s="261"/>
      <c r="DV485" s="261"/>
      <c r="DX485" s="261"/>
      <c r="DZ485" s="261"/>
      <c r="EB485" s="261"/>
      <c r="ED485" s="261"/>
      <c r="EF485" s="261"/>
    </row>
    <row r="486" spans="1:136" s="260" customFormat="1" ht="15" customHeight="1">
      <c r="A486" s="122"/>
      <c r="B486" s="122"/>
      <c r="C486" s="259"/>
      <c r="F486" s="261"/>
      <c r="H486" s="261"/>
      <c r="I486" s="261"/>
      <c r="J486" s="261"/>
      <c r="K486" s="261"/>
      <c r="M486" s="261"/>
      <c r="O486" s="261"/>
      <c r="P486" s="261"/>
      <c r="Q486" s="261"/>
      <c r="R486" s="261"/>
      <c r="S486" s="261"/>
      <c r="T486" s="261"/>
      <c r="V486" s="261"/>
      <c r="W486" s="262"/>
      <c r="Y486" s="263"/>
      <c r="Z486" s="261"/>
      <c r="AA486" s="262"/>
      <c r="AC486" s="263"/>
      <c r="AD486" s="261"/>
      <c r="AE486" s="262"/>
      <c r="AG486" s="263"/>
      <c r="AH486" s="261"/>
      <c r="AI486" s="262"/>
      <c r="AK486" s="263"/>
      <c r="AL486" s="261"/>
      <c r="AM486" s="262"/>
      <c r="AO486" s="263"/>
      <c r="AP486" s="261"/>
      <c r="AQ486" s="262"/>
      <c r="AS486" s="263"/>
      <c r="AT486" s="261"/>
      <c r="AU486" s="262"/>
      <c r="AW486" s="263"/>
      <c r="AX486" s="261"/>
      <c r="AY486" s="262"/>
      <c r="BA486" s="263"/>
      <c r="BB486" s="261"/>
      <c r="BC486" s="262"/>
      <c r="BE486" s="263"/>
      <c r="BF486" s="261"/>
      <c r="BG486" s="262"/>
      <c r="BI486" s="263"/>
      <c r="BJ486" s="261"/>
      <c r="BL486" s="261"/>
      <c r="BO486" s="261"/>
      <c r="BP486" s="261"/>
      <c r="BQ486" s="262"/>
      <c r="BS486" s="263"/>
      <c r="BT486" s="261"/>
      <c r="BU486" s="262"/>
      <c r="BW486" s="263"/>
      <c r="BX486" s="261"/>
      <c r="BY486" s="262"/>
      <c r="CA486" s="263"/>
      <c r="CB486" s="261"/>
      <c r="CC486" s="262"/>
      <c r="CE486" s="263"/>
      <c r="CF486" s="261"/>
      <c r="CG486" s="262"/>
      <c r="CI486" s="263"/>
      <c r="CJ486" s="261"/>
      <c r="CK486" s="262"/>
      <c r="CM486" s="263"/>
      <c r="CN486" s="261"/>
      <c r="CO486" s="262"/>
      <c r="CQ486" s="263"/>
      <c r="CR486" s="261"/>
      <c r="CS486" s="262"/>
      <c r="CU486" s="263"/>
      <c r="CV486" s="261"/>
      <c r="CW486" s="262"/>
      <c r="CY486" s="263"/>
      <c r="CZ486" s="261"/>
      <c r="DA486" s="262"/>
      <c r="DC486" s="263"/>
      <c r="DD486" s="261"/>
      <c r="DF486" s="261"/>
      <c r="DI486" s="262"/>
      <c r="DJ486" s="261"/>
      <c r="DK486" s="263"/>
      <c r="DL486" s="263"/>
      <c r="DN486" s="261"/>
      <c r="DP486" s="261"/>
      <c r="DR486" s="261"/>
      <c r="DT486" s="261"/>
      <c r="DV486" s="261"/>
      <c r="DX486" s="261"/>
      <c r="DZ486" s="261"/>
      <c r="EB486" s="261"/>
      <c r="ED486" s="261"/>
      <c r="EF486" s="261"/>
    </row>
    <row r="487" spans="1:136" s="260" customFormat="1" ht="15" customHeight="1">
      <c r="A487" s="122"/>
      <c r="B487" s="122"/>
      <c r="C487" s="259"/>
      <c r="F487" s="261"/>
      <c r="H487" s="261"/>
      <c r="I487" s="261"/>
      <c r="J487" s="261"/>
      <c r="K487" s="261"/>
      <c r="M487" s="261"/>
      <c r="O487" s="261"/>
      <c r="P487" s="261"/>
      <c r="Q487" s="261"/>
      <c r="R487" s="261"/>
      <c r="S487" s="261"/>
      <c r="T487" s="261"/>
      <c r="V487" s="261"/>
      <c r="W487" s="262"/>
      <c r="Y487" s="263"/>
      <c r="Z487" s="261"/>
      <c r="AA487" s="262"/>
      <c r="AC487" s="263"/>
      <c r="AD487" s="261"/>
      <c r="AE487" s="262"/>
      <c r="AG487" s="263"/>
      <c r="AH487" s="261"/>
      <c r="AI487" s="262"/>
      <c r="AK487" s="263"/>
      <c r="AL487" s="261"/>
      <c r="AM487" s="262"/>
      <c r="AO487" s="263"/>
      <c r="AP487" s="261"/>
      <c r="AQ487" s="262"/>
      <c r="AS487" s="263"/>
      <c r="AT487" s="261"/>
      <c r="AU487" s="262"/>
      <c r="AW487" s="263"/>
      <c r="AX487" s="261"/>
      <c r="AY487" s="262"/>
      <c r="BA487" s="263"/>
      <c r="BB487" s="261"/>
      <c r="BC487" s="262"/>
      <c r="BE487" s="263"/>
      <c r="BF487" s="261"/>
      <c r="BG487" s="262"/>
      <c r="BI487" s="263"/>
      <c r="BJ487" s="261"/>
      <c r="BL487" s="261"/>
      <c r="BO487" s="261"/>
      <c r="BP487" s="261"/>
      <c r="BQ487" s="262"/>
      <c r="BS487" s="263"/>
      <c r="BT487" s="261"/>
      <c r="BU487" s="262"/>
      <c r="BW487" s="263"/>
      <c r="BX487" s="261"/>
      <c r="BY487" s="262"/>
      <c r="CA487" s="263"/>
      <c r="CB487" s="261"/>
      <c r="CC487" s="262"/>
      <c r="CE487" s="263"/>
      <c r="CF487" s="261"/>
      <c r="CG487" s="262"/>
      <c r="CI487" s="263"/>
      <c r="CJ487" s="261"/>
      <c r="CK487" s="262"/>
      <c r="CM487" s="263"/>
      <c r="CN487" s="261"/>
      <c r="CO487" s="262"/>
      <c r="CQ487" s="263"/>
      <c r="CR487" s="261"/>
      <c r="CS487" s="262"/>
      <c r="CU487" s="263"/>
      <c r="CV487" s="261"/>
      <c r="CW487" s="262"/>
      <c r="CY487" s="263"/>
      <c r="CZ487" s="261"/>
      <c r="DA487" s="262"/>
      <c r="DC487" s="263"/>
      <c r="DD487" s="261"/>
      <c r="DF487" s="261"/>
      <c r="DI487" s="262"/>
      <c r="DJ487" s="261"/>
      <c r="DK487" s="263"/>
      <c r="DL487" s="263"/>
      <c r="DN487" s="261"/>
      <c r="DP487" s="261"/>
      <c r="DR487" s="261"/>
      <c r="DT487" s="261"/>
      <c r="DV487" s="261"/>
      <c r="DX487" s="261"/>
      <c r="DZ487" s="261"/>
      <c r="EB487" s="261"/>
      <c r="ED487" s="261"/>
      <c r="EF487" s="261"/>
    </row>
    <row r="488" spans="1:136" s="260" customFormat="1" ht="15" customHeight="1">
      <c r="A488" s="122"/>
      <c r="B488" s="122"/>
      <c r="C488" s="259"/>
      <c r="F488" s="261"/>
      <c r="H488" s="261"/>
      <c r="I488" s="261"/>
      <c r="J488" s="261"/>
      <c r="K488" s="261"/>
      <c r="M488" s="261"/>
      <c r="O488" s="261"/>
      <c r="P488" s="261"/>
      <c r="Q488" s="261"/>
      <c r="R488" s="261"/>
      <c r="S488" s="261"/>
      <c r="T488" s="261"/>
      <c r="V488" s="261"/>
      <c r="W488" s="262"/>
      <c r="Y488" s="263"/>
      <c r="Z488" s="261"/>
      <c r="AA488" s="262"/>
      <c r="AC488" s="263"/>
      <c r="AD488" s="261"/>
      <c r="AE488" s="262"/>
      <c r="AG488" s="263"/>
      <c r="AH488" s="261"/>
      <c r="AI488" s="262"/>
      <c r="AK488" s="263"/>
      <c r="AL488" s="261"/>
      <c r="AM488" s="262"/>
      <c r="AO488" s="263"/>
      <c r="AP488" s="261"/>
      <c r="AQ488" s="262"/>
      <c r="AS488" s="263"/>
      <c r="AT488" s="261"/>
      <c r="AU488" s="262"/>
      <c r="AW488" s="263"/>
      <c r="AX488" s="261"/>
      <c r="AY488" s="262"/>
      <c r="BA488" s="263"/>
      <c r="BB488" s="261"/>
      <c r="BC488" s="262"/>
      <c r="BE488" s="263"/>
      <c r="BF488" s="261"/>
      <c r="BG488" s="262"/>
      <c r="BI488" s="263"/>
      <c r="BJ488" s="261"/>
      <c r="BL488" s="261"/>
      <c r="BO488" s="261"/>
      <c r="BP488" s="261"/>
      <c r="BQ488" s="262"/>
      <c r="BS488" s="263"/>
      <c r="BT488" s="261"/>
      <c r="BU488" s="262"/>
      <c r="BW488" s="263"/>
      <c r="BX488" s="261"/>
      <c r="BY488" s="262"/>
      <c r="CA488" s="263"/>
      <c r="CB488" s="261"/>
      <c r="CC488" s="262"/>
      <c r="CE488" s="263"/>
      <c r="CF488" s="261"/>
      <c r="CG488" s="262"/>
      <c r="CI488" s="263"/>
      <c r="CJ488" s="261"/>
      <c r="CK488" s="262"/>
      <c r="CM488" s="263"/>
      <c r="CN488" s="261"/>
      <c r="CO488" s="262"/>
      <c r="CQ488" s="263"/>
      <c r="CR488" s="261"/>
      <c r="CS488" s="262"/>
      <c r="CU488" s="263"/>
      <c r="CV488" s="261"/>
      <c r="CW488" s="262"/>
      <c r="CY488" s="263"/>
      <c r="CZ488" s="261"/>
      <c r="DA488" s="262"/>
      <c r="DC488" s="263"/>
      <c r="DD488" s="261"/>
      <c r="DF488" s="261"/>
      <c r="DI488" s="262"/>
      <c r="DJ488" s="261"/>
      <c r="DK488" s="263"/>
      <c r="DL488" s="263"/>
      <c r="DN488" s="261"/>
      <c r="DP488" s="261"/>
      <c r="DR488" s="261"/>
      <c r="DT488" s="261"/>
      <c r="DV488" s="261"/>
      <c r="DX488" s="261"/>
      <c r="DZ488" s="261"/>
      <c r="EB488" s="261"/>
      <c r="ED488" s="261"/>
      <c r="EF488" s="261"/>
    </row>
    <row r="489" spans="1:136" s="260" customFormat="1" ht="15" customHeight="1">
      <c r="A489" s="122"/>
      <c r="B489" s="122"/>
      <c r="C489" s="259"/>
      <c r="F489" s="261"/>
      <c r="H489" s="261"/>
      <c r="I489" s="261"/>
      <c r="J489" s="261"/>
      <c r="K489" s="261"/>
      <c r="M489" s="261"/>
      <c r="O489" s="261"/>
      <c r="P489" s="261"/>
      <c r="Q489" s="261"/>
      <c r="R489" s="261"/>
      <c r="S489" s="261"/>
      <c r="T489" s="261"/>
      <c r="V489" s="261"/>
      <c r="W489" s="262"/>
      <c r="Y489" s="263"/>
      <c r="Z489" s="261"/>
      <c r="AA489" s="262"/>
      <c r="AC489" s="263"/>
      <c r="AD489" s="261"/>
      <c r="AE489" s="262"/>
      <c r="AG489" s="263"/>
      <c r="AH489" s="261"/>
      <c r="AI489" s="262"/>
      <c r="AK489" s="263"/>
      <c r="AL489" s="261"/>
      <c r="AM489" s="262"/>
      <c r="AO489" s="263"/>
      <c r="AP489" s="261"/>
      <c r="AQ489" s="262"/>
      <c r="AS489" s="263"/>
      <c r="AT489" s="261"/>
      <c r="AU489" s="262"/>
      <c r="AW489" s="263"/>
      <c r="AX489" s="261"/>
      <c r="AY489" s="262"/>
      <c r="BA489" s="263"/>
      <c r="BB489" s="261"/>
      <c r="BC489" s="262"/>
      <c r="BE489" s="263"/>
      <c r="BF489" s="261"/>
      <c r="BG489" s="262"/>
      <c r="BI489" s="263"/>
      <c r="BJ489" s="261"/>
      <c r="BL489" s="261"/>
      <c r="BO489" s="261"/>
      <c r="BP489" s="261"/>
      <c r="BQ489" s="262"/>
      <c r="BS489" s="263"/>
      <c r="BT489" s="261"/>
      <c r="BU489" s="262"/>
      <c r="BW489" s="263"/>
      <c r="BX489" s="261"/>
      <c r="BY489" s="262"/>
      <c r="CA489" s="263"/>
      <c r="CB489" s="261"/>
      <c r="CC489" s="262"/>
      <c r="CE489" s="263"/>
      <c r="CF489" s="261"/>
      <c r="CG489" s="262"/>
      <c r="CI489" s="263"/>
      <c r="CJ489" s="261"/>
      <c r="CK489" s="262"/>
      <c r="CM489" s="263"/>
      <c r="CN489" s="261"/>
      <c r="CO489" s="262"/>
      <c r="CQ489" s="263"/>
      <c r="CR489" s="261"/>
      <c r="CS489" s="262"/>
      <c r="CU489" s="263"/>
      <c r="CV489" s="261"/>
      <c r="CW489" s="262"/>
      <c r="CY489" s="263"/>
      <c r="CZ489" s="261"/>
      <c r="DA489" s="262"/>
      <c r="DC489" s="263"/>
      <c r="DD489" s="261"/>
      <c r="DF489" s="261"/>
      <c r="DI489" s="262"/>
      <c r="DJ489" s="261"/>
      <c r="DK489" s="263"/>
      <c r="DL489" s="263"/>
      <c r="DN489" s="261"/>
      <c r="DP489" s="261"/>
      <c r="DR489" s="261"/>
      <c r="DT489" s="261"/>
      <c r="DV489" s="261"/>
      <c r="DX489" s="261"/>
      <c r="DZ489" s="261"/>
      <c r="EB489" s="261"/>
      <c r="ED489" s="261"/>
      <c r="EF489" s="261"/>
    </row>
    <row r="490" spans="1:136" s="260" customFormat="1" ht="15" customHeight="1">
      <c r="A490" s="122"/>
      <c r="B490" s="122"/>
      <c r="C490" s="259"/>
      <c r="F490" s="261"/>
      <c r="H490" s="261"/>
      <c r="I490" s="261"/>
      <c r="J490" s="261"/>
      <c r="K490" s="261"/>
      <c r="M490" s="261"/>
      <c r="O490" s="261"/>
      <c r="P490" s="261"/>
      <c r="Q490" s="261"/>
      <c r="R490" s="261"/>
      <c r="S490" s="261"/>
      <c r="T490" s="261"/>
      <c r="V490" s="261"/>
      <c r="W490" s="262"/>
      <c r="Y490" s="263"/>
      <c r="Z490" s="261"/>
      <c r="AA490" s="262"/>
      <c r="AC490" s="263"/>
      <c r="AD490" s="261"/>
      <c r="AE490" s="262"/>
      <c r="AG490" s="263"/>
      <c r="AH490" s="261"/>
      <c r="AI490" s="262"/>
      <c r="AK490" s="263"/>
      <c r="AL490" s="261"/>
      <c r="AM490" s="262"/>
      <c r="AO490" s="263"/>
      <c r="AP490" s="261"/>
      <c r="AQ490" s="262"/>
      <c r="AS490" s="263"/>
      <c r="AT490" s="261"/>
      <c r="AU490" s="262"/>
      <c r="AW490" s="263"/>
      <c r="AX490" s="261"/>
      <c r="AY490" s="262"/>
      <c r="BA490" s="263"/>
      <c r="BB490" s="261"/>
      <c r="BC490" s="262"/>
      <c r="BE490" s="263"/>
      <c r="BF490" s="261"/>
      <c r="BG490" s="262"/>
      <c r="BI490" s="263"/>
      <c r="BJ490" s="261"/>
      <c r="BL490" s="261"/>
      <c r="BO490" s="261"/>
      <c r="BP490" s="261"/>
      <c r="BQ490" s="262"/>
      <c r="BS490" s="263"/>
      <c r="BT490" s="261"/>
      <c r="BU490" s="262"/>
      <c r="BW490" s="263"/>
      <c r="BX490" s="261"/>
      <c r="BY490" s="262"/>
      <c r="CA490" s="263"/>
      <c r="CB490" s="261"/>
      <c r="CC490" s="262"/>
      <c r="CE490" s="263"/>
      <c r="CF490" s="261"/>
      <c r="CG490" s="262"/>
      <c r="CI490" s="263"/>
      <c r="CJ490" s="261"/>
      <c r="CK490" s="262"/>
      <c r="CM490" s="263"/>
      <c r="CN490" s="261"/>
      <c r="CO490" s="262"/>
      <c r="CQ490" s="263"/>
      <c r="CR490" s="261"/>
      <c r="CS490" s="262"/>
      <c r="CU490" s="263"/>
      <c r="CV490" s="261"/>
      <c r="CW490" s="262"/>
      <c r="CY490" s="263"/>
      <c r="CZ490" s="261"/>
      <c r="DA490" s="262"/>
      <c r="DC490" s="263"/>
      <c r="DD490" s="261"/>
      <c r="DF490" s="261"/>
      <c r="DI490" s="262"/>
      <c r="DJ490" s="261"/>
      <c r="DK490" s="263"/>
      <c r="DL490" s="263"/>
      <c r="DN490" s="261"/>
      <c r="DP490" s="261"/>
      <c r="DR490" s="261"/>
      <c r="DT490" s="261"/>
      <c r="DV490" s="261"/>
      <c r="DX490" s="261"/>
      <c r="DZ490" s="261"/>
      <c r="EB490" s="261"/>
      <c r="ED490" s="261"/>
      <c r="EF490" s="261"/>
    </row>
    <row r="491" spans="1:136" s="260" customFormat="1" ht="15" customHeight="1">
      <c r="A491" s="122"/>
      <c r="B491" s="122"/>
      <c r="C491" s="259"/>
      <c r="F491" s="261"/>
      <c r="H491" s="261"/>
      <c r="I491" s="261"/>
      <c r="J491" s="261"/>
      <c r="K491" s="261"/>
      <c r="M491" s="261"/>
      <c r="O491" s="261"/>
      <c r="P491" s="261"/>
      <c r="Q491" s="261"/>
      <c r="R491" s="261"/>
      <c r="S491" s="261"/>
      <c r="T491" s="261"/>
      <c r="V491" s="261"/>
      <c r="W491" s="262"/>
      <c r="Y491" s="263"/>
      <c r="Z491" s="261"/>
      <c r="AA491" s="262"/>
      <c r="AC491" s="263"/>
      <c r="AD491" s="261"/>
      <c r="AE491" s="262"/>
      <c r="AG491" s="263"/>
      <c r="AH491" s="261"/>
      <c r="AI491" s="262"/>
      <c r="AK491" s="263"/>
      <c r="AL491" s="261"/>
      <c r="AM491" s="262"/>
      <c r="AO491" s="263"/>
      <c r="AP491" s="261"/>
      <c r="AQ491" s="262"/>
      <c r="AS491" s="263"/>
      <c r="AT491" s="261"/>
      <c r="AU491" s="262"/>
      <c r="AW491" s="263"/>
      <c r="AX491" s="261"/>
      <c r="AY491" s="262"/>
      <c r="BA491" s="263"/>
      <c r="BB491" s="261"/>
      <c r="BC491" s="262"/>
      <c r="BE491" s="263"/>
      <c r="BF491" s="261"/>
      <c r="BG491" s="262"/>
      <c r="BI491" s="263"/>
      <c r="BJ491" s="261"/>
      <c r="BL491" s="261"/>
      <c r="BO491" s="261"/>
      <c r="BP491" s="261"/>
      <c r="BQ491" s="262"/>
      <c r="BS491" s="263"/>
      <c r="BT491" s="261"/>
      <c r="BU491" s="262"/>
      <c r="BW491" s="263"/>
      <c r="BX491" s="261"/>
      <c r="BY491" s="262"/>
      <c r="CA491" s="263"/>
      <c r="CB491" s="261"/>
      <c r="CC491" s="262"/>
      <c r="CE491" s="263"/>
      <c r="CF491" s="261"/>
      <c r="CG491" s="262"/>
      <c r="CI491" s="263"/>
      <c r="CJ491" s="261"/>
      <c r="CK491" s="262"/>
      <c r="CM491" s="263"/>
      <c r="CN491" s="261"/>
      <c r="CO491" s="262"/>
      <c r="CQ491" s="263"/>
      <c r="CR491" s="261"/>
      <c r="CS491" s="262"/>
      <c r="CU491" s="263"/>
      <c r="CV491" s="261"/>
      <c r="CW491" s="262"/>
      <c r="CY491" s="263"/>
      <c r="CZ491" s="261"/>
      <c r="DA491" s="262"/>
      <c r="DC491" s="263"/>
      <c r="DD491" s="261"/>
      <c r="DF491" s="261"/>
      <c r="DI491" s="262"/>
      <c r="DJ491" s="261"/>
      <c r="DK491" s="263"/>
      <c r="DL491" s="263"/>
      <c r="DN491" s="261"/>
      <c r="DP491" s="261"/>
      <c r="DR491" s="261"/>
      <c r="DT491" s="261"/>
      <c r="DV491" s="261"/>
      <c r="DX491" s="261"/>
      <c r="DZ491" s="261"/>
      <c r="EB491" s="261"/>
      <c r="ED491" s="261"/>
      <c r="EF491" s="261"/>
    </row>
    <row r="492" spans="1:136" s="260" customFormat="1" ht="15" customHeight="1">
      <c r="A492" s="122"/>
      <c r="B492" s="122"/>
      <c r="C492" s="259"/>
      <c r="F492" s="261"/>
      <c r="H492" s="261"/>
      <c r="I492" s="261"/>
      <c r="J492" s="261"/>
      <c r="K492" s="261"/>
      <c r="M492" s="261"/>
      <c r="O492" s="261"/>
      <c r="P492" s="261"/>
      <c r="Q492" s="261"/>
      <c r="R492" s="261"/>
      <c r="S492" s="261"/>
      <c r="T492" s="261"/>
      <c r="V492" s="261"/>
      <c r="W492" s="262"/>
      <c r="Y492" s="263"/>
      <c r="Z492" s="261"/>
      <c r="AA492" s="262"/>
      <c r="AC492" s="263"/>
      <c r="AD492" s="261"/>
      <c r="AE492" s="262"/>
      <c r="AG492" s="263"/>
      <c r="AH492" s="261"/>
      <c r="AI492" s="262"/>
      <c r="AK492" s="263"/>
      <c r="AL492" s="261"/>
      <c r="AM492" s="262"/>
      <c r="AO492" s="263"/>
      <c r="AP492" s="261"/>
      <c r="AQ492" s="262"/>
      <c r="AS492" s="263"/>
      <c r="AT492" s="261"/>
      <c r="AU492" s="262"/>
      <c r="AW492" s="263"/>
      <c r="AX492" s="261"/>
      <c r="AY492" s="262"/>
      <c r="BA492" s="263"/>
      <c r="BB492" s="261"/>
      <c r="BC492" s="262"/>
      <c r="BE492" s="263"/>
      <c r="BF492" s="261"/>
      <c r="BG492" s="262"/>
      <c r="BI492" s="263"/>
      <c r="BJ492" s="261"/>
      <c r="BL492" s="261"/>
      <c r="BO492" s="261"/>
      <c r="BP492" s="261"/>
      <c r="BQ492" s="262"/>
      <c r="BS492" s="263"/>
      <c r="BT492" s="261"/>
      <c r="BU492" s="262"/>
      <c r="BW492" s="263"/>
      <c r="BX492" s="261"/>
      <c r="BY492" s="262"/>
      <c r="CA492" s="263"/>
      <c r="CB492" s="261"/>
      <c r="CC492" s="262"/>
      <c r="CE492" s="263"/>
      <c r="CF492" s="261"/>
      <c r="CG492" s="262"/>
      <c r="CI492" s="263"/>
      <c r="CJ492" s="261"/>
      <c r="CK492" s="262"/>
      <c r="CM492" s="263"/>
      <c r="CN492" s="261"/>
      <c r="CO492" s="262"/>
      <c r="CQ492" s="263"/>
      <c r="CR492" s="261"/>
      <c r="CS492" s="262"/>
      <c r="CU492" s="263"/>
      <c r="CV492" s="261"/>
      <c r="CW492" s="262"/>
      <c r="CY492" s="263"/>
      <c r="CZ492" s="261"/>
      <c r="DA492" s="262"/>
      <c r="DC492" s="263"/>
      <c r="DD492" s="261"/>
      <c r="DF492" s="261"/>
      <c r="DI492" s="262"/>
      <c r="DJ492" s="261"/>
      <c r="DK492" s="263"/>
      <c r="DL492" s="263"/>
      <c r="DN492" s="261"/>
      <c r="DP492" s="261"/>
      <c r="DR492" s="261"/>
      <c r="DT492" s="261"/>
      <c r="DV492" s="261"/>
      <c r="DX492" s="261"/>
      <c r="DZ492" s="261"/>
      <c r="EB492" s="261"/>
      <c r="ED492" s="261"/>
      <c r="EF492" s="261"/>
    </row>
    <row r="493" spans="1:136" s="260" customFormat="1" ht="15" customHeight="1">
      <c r="A493" s="122"/>
      <c r="B493" s="122"/>
      <c r="C493" s="259"/>
      <c r="F493" s="261"/>
      <c r="H493" s="261"/>
      <c r="I493" s="261"/>
      <c r="J493" s="261"/>
      <c r="K493" s="261"/>
      <c r="M493" s="261"/>
      <c r="O493" s="261"/>
      <c r="P493" s="261"/>
      <c r="Q493" s="261"/>
      <c r="R493" s="261"/>
      <c r="S493" s="261"/>
      <c r="T493" s="261"/>
      <c r="V493" s="261"/>
      <c r="W493" s="262"/>
      <c r="Y493" s="263"/>
      <c r="Z493" s="261"/>
      <c r="AA493" s="262"/>
      <c r="AC493" s="263"/>
      <c r="AD493" s="261"/>
      <c r="AE493" s="262"/>
      <c r="AG493" s="263"/>
      <c r="AH493" s="261"/>
      <c r="AI493" s="262"/>
      <c r="AK493" s="263"/>
      <c r="AL493" s="261"/>
      <c r="AM493" s="262"/>
      <c r="AO493" s="263"/>
      <c r="AP493" s="261"/>
      <c r="AQ493" s="262"/>
      <c r="AS493" s="263"/>
      <c r="AT493" s="261"/>
      <c r="AU493" s="262"/>
      <c r="AW493" s="263"/>
      <c r="AX493" s="261"/>
      <c r="AY493" s="262"/>
      <c r="BA493" s="263"/>
      <c r="BB493" s="261"/>
      <c r="BC493" s="262"/>
      <c r="BE493" s="263"/>
      <c r="BF493" s="261"/>
      <c r="BG493" s="262"/>
      <c r="BI493" s="263"/>
      <c r="BJ493" s="261"/>
      <c r="BL493" s="261"/>
      <c r="BO493" s="261"/>
      <c r="BP493" s="261"/>
      <c r="BQ493" s="262"/>
      <c r="BS493" s="263"/>
      <c r="BT493" s="261"/>
      <c r="BU493" s="262"/>
      <c r="BW493" s="263"/>
      <c r="BX493" s="261"/>
      <c r="BY493" s="262"/>
      <c r="CA493" s="263"/>
      <c r="CB493" s="261"/>
      <c r="CC493" s="262"/>
      <c r="CE493" s="263"/>
      <c r="CF493" s="261"/>
      <c r="CG493" s="262"/>
      <c r="CI493" s="263"/>
      <c r="CJ493" s="261"/>
      <c r="CK493" s="262"/>
      <c r="CM493" s="263"/>
      <c r="CN493" s="261"/>
      <c r="CO493" s="262"/>
      <c r="CQ493" s="263"/>
      <c r="CR493" s="261"/>
      <c r="CS493" s="262"/>
      <c r="CU493" s="263"/>
      <c r="CV493" s="261"/>
      <c r="CW493" s="262"/>
      <c r="CY493" s="263"/>
      <c r="CZ493" s="261"/>
      <c r="DA493" s="262"/>
      <c r="DC493" s="263"/>
      <c r="DD493" s="261"/>
      <c r="DF493" s="261"/>
      <c r="DI493" s="262"/>
      <c r="DJ493" s="261"/>
      <c r="DK493" s="263"/>
      <c r="DL493" s="263"/>
      <c r="DN493" s="261"/>
      <c r="DP493" s="261"/>
      <c r="DR493" s="261"/>
      <c r="DT493" s="261"/>
      <c r="DV493" s="261"/>
      <c r="DX493" s="261"/>
      <c r="DZ493" s="261"/>
      <c r="EB493" s="261"/>
      <c r="ED493" s="261"/>
      <c r="EF493" s="261"/>
    </row>
    <row r="494" spans="1:136" s="260" customFormat="1" ht="15" customHeight="1">
      <c r="A494" s="122"/>
      <c r="B494" s="122"/>
      <c r="C494" s="259"/>
      <c r="F494" s="261"/>
      <c r="H494" s="261"/>
      <c r="I494" s="261"/>
      <c r="J494" s="261"/>
      <c r="K494" s="261"/>
      <c r="M494" s="261"/>
      <c r="O494" s="261"/>
      <c r="P494" s="261"/>
      <c r="Q494" s="261"/>
      <c r="R494" s="261"/>
      <c r="S494" s="261"/>
      <c r="T494" s="261"/>
      <c r="V494" s="261"/>
      <c r="W494" s="262"/>
      <c r="Y494" s="263"/>
      <c r="Z494" s="261"/>
      <c r="AA494" s="262"/>
      <c r="AC494" s="263"/>
      <c r="AD494" s="261"/>
      <c r="AE494" s="262"/>
      <c r="AG494" s="263"/>
      <c r="AH494" s="261"/>
      <c r="AI494" s="262"/>
      <c r="AK494" s="263"/>
      <c r="AL494" s="261"/>
      <c r="AM494" s="262"/>
      <c r="AO494" s="263"/>
      <c r="AP494" s="261"/>
      <c r="AQ494" s="262"/>
      <c r="AS494" s="263"/>
      <c r="AT494" s="261"/>
      <c r="AU494" s="262"/>
      <c r="AW494" s="263"/>
      <c r="AX494" s="261"/>
      <c r="AY494" s="262"/>
      <c r="BA494" s="263"/>
      <c r="BB494" s="261"/>
      <c r="BC494" s="262"/>
      <c r="BE494" s="263"/>
      <c r="BF494" s="261"/>
      <c r="BG494" s="262"/>
      <c r="BI494" s="263"/>
      <c r="BJ494" s="261"/>
      <c r="BL494" s="261"/>
      <c r="BO494" s="261"/>
      <c r="BP494" s="261"/>
      <c r="BQ494" s="262"/>
      <c r="BS494" s="263"/>
      <c r="BT494" s="261"/>
      <c r="BU494" s="262"/>
      <c r="BW494" s="263"/>
      <c r="BX494" s="261"/>
      <c r="BY494" s="262"/>
      <c r="CA494" s="263"/>
      <c r="CB494" s="261"/>
      <c r="CC494" s="262"/>
      <c r="CE494" s="263"/>
      <c r="CF494" s="261"/>
      <c r="CG494" s="262"/>
      <c r="CI494" s="263"/>
      <c r="CJ494" s="261"/>
      <c r="CK494" s="262"/>
      <c r="CM494" s="263"/>
      <c r="CN494" s="261"/>
      <c r="CO494" s="262"/>
      <c r="CQ494" s="263"/>
      <c r="CR494" s="261"/>
      <c r="CS494" s="262"/>
      <c r="CU494" s="263"/>
      <c r="CV494" s="261"/>
      <c r="CW494" s="262"/>
      <c r="CY494" s="263"/>
      <c r="CZ494" s="261"/>
      <c r="DA494" s="262"/>
      <c r="DC494" s="263"/>
      <c r="DD494" s="261"/>
      <c r="DF494" s="261"/>
      <c r="DI494" s="262"/>
      <c r="DJ494" s="261"/>
      <c r="DK494" s="263"/>
      <c r="DL494" s="263"/>
      <c r="DN494" s="261"/>
      <c r="DP494" s="261"/>
      <c r="DR494" s="261"/>
      <c r="DT494" s="261"/>
      <c r="DV494" s="261"/>
      <c r="DX494" s="261"/>
      <c r="DZ494" s="261"/>
      <c r="EB494" s="261"/>
      <c r="ED494" s="261"/>
      <c r="EF494" s="261"/>
    </row>
    <row r="495" spans="1:136" s="260" customFormat="1" ht="15" customHeight="1">
      <c r="A495" s="122"/>
      <c r="B495" s="122"/>
      <c r="C495" s="259"/>
      <c r="F495" s="261"/>
      <c r="H495" s="261"/>
      <c r="I495" s="261"/>
      <c r="J495" s="261"/>
      <c r="K495" s="261"/>
      <c r="M495" s="261"/>
      <c r="O495" s="261"/>
      <c r="P495" s="261"/>
      <c r="Q495" s="261"/>
      <c r="R495" s="261"/>
      <c r="S495" s="261"/>
      <c r="T495" s="261"/>
      <c r="V495" s="261"/>
      <c r="W495" s="262"/>
      <c r="Y495" s="263"/>
      <c r="Z495" s="261"/>
      <c r="AA495" s="262"/>
      <c r="AC495" s="263"/>
      <c r="AD495" s="261"/>
      <c r="AE495" s="262"/>
      <c r="AG495" s="263"/>
      <c r="AH495" s="261"/>
      <c r="AI495" s="262"/>
      <c r="AK495" s="263"/>
      <c r="AL495" s="261"/>
      <c r="AM495" s="262"/>
      <c r="AO495" s="263"/>
      <c r="AP495" s="261"/>
      <c r="AQ495" s="262"/>
      <c r="AS495" s="263"/>
      <c r="AT495" s="261"/>
      <c r="AU495" s="262"/>
      <c r="AW495" s="263"/>
      <c r="AX495" s="261"/>
      <c r="AY495" s="262"/>
      <c r="BA495" s="263"/>
      <c r="BB495" s="261"/>
      <c r="BC495" s="262"/>
      <c r="BE495" s="263"/>
      <c r="BF495" s="261"/>
      <c r="BG495" s="262"/>
      <c r="BI495" s="263"/>
      <c r="BJ495" s="261"/>
      <c r="BL495" s="261"/>
      <c r="BO495" s="261"/>
      <c r="BP495" s="261"/>
      <c r="BQ495" s="262"/>
      <c r="BS495" s="263"/>
      <c r="BT495" s="261"/>
      <c r="BU495" s="262"/>
      <c r="BW495" s="263"/>
      <c r="BX495" s="261"/>
      <c r="BY495" s="262"/>
      <c r="CA495" s="263"/>
      <c r="CB495" s="261"/>
      <c r="CC495" s="262"/>
      <c r="CE495" s="263"/>
      <c r="CF495" s="261"/>
      <c r="CG495" s="262"/>
      <c r="CI495" s="263"/>
      <c r="CJ495" s="261"/>
      <c r="CK495" s="262"/>
      <c r="CM495" s="263"/>
      <c r="CN495" s="261"/>
      <c r="CO495" s="262"/>
      <c r="CQ495" s="263"/>
      <c r="CR495" s="261"/>
      <c r="CS495" s="262"/>
      <c r="CU495" s="263"/>
      <c r="CV495" s="261"/>
      <c r="CW495" s="262"/>
      <c r="CY495" s="263"/>
      <c r="CZ495" s="261"/>
      <c r="DA495" s="262"/>
      <c r="DC495" s="263"/>
      <c r="DD495" s="261"/>
      <c r="DF495" s="261"/>
      <c r="DI495" s="262"/>
      <c r="DJ495" s="261"/>
      <c r="DK495" s="263"/>
      <c r="DL495" s="263"/>
      <c r="DN495" s="261"/>
      <c r="DP495" s="261"/>
      <c r="DR495" s="261"/>
      <c r="DT495" s="261"/>
      <c r="DV495" s="261"/>
      <c r="DX495" s="261"/>
      <c r="DZ495" s="261"/>
      <c r="EB495" s="261"/>
      <c r="ED495" s="261"/>
      <c r="EF495" s="261"/>
    </row>
    <row r="496" spans="1:136" s="260" customFormat="1" ht="15" customHeight="1">
      <c r="A496" s="122"/>
      <c r="B496" s="122"/>
      <c r="C496" s="259"/>
      <c r="F496" s="261"/>
      <c r="H496" s="261"/>
      <c r="I496" s="261"/>
      <c r="J496" s="261"/>
      <c r="K496" s="261"/>
      <c r="M496" s="261"/>
      <c r="O496" s="261"/>
      <c r="P496" s="261"/>
      <c r="Q496" s="261"/>
      <c r="R496" s="261"/>
      <c r="S496" s="261"/>
      <c r="T496" s="261"/>
      <c r="V496" s="261"/>
      <c r="W496" s="262"/>
      <c r="Y496" s="263"/>
      <c r="Z496" s="261"/>
      <c r="AA496" s="262"/>
      <c r="AC496" s="263"/>
      <c r="AD496" s="261"/>
      <c r="AE496" s="262"/>
      <c r="AG496" s="263"/>
      <c r="AH496" s="261"/>
      <c r="AI496" s="262"/>
      <c r="AK496" s="263"/>
      <c r="AL496" s="261"/>
      <c r="AM496" s="262"/>
      <c r="AO496" s="263"/>
      <c r="AP496" s="261"/>
      <c r="AQ496" s="262"/>
      <c r="AS496" s="263"/>
      <c r="AT496" s="261"/>
      <c r="AU496" s="262"/>
      <c r="AW496" s="263"/>
      <c r="AX496" s="261"/>
      <c r="AY496" s="262"/>
      <c r="BA496" s="263"/>
      <c r="BB496" s="261"/>
      <c r="BC496" s="262"/>
      <c r="BE496" s="263"/>
      <c r="BF496" s="261"/>
      <c r="BG496" s="262"/>
      <c r="BI496" s="263"/>
      <c r="BJ496" s="261"/>
      <c r="BL496" s="261"/>
      <c r="BO496" s="261"/>
      <c r="BP496" s="261"/>
      <c r="BQ496" s="262"/>
      <c r="BS496" s="263"/>
      <c r="BT496" s="261"/>
      <c r="BU496" s="262"/>
      <c r="BW496" s="263"/>
      <c r="BX496" s="261"/>
      <c r="BY496" s="262"/>
      <c r="CA496" s="263"/>
      <c r="CB496" s="261"/>
      <c r="CC496" s="262"/>
      <c r="CE496" s="263"/>
      <c r="CF496" s="261"/>
      <c r="CG496" s="262"/>
      <c r="CI496" s="263"/>
      <c r="CJ496" s="261"/>
      <c r="CK496" s="262"/>
      <c r="CM496" s="263"/>
      <c r="CN496" s="261"/>
      <c r="CO496" s="262"/>
      <c r="CQ496" s="263"/>
      <c r="CR496" s="261"/>
      <c r="CS496" s="262"/>
      <c r="CU496" s="263"/>
      <c r="CV496" s="261"/>
      <c r="CW496" s="262"/>
      <c r="CY496" s="263"/>
      <c r="CZ496" s="261"/>
      <c r="DA496" s="262"/>
      <c r="DC496" s="263"/>
      <c r="DD496" s="261"/>
      <c r="DF496" s="261"/>
      <c r="DI496" s="262"/>
      <c r="DJ496" s="261"/>
      <c r="DK496" s="263"/>
      <c r="DL496" s="263"/>
      <c r="DN496" s="261"/>
      <c r="DP496" s="261"/>
      <c r="DR496" s="261"/>
      <c r="DT496" s="261"/>
      <c r="DV496" s="261"/>
      <c r="DX496" s="261"/>
      <c r="DZ496" s="261"/>
      <c r="EB496" s="261"/>
      <c r="ED496" s="261"/>
      <c r="EF496" s="261"/>
    </row>
    <row r="497" spans="1:136" s="260" customFormat="1" ht="15" customHeight="1">
      <c r="A497" s="122"/>
      <c r="B497" s="122"/>
      <c r="C497" s="259"/>
      <c r="F497" s="261"/>
      <c r="H497" s="261"/>
      <c r="I497" s="261"/>
      <c r="J497" s="261"/>
      <c r="K497" s="261"/>
      <c r="M497" s="261"/>
      <c r="O497" s="261"/>
      <c r="P497" s="261"/>
      <c r="Q497" s="261"/>
      <c r="R497" s="261"/>
      <c r="S497" s="261"/>
      <c r="T497" s="261"/>
      <c r="V497" s="261"/>
      <c r="W497" s="262"/>
      <c r="Y497" s="263"/>
      <c r="Z497" s="261"/>
      <c r="AA497" s="262"/>
      <c r="AC497" s="263"/>
      <c r="AD497" s="261"/>
      <c r="AE497" s="262"/>
      <c r="AG497" s="263"/>
      <c r="AH497" s="261"/>
      <c r="AI497" s="262"/>
      <c r="AK497" s="263"/>
      <c r="AL497" s="261"/>
      <c r="AM497" s="262"/>
      <c r="AO497" s="263"/>
      <c r="AP497" s="261"/>
      <c r="AQ497" s="262"/>
      <c r="AS497" s="263"/>
      <c r="AT497" s="261"/>
      <c r="AU497" s="262"/>
      <c r="AW497" s="263"/>
      <c r="AX497" s="261"/>
      <c r="AY497" s="262"/>
      <c r="BA497" s="263"/>
      <c r="BB497" s="261"/>
      <c r="BC497" s="262"/>
      <c r="BE497" s="263"/>
      <c r="BF497" s="261"/>
      <c r="BG497" s="262"/>
      <c r="BI497" s="263"/>
      <c r="BJ497" s="261"/>
      <c r="BL497" s="261"/>
      <c r="BO497" s="261"/>
      <c r="BP497" s="261"/>
      <c r="BQ497" s="262"/>
      <c r="BS497" s="263"/>
      <c r="BT497" s="261"/>
      <c r="BU497" s="262"/>
      <c r="BW497" s="263"/>
      <c r="BX497" s="261"/>
      <c r="BY497" s="262"/>
      <c r="CA497" s="263"/>
      <c r="CB497" s="261"/>
      <c r="CC497" s="262"/>
      <c r="CE497" s="263"/>
      <c r="CF497" s="261"/>
      <c r="CG497" s="262"/>
      <c r="CI497" s="263"/>
      <c r="CJ497" s="261"/>
      <c r="CK497" s="262"/>
      <c r="CM497" s="263"/>
      <c r="CN497" s="261"/>
      <c r="CO497" s="262"/>
      <c r="CQ497" s="263"/>
      <c r="CR497" s="261"/>
      <c r="CS497" s="262"/>
      <c r="CU497" s="263"/>
      <c r="CV497" s="261"/>
      <c r="CW497" s="262"/>
      <c r="CY497" s="263"/>
      <c r="CZ497" s="261"/>
      <c r="DA497" s="262"/>
      <c r="DC497" s="263"/>
      <c r="DD497" s="261"/>
      <c r="DF497" s="261"/>
      <c r="DI497" s="262"/>
      <c r="DJ497" s="261"/>
      <c r="DK497" s="263"/>
      <c r="DL497" s="263"/>
      <c r="DN497" s="261"/>
      <c r="DP497" s="261"/>
      <c r="DR497" s="261"/>
      <c r="DT497" s="261"/>
      <c r="DV497" s="261"/>
      <c r="DX497" s="261"/>
      <c r="DZ497" s="261"/>
      <c r="EB497" s="261"/>
      <c r="ED497" s="261"/>
      <c r="EF497" s="261"/>
    </row>
    <row r="498" spans="1:136" s="260" customFormat="1" ht="15" customHeight="1">
      <c r="A498" s="122"/>
      <c r="B498" s="122"/>
      <c r="C498" s="259"/>
      <c r="F498" s="261"/>
      <c r="H498" s="261"/>
      <c r="I498" s="261"/>
      <c r="J498" s="261"/>
      <c r="K498" s="261"/>
      <c r="M498" s="261"/>
      <c r="O498" s="261"/>
      <c r="P498" s="261"/>
      <c r="Q498" s="261"/>
      <c r="R498" s="261"/>
      <c r="S498" s="261"/>
      <c r="T498" s="261"/>
      <c r="V498" s="261"/>
      <c r="W498" s="262"/>
      <c r="Y498" s="263"/>
      <c r="Z498" s="261"/>
      <c r="AA498" s="262"/>
      <c r="AC498" s="263"/>
      <c r="AD498" s="261"/>
      <c r="AE498" s="262"/>
      <c r="AG498" s="263"/>
      <c r="AH498" s="261"/>
      <c r="AI498" s="262"/>
      <c r="AK498" s="263"/>
      <c r="AL498" s="261"/>
      <c r="AM498" s="262"/>
      <c r="AO498" s="263"/>
      <c r="AP498" s="261"/>
      <c r="AQ498" s="262"/>
      <c r="AS498" s="263"/>
      <c r="AT498" s="261"/>
      <c r="AU498" s="262"/>
      <c r="AW498" s="263"/>
      <c r="AX498" s="261"/>
      <c r="AY498" s="262"/>
      <c r="BA498" s="263"/>
      <c r="BB498" s="261"/>
      <c r="BC498" s="262"/>
      <c r="BE498" s="263"/>
      <c r="BF498" s="261"/>
      <c r="BG498" s="262"/>
      <c r="BI498" s="263"/>
      <c r="BJ498" s="261"/>
      <c r="BL498" s="261"/>
      <c r="BO498" s="261"/>
      <c r="BP498" s="261"/>
      <c r="BQ498" s="262"/>
      <c r="BS498" s="263"/>
      <c r="BT498" s="261"/>
      <c r="BU498" s="262"/>
      <c r="BW498" s="263"/>
      <c r="BX498" s="261"/>
      <c r="BY498" s="262"/>
      <c r="CA498" s="263"/>
      <c r="CB498" s="261"/>
      <c r="CC498" s="262"/>
      <c r="CE498" s="263"/>
      <c r="CF498" s="261"/>
      <c r="CG498" s="262"/>
      <c r="CI498" s="263"/>
      <c r="CJ498" s="261"/>
      <c r="CK498" s="262"/>
      <c r="CM498" s="263"/>
      <c r="CN498" s="261"/>
      <c r="CO498" s="262"/>
      <c r="CQ498" s="263"/>
      <c r="CR498" s="261"/>
      <c r="CS498" s="262"/>
      <c r="CU498" s="263"/>
      <c r="CV498" s="261"/>
      <c r="CW498" s="262"/>
      <c r="CY498" s="263"/>
      <c r="CZ498" s="261"/>
      <c r="DA498" s="262"/>
      <c r="DC498" s="263"/>
      <c r="DD498" s="261"/>
      <c r="DF498" s="261"/>
      <c r="DI498" s="262"/>
      <c r="DJ498" s="261"/>
      <c r="DK498" s="263"/>
      <c r="DL498" s="263"/>
      <c r="DN498" s="261"/>
      <c r="DP498" s="261"/>
      <c r="DR498" s="261"/>
      <c r="DT498" s="261"/>
      <c r="DV498" s="261"/>
      <c r="DX498" s="261"/>
      <c r="DZ498" s="261"/>
      <c r="EB498" s="261"/>
      <c r="ED498" s="261"/>
      <c r="EF498" s="261"/>
    </row>
    <row r="499" spans="1:136" s="260" customFormat="1" ht="15" customHeight="1">
      <c r="A499" s="122"/>
      <c r="B499" s="122"/>
      <c r="C499" s="259"/>
      <c r="F499" s="261"/>
      <c r="H499" s="261"/>
      <c r="I499" s="261"/>
      <c r="J499" s="261"/>
      <c r="K499" s="261"/>
      <c r="M499" s="261"/>
      <c r="O499" s="261"/>
      <c r="P499" s="261"/>
      <c r="Q499" s="261"/>
      <c r="R499" s="261"/>
      <c r="S499" s="261"/>
      <c r="T499" s="261"/>
      <c r="V499" s="261"/>
      <c r="W499" s="262"/>
      <c r="Y499" s="263"/>
      <c r="Z499" s="261"/>
      <c r="AA499" s="262"/>
      <c r="AC499" s="263"/>
      <c r="AD499" s="261"/>
      <c r="AE499" s="262"/>
      <c r="AG499" s="263"/>
      <c r="AH499" s="261"/>
      <c r="AI499" s="262"/>
      <c r="AK499" s="263"/>
      <c r="AL499" s="261"/>
      <c r="AM499" s="262"/>
      <c r="AO499" s="263"/>
      <c r="AP499" s="261"/>
      <c r="AQ499" s="262"/>
      <c r="AS499" s="263"/>
      <c r="AT499" s="261"/>
      <c r="AU499" s="262"/>
      <c r="AW499" s="263"/>
      <c r="AX499" s="261"/>
      <c r="AY499" s="262"/>
      <c r="BA499" s="263"/>
      <c r="BB499" s="261"/>
      <c r="BC499" s="262"/>
      <c r="BE499" s="263"/>
      <c r="BF499" s="261"/>
      <c r="BG499" s="262"/>
      <c r="BI499" s="263"/>
      <c r="BJ499" s="261"/>
      <c r="BL499" s="261"/>
      <c r="BO499" s="261"/>
      <c r="BP499" s="261"/>
      <c r="BQ499" s="262"/>
      <c r="BS499" s="263"/>
      <c r="BT499" s="261"/>
      <c r="BU499" s="262"/>
      <c r="BW499" s="263"/>
      <c r="BX499" s="261"/>
      <c r="BY499" s="262"/>
      <c r="CA499" s="263"/>
      <c r="CB499" s="261"/>
      <c r="CC499" s="262"/>
      <c r="CE499" s="263"/>
      <c r="CF499" s="261"/>
      <c r="CG499" s="262"/>
      <c r="CI499" s="263"/>
      <c r="CJ499" s="261"/>
      <c r="CK499" s="262"/>
      <c r="CM499" s="263"/>
      <c r="CN499" s="261"/>
      <c r="CO499" s="262"/>
      <c r="CQ499" s="263"/>
      <c r="CR499" s="261"/>
      <c r="CS499" s="262"/>
      <c r="CU499" s="263"/>
      <c r="CV499" s="261"/>
      <c r="CW499" s="262"/>
      <c r="CY499" s="263"/>
      <c r="CZ499" s="261"/>
      <c r="DA499" s="262"/>
      <c r="DC499" s="263"/>
      <c r="DD499" s="261"/>
      <c r="DF499" s="261"/>
      <c r="DI499" s="262"/>
      <c r="DJ499" s="261"/>
      <c r="DK499" s="263"/>
      <c r="DL499" s="263"/>
      <c r="DN499" s="261"/>
      <c r="DP499" s="261"/>
      <c r="DR499" s="261"/>
      <c r="DT499" s="261"/>
      <c r="DV499" s="261"/>
      <c r="DX499" s="261"/>
      <c r="DZ499" s="261"/>
      <c r="EB499" s="261"/>
      <c r="ED499" s="261"/>
      <c r="EF499" s="261"/>
    </row>
    <row r="500" spans="1:136" s="260" customFormat="1" ht="15" customHeight="1">
      <c r="A500" s="122"/>
      <c r="B500" s="122"/>
      <c r="C500" s="259"/>
      <c r="F500" s="261"/>
      <c r="H500" s="261"/>
      <c r="I500" s="261"/>
      <c r="J500" s="261"/>
      <c r="K500" s="261"/>
      <c r="M500" s="261"/>
      <c r="O500" s="261"/>
      <c r="P500" s="261"/>
      <c r="Q500" s="261"/>
      <c r="R500" s="261"/>
      <c r="S500" s="261"/>
      <c r="T500" s="261"/>
      <c r="V500" s="261"/>
      <c r="W500" s="262"/>
      <c r="Y500" s="263"/>
      <c r="Z500" s="261"/>
      <c r="AA500" s="262"/>
      <c r="AC500" s="263"/>
      <c r="AD500" s="261"/>
      <c r="AE500" s="262"/>
      <c r="AG500" s="263"/>
      <c r="AH500" s="261"/>
      <c r="AI500" s="262"/>
      <c r="AK500" s="263"/>
      <c r="AL500" s="261"/>
      <c r="AM500" s="262"/>
      <c r="AO500" s="263"/>
      <c r="AP500" s="261"/>
      <c r="AQ500" s="262"/>
      <c r="AS500" s="263"/>
      <c r="AT500" s="261"/>
      <c r="AU500" s="262"/>
      <c r="AW500" s="263"/>
      <c r="AX500" s="261"/>
      <c r="AY500" s="262"/>
      <c r="BA500" s="263"/>
      <c r="BB500" s="261"/>
      <c r="BC500" s="262"/>
      <c r="BE500" s="263"/>
      <c r="BF500" s="261"/>
      <c r="BG500" s="262"/>
      <c r="BI500" s="263"/>
      <c r="BJ500" s="261"/>
      <c r="BL500" s="261"/>
      <c r="BO500" s="261"/>
      <c r="BP500" s="261"/>
      <c r="BQ500" s="262"/>
      <c r="BS500" s="263"/>
      <c r="BT500" s="261"/>
      <c r="BU500" s="262"/>
      <c r="BW500" s="263"/>
      <c r="BX500" s="261"/>
      <c r="BY500" s="262"/>
      <c r="CA500" s="263"/>
      <c r="CB500" s="261"/>
      <c r="CC500" s="262"/>
      <c r="CE500" s="263"/>
      <c r="CF500" s="261"/>
      <c r="CG500" s="262"/>
      <c r="CI500" s="263"/>
      <c r="CJ500" s="261"/>
      <c r="CK500" s="262"/>
      <c r="CM500" s="263"/>
      <c r="CN500" s="261"/>
      <c r="CO500" s="262"/>
      <c r="CQ500" s="263"/>
      <c r="CR500" s="261"/>
      <c r="CS500" s="262"/>
      <c r="CU500" s="263"/>
      <c r="CV500" s="261"/>
      <c r="CW500" s="262"/>
      <c r="CY500" s="263"/>
      <c r="CZ500" s="261"/>
      <c r="DA500" s="262"/>
      <c r="DC500" s="263"/>
      <c r="DD500" s="261"/>
      <c r="DF500" s="261"/>
      <c r="DI500" s="262"/>
      <c r="DJ500" s="261"/>
      <c r="DK500" s="263"/>
      <c r="DL500" s="263"/>
      <c r="DN500" s="261"/>
      <c r="DP500" s="261"/>
      <c r="DR500" s="261"/>
      <c r="DT500" s="261"/>
      <c r="DV500" s="261"/>
      <c r="DX500" s="261"/>
      <c r="DZ500" s="261"/>
      <c r="EB500" s="261"/>
      <c r="ED500" s="261"/>
      <c r="EF500" s="261"/>
    </row>
    <row r="501" spans="1:136" s="260" customFormat="1" ht="15" customHeight="1">
      <c r="A501" s="122"/>
      <c r="B501" s="122"/>
      <c r="C501" s="259"/>
      <c r="F501" s="261"/>
      <c r="H501" s="261"/>
      <c r="I501" s="261"/>
      <c r="J501" s="261"/>
      <c r="K501" s="261"/>
      <c r="M501" s="261"/>
      <c r="O501" s="261"/>
      <c r="P501" s="261"/>
      <c r="Q501" s="261"/>
      <c r="R501" s="261"/>
      <c r="S501" s="261"/>
      <c r="T501" s="261"/>
      <c r="V501" s="261"/>
      <c r="W501" s="262"/>
      <c r="Y501" s="263"/>
      <c r="Z501" s="261"/>
      <c r="AA501" s="262"/>
      <c r="AC501" s="263"/>
      <c r="AD501" s="261"/>
      <c r="AE501" s="262"/>
      <c r="AG501" s="263"/>
      <c r="AH501" s="261"/>
      <c r="AI501" s="262"/>
      <c r="AK501" s="263"/>
      <c r="AL501" s="261"/>
      <c r="AM501" s="262"/>
      <c r="AO501" s="263"/>
      <c r="AP501" s="261"/>
      <c r="AQ501" s="262"/>
      <c r="AS501" s="263"/>
      <c r="AT501" s="261"/>
      <c r="AU501" s="262"/>
      <c r="AW501" s="263"/>
      <c r="AX501" s="261"/>
      <c r="AY501" s="262"/>
      <c r="BA501" s="263"/>
      <c r="BB501" s="261"/>
      <c r="BC501" s="262"/>
      <c r="BE501" s="263"/>
      <c r="BF501" s="261"/>
      <c r="BG501" s="262"/>
      <c r="BI501" s="263"/>
      <c r="BJ501" s="261"/>
      <c r="BL501" s="261"/>
      <c r="BO501" s="261"/>
      <c r="BP501" s="261"/>
      <c r="BQ501" s="262"/>
      <c r="BS501" s="263"/>
      <c r="BT501" s="261"/>
      <c r="BU501" s="262"/>
      <c r="BW501" s="263"/>
      <c r="BX501" s="261"/>
      <c r="BY501" s="262"/>
      <c r="CA501" s="263"/>
      <c r="CB501" s="261"/>
      <c r="CC501" s="262"/>
      <c r="CE501" s="263"/>
      <c r="CF501" s="261"/>
      <c r="CG501" s="262"/>
      <c r="CI501" s="263"/>
      <c r="CJ501" s="261"/>
      <c r="CK501" s="262"/>
      <c r="CM501" s="263"/>
      <c r="CN501" s="261"/>
      <c r="CO501" s="262"/>
      <c r="CQ501" s="263"/>
      <c r="CR501" s="261"/>
      <c r="CS501" s="262"/>
      <c r="CU501" s="263"/>
      <c r="CV501" s="261"/>
      <c r="CW501" s="262"/>
      <c r="CY501" s="263"/>
      <c r="CZ501" s="261"/>
      <c r="DA501" s="262"/>
      <c r="DC501" s="263"/>
      <c r="DD501" s="261"/>
      <c r="DF501" s="261"/>
      <c r="DI501" s="262"/>
      <c r="DJ501" s="261"/>
      <c r="DK501" s="263"/>
      <c r="DL501" s="263"/>
      <c r="DN501" s="261"/>
      <c r="DP501" s="261"/>
      <c r="DR501" s="261"/>
      <c r="DT501" s="261"/>
      <c r="DV501" s="261"/>
      <c r="DX501" s="261"/>
      <c r="DZ501" s="261"/>
      <c r="EB501" s="261"/>
      <c r="ED501" s="261"/>
      <c r="EF501" s="261"/>
    </row>
    <row r="502" spans="1:136" s="260" customFormat="1" ht="15" customHeight="1">
      <c r="A502" s="122"/>
      <c r="B502" s="122"/>
      <c r="C502" s="259"/>
      <c r="F502" s="261"/>
      <c r="H502" s="261"/>
      <c r="I502" s="261"/>
      <c r="J502" s="261"/>
      <c r="K502" s="261"/>
      <c r="M502" s="261"/>
      <c r="O502" s="261"/>
      <c r="P502" s="261"/>
      <c r="Q502" s="261"/>
      <c r="R502" s="261"/>
      <c r="S502" s="261"/>
      <c r="T502" s="261"/>
      <c r="V502" s="261"/>
      <c r="W502" s="262"/>
      <c r="Y502" s="263"/>
      <c r="Z502" s="261"/>
      <c r="AA502" s="262"/>
      <c r="AC502" s="263"/>
      <c r="AD502" s="261"/>
      <c r="AE502" s="262"/>
      <c r="AG502" s="263"/>
      <c r="AH502" s="261"/>
      <c r="AI502" s="262"/>
      <c r="AK502" s="263"/>
      <c r="AL502" s="261"/>
      <c r="AM502" s="262"/>
      <c r="AO502" s="263"/>
      <c r="AP502" s="261"/>
      <c r="AQ502" s="262"/>
      <c r="AS502" s="263"/>
      <c r="AT502" s="261"/>
      <c r="AU502" s="262"/>
      <c r="AW502" s="263"/>
      <c r="AX502" s="261"/>
      <c r="AY502" s="262"/>
      <c r="BA502" s="263"/>
      <c r="BB502" s="261"/>
      <c r="BC502" s="262"/>
      <c r="BE502" s="263"/>
      <c r="BF502" s="261"/>
      <c r="BG502" s="262"/>
      <c r="BI502" s="263"/>
      <c r="BJ502" s="261"/>
      <c r="BL502" s="261"/>
      <c r="BO502" s="261"/>
      <c r="BP502" s="261"/>
      <c r="BQ502" s="262"/>
      <c r="BS502" s="263"/>
      <c r="BT502" s="261"/>
      <c r="BU502" s="262"/>
      <c r="BW502" s="263"/>
      <c r="BX502" s="261"/>
      <c r="BY502" s="262"/>
      <c r="CA502" s="263"/>
      <c r="CB502" s="261"/>
      <c r="CC502" s="262"/>
      <c r="CE502" s="263"/>
      <c r="CF502" s="261"/>
      <c r="CG502" s="262"/>
      <c r="CI502" s="263"/>
      <c r="CJ502" s="261"/>
      <c r="CK502" s="262"/>
      <c r="CM502" s="263"/>
      <c r="CN502" s="261"/>
      <c r="CO502" s="262"/>
      <c r="CQ502" s="263"/>
      <c r="CR502" s="261"/>
      <c r="CS502" s="262"/>
      <c r="CU502" s="263"/>
      <c r="CV502" s="261"/>
      <c r="CW502" s="262"/>
      <c r="CY502" s="263"/>
      <c r="CZ502" s="261"/>
      <c r="DA502" s="262"/>
      <c r="DC502" s="263"/>
      <c r="DD502" s="261"/>
      <c r="DF502" s="261"/>
      <c r="DI502" s="262"/>
      <c r="DJ502" s="261"/>
      <c r="DK502" s="263"/>
      <c r="DL502" s="263"/>
      <c r="DN502" s="261"/>
      <c r="DP502" s="261"/>
      <c r="DR502" s="261"/>
      <c r="DT502" s="261"/>
      <c r="DV502" s="261"/>
      <c r="DX502" s="261"/>
      <c r="DZ502" s="261"/>
      <c r="EB502" s="261"/>
      <c r="ED502" s="261"/>
      <c r="EF502" s="261"/>
    </row>
    <row r="503" spans="1:136" s="260" customFormat="1" ht="15" customHeight="1">
      <c r="A503" s="122"/>
      <c r="B503" s="122"/>
      <c r="C503" s="259"/>
      <c r="F503" s="261"/>
      <c r="H503" s="261"/>
      <c r="I503" s="261"/>
      <c r="J503" s="261"/>
      <c r="K503" s="261"/>
      <c r="M503" s="261"/>
      <c r="O503" s="261"/>
      <c r="P503" s="261"/>
      <c r="Q503" s="261"/>
      <c r="R503" s="261"/>
      <c r="S503" s="261"/>
      <c r="T503" s="261"/>
      <c r="V503" s="261"/>
      <c r="W503" s="262"/>
      <c r="Y503" s="263"/>
      <c r="Z503" s="261"/>
      <c r="AA503" s="262"/>
      <c r="AC503" s="263"/>
      <c r="AD503" s="261"/>
      <c r="AE503" s="262"/>
      <c r="AG503" s="263"/>
      <c r="AH503" s="261"/>
      <c r="AI503" s="262"/>
      <c r="AK503" s="263"/>
      <c r="AL503" s="261"/>
      <c r="AM503" s="262"/>
      <c r="AO503" s="263"/>
      <c r="AP503" s="261"/>
      <c r="AQ503" s="262"/>
      <c r="AS503" s="263"/>
      <c r="AT503" s="261"/>
      <c r="AU503" s="262"/>
      <c r="AW503" s="263"/>
      <c r="AX503" s="261"/>
      <c r="AY503" s="262"/>
      <c r="BA503" s="263"/>
      <c r="BB503" s="261"/>
      <c r="BC503" s="262"/>
      <c r="BE503" s="263"/>
      <c r="BF503" s="261"/>
      <c r="BG503" s="262"/>
      <c r="BI503" s="263"/>
      <c r="BJ503" s="261"/>
      <c r="BL503" s="261"/>
      <c r="BO503" s="261"/>
      <c r="BP503" s="261"/>
      <c r="BQ503" s="262"/>
      <c r="BS503" s="263"/>
      <c r="BT503" s="261"/>
      <c r="BU503" s="262"/>
      <c r="BW503" s="263"/>
      <c r="BX503" s="261"/>
      <c r="BY503" s="262"/>
      <c r="CA503" s="263"/>
      <c r="CB503" s="261"/>
      <c r="CC503" s="262"/>
      <c r="CE503" s="263"/>
      <c r="CF503" s="261"/>
      <c r="CG503" s="262"/>
      <c r="CI503" s="263"/>
      <c r="CJ503" s="261"/>
      <c r="CK503" s="262"/>
      <c r="CM503" s="263"/>
      <c r="CN503" s="261"/>
      <c r="CO503" s="262"/>
      <c r="CQ503" s="263"/>
      <c r="CR503" s="261"/>
      <c r="CS503" s="262"/>
      <c r="CU503" s="263"/>
      <c r="CV503" s="261"/>
      <c r="CW503" s="262"/>
      <c r="CY503" s="263"/>
      <c r="CZ503" s="261"/>
      <c r="DA503" s="262"/>
      <c r="DC503" s="263"/>
      <c r="DD503" s="261"/>
      <c r="DF503" s="261"/>
      <c r="DI503" s="262"/>
      <c r="DJ503" s="261"/>
      <c r="DK503" s="263"/>
      <c r="DL503" s="263"/>
      <c r="DN503" s="261"/>
      <c r="DP503" s="261"/>
      <c r="DR503" s="261"/>
      <c r="DT503" s="261"/>
      <c r="DV503" s="261"/>
      <c r="DX503" s="261"/>
      <c r="DZ503" s="261"/>
      <c r="EB503" s="261"/>
      <c r="ED503" s="261"/>
      <c r="EF503" s="261"/>
    </row>
    <row r="504" spans="1:136" s="260" customFormat="1" ht="15" customHeight="1">
      <c r="A504" s="122"/>
      <c r="B504" s="122"/>
      <c r="C504" s="259"/>
      <c r="F504" s="261"/>
      <c r="H504" s="261"/>
      <c r="I504" s="261"/>
      <c r="J504" s="261"/>
      <c r="K504" s="261"/>
      <c r="M504" s="261"/>
      <c r="O504" s="261"/>
      <c r="P504" s="261"/>
      <c r="Q504" s="261"/>
      <c r="R504" s="261"/>
      <c r="S504" s="261"/>
      <c r="T504" s="261"/>
      <c r="V504" s="261"/>
      <c r="W504" s="262"/>
      <c r="Y504" s="263"/>
      <c r="Z504" s="261"/>
      <c r="AA504" s="262"/>
      <c r="AC504" s="263"/>
      <c r="AD504" s="261"/>
      <c r="AE504" s="262"/>
      <c r="AG504" s="263"/>
      <c r="AH504" s="261"/>
      <c r="AI504" s="262"/>
      <c r="AK504" s="263"/>
      <c r="AL504" s="261"/>
      <c r="AM504" s="262"/>
      <c r="AO504" s="263"/>
      <c r="AP504" s="261"/>
      <c r="AQ504" s="262"/>
      <c r="AS504" s="263"/>
      <c r="AT504" s="261"/>
      <c r="AU504" s="262"/>
      <c r="AW504" s="263"/>
      <c r="AX504" s="261"/>
      <c r="AY504" s="262"/>
      <c r="BA504" s="263"/>
      <c r="BB504" s="261"/>
      <c r="BC504" s="262"/>
      <c r="BE504" s="263"/>
      <c r="BF504" s="261"/>
      <c r="BG504" s="262"/>
      <c r="BI504" s="263"/>
      <c r="BJ504" s="261"/>
      <c r="BL504" s="261"/>
      <c r="BO504" s="261"/>
      <c r="BP504" s="261"/>
      <c r="BQ504" s="262"/>
      <c r="BS504" s="263"/>
      <c r="BT504" s="261"/>
      <c r="BU504" s="262"/>
      <c r="BW504" s="263"/>
      <c r="BX504" s="261"/>
      <c r="BY504" s="262"/>
      <c r="CA504" s="263"/>
      <c r="CB504" s="261"/>
      <c r="CC504" s="262"/>
      <c r="CE504" s="263"/>
      <c r="CF504" s="261"/>
      <c r="CG504" s="262"/>
      <c r="CI504" s="263"/>
      <c r="CJ504" s="261"/>
      <c r="CK504" s="262"/>
      <c r="CM504" s="263"/>
      <c r="CN504" s="261"/>
      <c r="CO504" s="262"/>
      <c r="CQ504" s="263"/>
      <c r="CR504" s="261"/>
      <c r="CS504" s="262"/>
      <c r="CU504" s="263"/>
      <c r="CV504" s="261"/>
      <c r="CW504" s="262"/>
      <c r="CY504" s="263"/>
      <c r="CZ504" s="261"/>
      <c r="DA504" s="262"/>
      <c r="DC504" s="263"/>
      <c r="DD504" s="261"/>
      <c r="DF504" s="261"/>
      <c r="DI504" s="262"/>
      <c r="DJ504" s="261"/>
      <c r="DK504" s="263"/>
      <c r="DL504" s="263"/>
      <c r="DN504" s="261"/>
      <c r="DP504" s="261"/>
      <c r="DR504" s="261"/>
      <c r="DT504" s="261"/>
      <c r="DV504" s="261"/>
      <c r="DX504" s="261"/>
      <c r="DZ504" s="261"/>
      <c r="EB504" s="261"/>
      <c r="ED504" s="261"/>
      <c r="EF504" s="261"/>
    </row>
    <row r="505" spans="1:136" s="260" customFormat="1" ht="15" customHeight="1">
      <c r="A505" s="122"/>
      <c r="B505" s="122"/>
      <c r="C505" s="259"/>
      <c r="F505" s="261"/>
      <c r="H505" s="261"/>
      <c r="I505" s="261"/>
      <c r="J505" s="261"/>
      <c r="K505" s="261"/>
      <c r="M505" s="261"/>
      <c r="O505" s="261"/>
      <c r="P505" s="261"/>
      <c r="Q505" s="261"/>
      <c r="R505" s="261"/>
      <c r="S505" s="261"/>
      <c r="T505" s="261"/>
      <c r="V505" s="261"/>
      <c r="W505" s="262"/>
      <c r="Y505" s="263"/>
      <c r="Z505" s="261"/>
      <c r="AA505" s="262"/>
      <c r="AC505" s="263"/>
      <c r="AD505" s="261"/>
      <c r="AE505" s="262"/>
      <c r="AG505" s="263"/>
      <c r="AH505" s="261"/>
      <c r="AI505" s="262"/>
      <c r="AK505" s="263"/>
      <c r="AL505" s="261"/>
      <c r="AM505" s="262"/>
      <c r="AO505" s="263"/>
      <c r="AP505" s="261"/>
      <c r="AQ505" s="262"/>
      <c r="AS505" s="263"/>
      <c r="AT505" s="261"/>
      <c r="AU505" s="262"/>
      <c r="AW505" s="263"/>
      <c r="AX505" s="261"/>
      <c r="AY505" s="262"/>
      <c r="BA505" s="263"/>
      <c r="BB505" s="261"/>
      <c r="BC505" s="262"/>
      <c r="BE505" s="263"/>
      <c r="BF505" s="261"/>
      <c r="BG505" s="262"/>
      <c r="BI505" s="263"/>
      <c r="BJ505" s="261"/>
      <c r="BL505" s="261"/>
      <c r="BO505" s="261"/>
      <c r="BP505" s="261"/>
      <c r="BQ505" s="262"/>
      <c r="BS505" s="263"/>
      <c r="BT505" s="261"/>
      <c r="BU505" s="262"/>
      <c r="BW505" s="263"/>
      <c r="BX505" s="261"/>
      <c r="BY505" s="262"/>
      <c r="CA505" s="263"/>
      <c r="CB505" s="261"/>
      <c r="CC505" s="262"/>
      <c r="CE505" s="263"/>
      <c r="CF505" s="261"/>
      <c r="CG505" s="262"/>
      <c r="CI505" s="263"/>
      <c r="CJ505" s="261"/>
      <c r="CK505" s="262"/>
      <c r="CM505" s="263"/>
      <c r="CN505" s="261"/>
      <c r="CO505" s="262"/>
      <c r="CQ505" s="263"/>
      <c r="CR505" s="261"/>
      <c r="CS505" s="262"/>
      <c r="CU505" s="263"/>
      <c r="CV505" s="261"/>
      <c r="CW505" s="262"/>
      <c r="CY505" s="263"/>
      <c r="CZ505" s="261"/>
      <c r="DA505" s="262"/>
      <c r="DC505" s="263"/>
      <c r="DD505" s="261"/>
      <c r="DF505" s="261"/>
      <c r="DI505" s="262"/>
      <c r="DJ505" s="261"/>
      <c r="DK505" s="263"/>
      <c r="DL505" s="263"/>
      <c r="DN505" s="261"/>
      <c r="DP505" s="261"/>
      <c r="DR505" s="261"/>
      <c r="DT505" s="261"/>
      <c r="DV505" s="261"/>
      <c r="DX505" s="261"/>
      <c r="DZ505" s="261"/>
      <c r="EB505" s="261"/>
      <c r="ED505" s="261"/>
      <c r="EF505" s="261"/>
    </row>
    <row r="506" spans="1:136" s="260" customFormat="1" ht="15" customHeight="1">
      <c r="A506" s="122"/>
      <c r="B506" s="122"/>
      <c r="C506" s="259"/>
      <c r="F506" s="261"/>
      <c r="H506" s="261"/>
      <c r="I506" s="261"/>
      <c r="J506" s="261"/>
      <c r="K506" s="261"/>
      <c r="M506" s="261"/>
      <c r="O506" s="261"/>
      <c r="P506" s="261"/>
      <c r="Q506" s="261"/>
      <c r="R506" s="261"/>
      <c r="S506" s="261"/>
      <c r="T506" s="261"/>
      <c r="V506" s="261"/>
      <c r="W506" s="262"/>
      <c r="Y506" s="263"/>
      <c r="Z506" s="261"/>
      <c r="AA506" s="262"/>
      <c r="AC506" s="263"/>
      <c r="AD506" s="261"/>
      <c r="AE506" s="262"/>
      <c r="AG506" s="263"/>
      <c r="AH506" s="261"/>
      <c r="AI506" s="262"/>
      <c r="AK506" s="263"/>
      <c r="AL506" s="261"/>
      <c r="AM506" s="262"/>
      <c r="AO506" s="263"/>
      <c r="AP506" s="261"/>
      <c r="AQ506" s="262"/>
      <c r="AS506" s="263"/>
      <c r="AT506" s="261"/>
      <c r="AU506" s="262"/>
      <c r="AW506" s="263"/>
      <c r="AX506" s="261"/>
      <c r="AY506" s="262"/>
      <c r="BA506" s="263"/>
      <c r="BB506" s="261"/>
      <c r="BC506" s="262"/>
      <c r="BE506" s="263"/>
      <c r="BF506" s="261"/>
      <c r="BG506" s="262"/>
      <c r="BI506" s="263"/>
      <c r="BJ506" s="261"/>
      <c r="BL506" s="261"/>
      <c r="BO506" s="261"/>
      <c r="BP506" s="261"/>
      <c r="BQ506" s="262"/>
      <c r="BS506" s="263"/>
      <c r="BT506" s="261"/>
      <c r="BU506" s="262"/>
      <c r="BW506" s="263"/>
      <c r="BX506" s="261"/>
      <c r="BY506" s="262"/>
      <c r="CA506" s="263"/>
      <c r="CB506" s="261"/>
      <c r="CC506" s="262"/>
      <c r="CE506" s="263"/>
      <c r="CF506" s="261"/>
      <c r="CG506" s="262"/>
      <c r="CI506" s="263"/>
      <c r="CJ506" s="261"/>
      <c r="CK506" s="262"/>
      <c r="CM506" s="263"/>
      <c r="CN506" s="261"/>
      <c r="CO506" s="262"/>
      <c r="CQ506" s="263"/>
      <c r="CR506" s="261"/>
      <c r="CS506" s="262"/>
      <c r="CU506" s="263"/>
      <c r="CV506" s="261"/>
      <c r="CW506" s="262"/>
      <c r="CY506" s="263"/>
      <c r="CZ506" s="261"/>
      <c r="DA506" s="262"/>
      <c r="DC506" s="263"/>
      <c r="DD506" s="261"/>
      <c r="DF506" s="261"/>
      <c r="DI506" s="262"/>
      <c r="DJ506" s="261"/>
      <c r="DK506" s="263"/>
      <c r="DL506" s="263"/>
      <c r="DN506" s="261"/>
      <c r="DP506" s="261"/>
      <c r="DR506" s="261"/>
      <c r="DT506" s="261"/>
      <c r="DV506" s="261"/>
      <c r="DX506" s="261"/>
      <c r="DZ506" s="261"/>
      <c r="EB506" s="261"/>
      <c r="ED506" s="261"/>
      <c r="EF506" s="261"/>
    </row>
    <row r="507" spans="1:136" s="260" customFormat="1" ht="15" customHeight="1">
      <c r="A507" s="122"/>
      <c r="B507" s="122"/>
      <c r="C507" s="259"/>
      <c r="F507" s="261"/>
      <c r="H507" s="261"/>
      <c r="I507" s="261"/>
      <c r="J507" s="261"/>
      <c r="K507" s="261"/>
      <c r="M507" s="261"/>
      <c r="O507" s="261"/>
      <c r="P507" s="261"/>
      <c r="Q507" s="261"/>
      <c r="R507" s="261"/>
      <c r="S507" s="261"/>
      <c r="T507" s="261"/>
      <c r="V507" s="261"/>
      <c r="W507" s="262"/>
      <c r="Y507" s="263"/>
      <c r="Z507" s="261"/>
      <c r="AA507" s="262"/>
      <c r="AC507" s="263"/>
      <c r="AD507" s="261"/>
      <c r="AE507" s="262"/>
      <c r="AG507" s="263"/>
      <c r="AH507" s="261"/>
      <c r="AI507" s="262"/>
      <c r="AK507" s="263"/>
      <c r="AL507" s="261"/>
      <c r="AM507" s="262"/>
      <c r="AO507" s="263"/>
      <c r="AP507" s="261"/>
      <c r="AQ507" s="262"/>
      <c r="AS507" s="263"/>
      <c r="AT507" s="261"/>
      <c r="AU507" s="262"/>
      <c r="AW507" s="263"/>
      <c r="AX507" s="261"/>
      <c r="AY507" s="262"/>
      <c r="BA507" s="263"/>
      <c r="BB507" s="261"/>
      <c r="BC507" s="262"/>
      <c r="BE507" s="263"/>
      <c r="BF507" s="261"/>
      <c r="BG507" s="262"/>
      <c r="BI507" s="263"/>
      <c r="BJ507" s="261"/>
      <c r="BL507" s="261"/>
      <c r="BO507" s="261"/>
      <c r="BP507" s="261"/>
      <c r="BQ507" s="262"/>
      <c r="BS507" s="263"/>
      <c r="BT507" s="261"/>
      <c r="BU507" s="262"/>
      <c r="BW507" s="263"/>
      <c r="BX507" s="261"/>
      <c r="BY507" s="262"/>
      <c r="CA507" s="263"/>
      <c r="CB507" s="261"/>
      <c r="CC507" s="262"/>
      <c r="CE507" s="263"/>
      <c r="CF507" s="261"/>
      <c r="CG507" s="262"/>
      <c r="CI507" s="263"/>
      <c r="CJ507" s="261"/>
      <c r="CK507" s="262"/>
      <c r="CM507" s="263"/>
      <c r="CN507" s="261"/>
      <c r="CO507" s="262"/>
      <c r="CQ507" s="263"/>
      <c r="CR507" s="261"/>
      <c r="CS507" s="262"/>
      <c r="CU507" s="263"/>
      <c r="CV507" s="261"/>
      <c r="CW507" s="262"/>
      <c r="CY507" s="263"/>
      <c r="CZ507" s="261"/>
      <c r="DA507" s="262"/>
      <c r="DC507" s="263"/>
      <c r="DD507" s="261"/>
      <c r="DF507" s="261"/>
      <c r="DI507" s="262"/>
      <c r="DJ507" s="261"/>
      <c r="DK507" s="263"/>
      <c r="DL507" s="263"/>
      <c r="DN507" s="261"/>
      <c r="DP507" s="261"/>
      <c r="DR507" s="261"/>
      <c r="DT507" s="261"/>
      <c r="DV507" s="261"/>
      <c r="DX507" s="261"/>
      <c r="DZ507" s="261"/>
      <c r="EB507" s="261"/>
      <c r="ED507" s="261"/>
      <c r="EF507" s="261"/>
    </row>
    <row r="508" spans="1:136" s="260" customFormat="1" ht="15" customHeight="1">
      <c r="A508" s="122"/>
      <c r="B508" s="122"/>
      <c r="C508" s="259"/>
      <c r="F508" s="261"/>
      <c r="H508" s="261"/>
      <c r="I508" s="261"/>
      <c r="J508" s="261"/>
      <c r="K508" s="261"/>
      <c r="M508" s="261"/>
      <c r="O508" s="261"/>
      <c r="P508" s="261"/>
      <c r="Q508" s="261"/>
      <c r="R508" s="261"/>
      <c r="S508" s="261"/>
      <c r="T508" s="261"/>
      <c r="V508" s="261"/>
      <c r="W508" s="262"/>
      <c r="Y508" s="263"/>
      <c r="Z508" s="261"/>
      <c r="AA508" s="262"/>
      <c r="AC508" s="263"/>
      <c r="AD508" s="261"/>
      <c r="AE508" s="262"/>
      <c r="AG508" s="263"/>
      <c r="AH508" s="261"/>
      <c r="AI508" s="262"/>
      <c r="AK508" s="263"/>
      <c r="AL508" s="261"/>
      <c r="AM508" s="262"/>
      <c r="AO508" s="263"/>
      <c r="AP508" s="261"/>
      <c r="AQ508" s="262"/>
      <c r="AS508" s="263"/>
      <c r="AT508" s="261"/>
      <c r="AU508" s="262"/>
      <c r="AW508" s="263"/>
      <c r="AX508" s="261"/>
      <c r="AY508" s="262"/>
      <c r="BA508" s="263"/>
      <c r="BB508" s="261"/>
      <c r="BC508" s="262"/>
      <c r="BE508" s="263"/>
      <c r="BF508" s="261"/>
      <c r="BG508" s="262"/>
      <c r="BI508" s="263"/>
      <c r="BJ508" s="261"/>
      <c r="BL508" s="261"/>
      <c r="BO508" s="261"/>
      <c r="BP508" s="261"/>
      <c r="BQ508" s="262"/>
      <c r="BS508" s="263"/>
      <c r="BT508" s="261"/>
      <c r="BU508" s="262"/>
      <c r="BW508" s="263"/>
      <c r="BX508" s="261"/>
      <c r="BY508" s="262"/>
      <c r="CA508" s="263"/>
      <c r="CB508" s="261"/>
      <c r="CC508" s="262"/>
      <c r="CE508" s="263"/>
      <c r="CF508" s="261"/>
      <c r="CG508" s="262"/>
      <c r="CI508" s="263"/>
      <c r="CJ508" s="261"/>
      <c r="CK508" s="262"/>
      <c r="CM508" s="263"/>
      <c r="CN508" s="261"/>
      <c r="CO508" s="262"/>
      <c r="CQ508" s="263"/>
      <c r="CR508" s="261"/>
      <c r="CS508" s="262"/>
      <c r="CU508" s="263"/>
      <c r="CV508" s="261"/>
      <c r="CW508" s="262"/>
      <c r="CY508" s="263"/>
      <c r="CZ508" s="261"/>
      <c r="DA508" s="262"/>
      <c r="DC508" s="263"/>
      <c r="DD508" s="261"/>
      <c r="DF508" s="261"/>
      <c r="DI508" s="262"/>
      <c r="DJ508" s="261"/>
      <c r="DK508" s="263"/>
      <c r="DL508" s="263"/>
      <c r="DN508" s="261"/>
      <c r="DP508" s="261"/>
      <c r="DR508" s="261"/>
      <c r="DT508" s="261"/>
      <c r="DV508" s="261"/>
      <c r="DX508" s="261"/>
      <c r="DZ508" s="261"/>
      <c r="EB508" s="261"/>
      <c r="ED508" s="261"/>
      <c r="EF508" s="261"/>
    </row>
    <row r="509" spans="1:136" s="260" customFormat="1" ht="15" customHeight="1">
      <c r="A509" s="122"/>
      <c r="B509" s="122"/>
      <c r="C509" s="259"/>
      <c r="F509" s="261"/>
      <c r="H509" s="261"/>
      <c r="I509" s="261"/>
      <c r="J509" s="261"/>
      <c r="K509" s="261"/>
      <c r="M509" s="261"/>
      <c r="O509" s="261"/>
      <c r="P509" s="261"/>
      <c r="Q509" s="261"/>
      <c r="R509" s="261"/>
      <c r="S509" s="261"/>
      <c r="T509" s="261"/>
      <c r="V509" s="261"/>
      <c r="W509" s="262"/>
      <c r="Y509" s="263"/>
      <c r="Z509" s="261"/>
      <c r="AA509" s="262"/>
      <c r="AC509" s="263"/>
      <c r="AD509" s="261"/>
      <c r="AE509" s="262"/>
      <c r="AG509" s="263"/>
      <c r="AH509" s="261"/>
      <c r="AI509" s="262"/>
      <c r="AK509" s="263"/>
      <c r="AL509" s="261"/>
      <c r="AM509" s="262"/>
      <c r="AO509" s="263"/>
      <c r="AP509" s="261"/>
      <c r="AQ509" s="262"/>
      <c r="AS509" s="263"/>
      <c r="AT509" s="261"/>
      <c r="AU509" s="262"/>
      <c r="AW509" s="263"/>
      <c r="AX509" s="261"/>
      <c r="AY509" s="262"/>
      <c r="BA509" s="263"/>
      <c r="BB509" s="261"/>
      <c r="BC509" s="262"/>
      <c r="BE509" s="263"/>
      <c r="BF509" s="261"/>
      <c r="BG509" s="262"/>
      <c r="BI509" s="263"/>
      <c r="BJ509" s="261"/>
      <c r="BL509" s="261"/>
      <c r="BO509" s="261"/>
      <c r="BP509" s="261"/>
      <c r="BQ509" s="262"/>
      <c r="BS509" s="263"/>
      <c r="BT509" s="261"/>
      <c r="BU509" s="262"/>
      <c r="BW509" s="263"/>
      <c r="BX509" s="261"/>
      <c r="BY509" s="262"/>
      <c r="CA509" s="263"/>
      <c r="CB509" s="261"/>
      <c r="CC509" s="262"/>
      <c r="CE509" s="263"/>
      <c r="CF509" s="261"/>
      <c r="CG509" s="262"/>
      <c r="CI509" s="263"/>
      <c r="CJ509" s="261"/>
      <c r="CK509" s="262"/>
      <c r="CM509" s="263"/>
      <c r="CN509" s="261"/>
      <c r="CO509" s="262"/>
      <c r="CQ509" s="263"/>
      <c r="CR509" s="261"/>
      <c r="CS509" s="262"/>
      <c r="CU509" s="263"/>
      <c r="CV509" s="261"/>
      <c r="CW509" s="262"/>
      <c r="CY509" s="263"/>
      <c r="CZ509" s="261"/>
      <c r="DA509" s="262"/>
      <c r="DC509" s="263"/>
      <c r="DD509" s="261"/>
      <c r="DF509" s="261"/>
      <c r="DI509" s="262"/>
      <c r="DJ509" s="261"/>
      <c r="DK509" s="263"/>
      <c r="DL509" s="263"/>
      <c r="DN509" s="261"/>
      <c r="DP509" s="261"/>
      <c r="DR509" s="261"/>
      <c r="DT509" s="261"/>
      <c r="DV509" s="261"/>
      <c r="DX509" s="261"/>
      <c r="DZ509" s="261"/>
      <c r="EB509" s="261"/>
      <c r="ED509" s="261"/>
      <c r="EF509" s="261"/>
    </row>
    <row r="510" spans="1:136" s="260" customFormat="1" ht="15" customHeight="1">
      <c r="A510" s="122"/>
      <c r="B510" s="122"/>
      <c r="C510" s="259"/>
      <c r="F510" s="261"/>
      <c r="H510" s="261"/>
      <c r="I510" s="261"/>
      <c r="J510" s="261"/>
      <c r="K510" s="261"/>
      <c r="M510" s="261"/>
      <c r="O510" s="261"/>
      <c r="P510" s="261"/>
      <c r="Q510" s="261"/>
      <c r="R510" s="261"/>
      <c r="S510" s="261"/>
      <c r="T510" s="261"/>
      <c r="V510" s="261"/>
      <c r="W510" s="262"/>
      <c r="Y510" s="263"/>
      <c r="Z510" s="261"/>
      <c r="AA510" s="262"/>
      <c r="AC510" s="263"/>
      <c r="AD510" s="261"/>
      <c r="AE510" s="262"/>
      <c r="AG510" s="263"/>
      <c r="AH510" s="261"/>
      <c r="AI510" s="262"/>
      <c r="AK510" s="263"/>
      <c r="AL510" s="261"/>
      <c r="AM510" s="262"/>
      <c r="AO510" s="263"/>
      <c r="AP510" s="261"/>
      <c r="AQ510" s="262"/>
      <c r="AS510" s="263"/>
      <c r="AT510" s="261"/>
      <c r="AU510" s="262"/>
      <c r="AW510" s="263"/>
      <c r="AX510" s="261"/>
      <c r="AY510" s="262"/>
      <c r="BA510" s="263"/>
      <c r="BB510" s="261"/>
      <c r="BC510" s="262"/>
      <c r="BE510" s="263"/>
      <c r="BF510" s="261"/>
      <c r="BG510" s="262"/>
      <c r="BI510" s="263"/>
      <c r="BJ510" s="261"/>
      <c r="BL510" s="261"/>
      <c r="BO510" s="261"/>
      <c r="BP510" s="261"/>
      <c r="BQ510" s="262"/>
      <c r="BS510" s="263"/>
      <c r="BT510" s="261"/>
      <c r="BU510" s="262"/>
      <c r="BW510" s="263"/>
      <c r="BX510" s="261"/>
      <c r="BY510" s="262"/>
      <c r="CA510" s="263"/>
      <c r="CB510" s="261"/>
      <c r="CC510" s="262"/>
      <c r="CE510" s="263"/>
      <c r="CF510" s="261"/>
      <c r="CG510" s="262"/>
      <c r="CI510" s="263"/>
      <c r="CJ510" s="261"/>
      <c r="CK510" s="262"/>
      <c r="CM510" s="263"/>
      <c r="CN510" s="261"/>
      <c r="CO510" s="262"/>
      <c r="CQ510" s="263"/>
      <c r="CR510" s="261"/>
      <c r="CS510" s="262"/>
      <c r="CU510" s="263"/>
      <c r="CV510" s="261"/>
      <c r="CW510" s="262"/>
      <c r="CY510" s="263"/>
      <c r="CZ510" s="261"/>
      <c r="DA510" s="262"/>
      <c r="DC510" s="263"/>
      <c r="DD510" s="261"/>
      <c r="DF510" s="261"/>
      <c r="DI510" s="262"/>
      <c r="DJ510" s="261"/>
      <c r="DK510" s="263"/>
      <c r="DL510" s="263"/>
      <c r="DN510" s="261"/>
      <c r="DP510" s="261"/>
      <c r="DR510" s="261"/>
      <c r="DT510" s="261"/>
      <c r="DV510" s="261"/>
      <c r="DX510" s="261"/>
      <c r="DZ510" s="261"/>
      <c r="EB510" s="261"/>
      <c r="ED510" s="261"/>
      <c r="EF510" s="261"/>
    </row>
    <row r="511" spans="1:136" s="260" customFormat="1" ht="15" customHeight="1">
      <c r="A511" s="122"/>
      <c r="B511" s="122"/>
      <c r="C511" s="259"/>
      <c r="F511" s="261"/>
      <c r="H511" s="261"/>
      <c r="I511" s="261"/>
      <c r="J511" s="261"/>
      <c r="K511" s="261"/>
      <c r="M511" s="261"/>
      <c r="O511" s="261"/>
      <c r="P511" s="261"/>
      <c r="Q511" s="261"/>
      <c r="R511" s="261"/>
      <c r="S511" s="261"/>
      <c r="T511" s="261"/>
      <c r="V511" s="261"/>
      <c r="W511" s="262"/>
      <c r="Y511" s="263"/>
      <c r="Z511" s="261"/>
      <c r="AA511" s="262"/>
      <c r="AC511" s="263"/>
      <c r="AD511" s="261"/>
      <c r="AE511" s="262"/>
      <c r="AG511" s="263"/>
      <c r="AH511" s="261"/>
      <c r="AI511" s="262"/>
      <c r="AK511" s="263"/>
      <c r="AL511" s="261"/>
      <c r="AM511" s="262"/>
      <c r="AO511" s="263"/>
      <c r="AP511" s="261"/>
      <c r="AQ511" s="262"/>
      <c r="AS511" s="263"/>
      <c r="AT511" s="261"/>
      <c r="AU511" s="262"/>
      <c r="AW511" s="263"/>
      <c r="AX511" s="261"/>
      <c r="AY511" s="262"/>
      <c r="BA511" s="263"/>
      <c r="BB511" s="261"/>
      <c r="BC511" s="262"/>
      <c r="BE511" s="263"/>
      <c r="BF511" s="261"/>
      <c r="BG511" s="262"/>
      <c r="BI511" s="263"/>
      <c r="BJ511" s="261"/>
      <c r="BL511" s="261"/>
      <c r="BO511" s="261"/>
      <c r="BP511" s="261"/>
      <c r="BQ511" s="262"/>
      <c r="BS511" s="263"/>
      <c r="BT511" s="261"/>
      <c r="BU511" s="262"/>
      <c r="BW511" s="263"/>
      <c r="BX511" s="261"/>
      <c r="BY511" s="262"/>
      <c r="CA511" s="263"/>
      <c r="CB511" s="261"/>
      <c r="CC511" s="262"/>
      <c r="CE511" s="263"/>
      <c r="CF511" s="261"/>
      <c r="CG511" s="262"/>
      <c r="CI511" s="263"/>
      <c r="CJ511" s="261"/>
      <c r="CK511" s="262"/>
      <c r="CM511" s="263"/>
      <c r="CN511" s="261"/>
      <c r="CO511" s="262"/>
      <c r="CQ511" s="263"/>
      <c r="CR511" s="261"/>
      <c r="CS511" s="262"/>
      <c r="CU511" s="263"/>
      <c r="CV511" s="261"/>
      <c r="CW511" s="262"/>
      <c r="CY511" s="263"/>
      <c r="CZ511" s="261"/>
      <c r="DA511" s="262"/>
      <c r="DC511" s="263"/>
      <c r="DD511" s="261"/>
      <c r="DF511" s="261"/>
      <c r="DI511" s="262"/>
      <c r="DJ511" s="261"/>
      <c r="DK511" s="263"/>
      <c r="DL511" s="263"/>
      <c r="DN511" s="261"/>
      <c r="DP511" s="261"/>
      <c r="DR511" s="261"/>
      <c r="DT511" s="261"/>
      <c r="DV511" s="261"/>
      <c r="DX511" s="261"/>
      <c r="DZ511" s="261"/>
      <c r="EB511" s="261"/>
      <c r="ED511" s="261"/>
      <c r="EF511" s="261"/>
    </row>
    <row r="512" spans="1:136" s="260" customFormat="1" ht="15" customHeight="1">
      <c r="A512" s="122"/>
      <c r="B512" s="122"/>
      <c r="C512" s="259"/>
      <c r="F512" s="261"/>
      <c r="H512" s="261"/>
      <c r="I512" s="261"/>
      <c r="J512" s="261"/>
      <c r="K512" s="261"/>
      <c r="M512" s="261"/>
      <c r="O512" s="261"/>
      <c r="P512" s="261"/>
      <c r="Q512" s="261"/>
      <c r="R512" s="261"/>
      <c r="S512" s="261"/>
      <c r="T512" s="261"/>
      <c r="V512" s="261"/>
      <c r="W512" s="262"/>
      <c r="Y512" s="263"/>
      <c r="Z512" s="261"/>
      <c r="AA512" s="262"/>
      <c r="AC512" s="263"/>
      <c r="AD512" s="261"/>
      <c r="AE512" s="262"/>
      <c r="AG512" s="263"/>
      <c r="AH512" s="261"/>
      <c r="AI512" s="262"/>
      <c r="AK512" s="263"/>
      <c r="AL512" s="261"/>
      <c r="AM512" s="262"/>
      <c r="AO512" s="263"/>
      <c r="AP512" s="261"/>
      <c r="AQ512" s="262"/>
      <c r="AS512" s="263"/>
      <c r="AT512" s="261"/>
      <c r="AU512" s="262"/>
      <c r="AW512" s="263"/>
      <c r="AX512" s="261"/>
      <c r="AY512" s="262"/>
      <c r="BA512" s="263"/>
      <c r="BB512" s="261"/>
      <c r="BC512" s="262"/>
      <c r="BE512" s="263"/>
      <c r="BF512" s="261"/>
      <c r="BG512" s="262"/>
      <c r="BI512" s="263"/>
      <c r="BJ512" s="261"/>
      <c r="BL512" s="261"/>
      <c r="BO512" s="261"/>
      <c r="BP512" s="261"/>
      <c r="BQ512" s="262"/>
      <c r="BS512" s="263"/>
      <c r="BT512" s="261"/>
      <c r="BU512" s="262"/>
      <c r="BW512" s="263"/>
      <c r="BX512" s="261"/>
      <c r="BY512" s="262"/>
      <c r="CA512" s="263"/>
      <c r="CB512" s="261"/>
      <c r="CC512" s="262"/>
      <c r="CE512" s="263"/>
      <c r="CF512" s="261"/>
      <c r="CG512" s="262"/>
      <c r="CI512" s="263"/>
      <c r="CJ512" s="261"/>
      <c r="CK512" s="262"/>
      <c r="CM512" s="263"/>
      <c r="CN512" s="261"/>
      <c r="CO512" s="262"/>
      <c r="CQ512" s="263"/>
      <c r="CR512" s="261"/>
      <c r="CS512" s="262"/>
      <c r="CU512" s="263"/>
      <c r="CV512" s="261"/>
      <c r="CW512" s="262"/>
      <c r="CY512" s="263"/>
      <c r="CZ512" s="261"/>
      <c r="DA512" s="262"/>
      <c r="DC512" s="263"/>
      <c r="DD512" s="261"/>
      <c r="DF512" s="261"/>
      <c r="DI512" s="262"/>
      <c r="DJ512" s="261"/>
      <c r="DK512" s="263"/>
      <c r="DL512" s="263"/>
      <c r="DN512" s="261"/>
      <c r="DP512" s="261"/>
      <c r="DR512" s="261"/>
      <c r="DT512" s="261"/>
      <c r="DV512" s="261"/>
      <c r="DX512" s="261"/>
      <c r="DZ512" s="261"/>
      <c r="EB512" s="261"/>
      <c r="ED512" s="261"/>
      <c r="EF512" s="261"/>
    </row>
    <row r="513" spans="1:136" s="260" customFormat="1" ht="15" customHeight="1">
      <c r="A513" s="122"/>
      <c r="B513" s="122"/>
      <c r="C513" s="259"/>
      <c r="F513" s="261"/>
      <c r="H513" s="261"/>
      <c r="I513" s="261"/>
      <c r="J513" s="261"/>
      <c r="K513" s="261"/>
      <c r="M513" s="261"/>
      <c r="O513" s="261"/>
      <c r="P513" s="261"/>
      <c r="Q513" s="261"/>
      <c r="R513" s="261"/>
      <c r="S513" s="261"/>
      <c r="T513" s="261"/>
      <c r="V513" s="261"/>
      <c r="W513" s="262"/>
      <c r="Y513" s="263"/>
      <c r="Z513" s="261"/>
      <c r="AA513" s="262"/>
      <c r="AC513" s="263"/>
      <c r="AD513" s="261"/>
      <c r="AE513" s="262"/>
      <c r="AG513" s="263"/>
      <c r="AH513" s="261"/>
      <c r="AI513" s="262"/>
      <c r="AK513" s="263"/>
      <c r="AL513" s="261"/>
      <c r="AM513" s="262"/>
      <c r="AO513" s="263"/>
      <c r="AP513" s="261"/>
      <c r="AQ513" s="262"/>
      <c r="AS513" s="263"/>
      <c r="AT513" s="261"/>
      <c r="AU513" s="262"/>
      <c r="AW513" s="263"/>
      <c r="AX513" s="261"/>
      <c r="AY513" s="262"/>
      <c r="BA513" s="263"/>
      <c r="BB513" s="261"/>
      <c r="BC513" s="262"/>
      <c r="BE513" s="263"/>
      <c r="BF513" s="261"/>
      <c r="BG513" s="262"/>
      <c r="BI513" s="263"/>
      <c r="BJ513" s="261"/>
      <c r="BL513" s="261"/>
      <c r="BO513" s="261"/>
      <c r="BP513" s="261"/>
      <c r="BQ513" s="262"/>
      <c r="BS513" s="263"/>
      <c r="BT513" s="261"/>
      <c r="BU513" s="262"/>
      <c r="BW513" s="263"/>
      <c r="BX513" s="261"/>
      <c r="BY513" s="262"/>
      <c r="CA513" s="263"/>
      <c r="CB513" s="261"/>
      <c r="CC513" s="262"/>
      <c r="CE513" s="263"/>
      <c r="CF513" s="261"/>
      <c r="CG513" s="262"/>
      <c r="CI513" s="263"/>
      <c r="CJ513" s="261"/>
      <c r="CK513" s="262"/>
      <c r="CM513" s="263"/>
      <c r="CN513" s="261"/>
      <c r="CO513" s="262"/>
      <c r="CQ513" s="263"/>
      <c r="CR513" s="261"/>
      <c r="CS513" s="262"/>
      <c r="CU513" s="263"/>
      <c r="CV513" s="261"/>
      <c r="CW513" s="262"/>
      <c r="CY513" s="263"/>
      <c r="CZ513" s="261"/>
      <c r="DA513" s="262"/>
      <c r="DC513" s="263"/>
      <c r="DD513" s="261"/>
      <c r="DF513" s="261"/>
      <c r="DI513" s="262"/>
      <c r="DJ513" s="261"/>
      <c r="DK513" s="263"/>
      <c r="DL513" s="263"/>
      <c r="DN513" s="261"/>
      <c r="DP513" s="261"/>
      <c r="DR513" s="261"/>
      <c r="DT513" s="261"/>
      <c r="DV513" s="261"/>
      <c r="DX513" s="261"/>
      <c r="DZ513" s="261"/>
      <c r="EB513" s="261"/>
      <c r="ED513" s="261"/>
      <c r="EF513" s="261"/>
    </row>
    <row r="514" spans="1:136" s="260" customFormat="1" ht="15" customHeight="1">
      <c r="A514" s="122"/>
      <c r="B514" s="122"/>
      <c r="C514" s="259"/>
      <c r="F514" s="261"/>
      <c r="H514" s="261"/>
      <c r="I514" s="261"/>
      <c r="J514" s="261"/>
      <c r="K514" s="261"/>
      <c r="M514" s="261"/>
      <c r="O514" s="261"/>
      <c r="P514" s="261"/>
      <c r="Q514" s="261"/>
      <c r="R514" s="261"/>
      <c r="S514" s="261"/>
      <c r="T514" s="261"/>
      <c r="V514" s="261"/>
      <c r="W514" s="262"/>
      <c r="Y514" s="263"/>
      <c r="Z514" s="261"/>
      <c r="AA514" s="262"/>
      <c r="AC514" s="263"/>
      <c r="AD514" s="261"/>
      <c r="AE514" s="262"/>
      <c r="AG514" s="263"/>
      <c r="AH514" s="261"/>
      <c r="AI514" s="262"/>
      <c r="AK514" s="263"/>
      <c r="AL514" s="261"/>
      <c r="AM514" s="262"/>
      <c r="AO514" s="263"/>
      <c r="AP514" s="261"/>
      <c r="AQ514" s="262"/>
      <c r="AS514" s="263"/>
      <c r="AT514" s="261"/>
      <c r="AU514" s="262"/>
      <c r="AW514" s="263"/>
      <c r="AX514" s="261"/>
      <c r="AY514" s="262"/>
      <c r="BA514" s="263"/>
      <c r="BB514" s="261"/>
      <c r="BC514" s="262"/>
      <c r="BE514" s="263"/>
      <c r="BF514" s="261"/>
      <c r="BG514" s="262"/>
      <c r="BI514" s="263"/>
      <c r="BJ514" s="261"/>
      <c r="BL514" s="261"/>
      <c r="BO514" s="261"/>
      <c r="BP514" s="261"/>
      <c r="BQ514" s="262"/>
      <c r="BS514" s="263"/>
      <c r="BT514" s="261"/>
      <c r="BU514" s="262"/>
      <c r="BW514" s="263"/>
      <c r="BX514" s="261"/>
      <c r="BY514" s="262"/>
      <c r="CA514" s="263"/>
      <c r="CB514" s="261"/>
      <c r="CC514" s="262"/>
      <c r="CE514" s="263"/>
      <c r="CF514" s="261"/>
      <c r="CG514" s="262"/>
      <c r="CI514" s="263"/>
      <c r="CJ514" s="261"/>
      <c r="CK514" s="262"/>
      <c r="CM514" s="263"/>
      <c r="CN514" s="261"/>
      <c r="CO514" s="262"/>
      <c r="CQ514" s="263"/>
      <c r="CR514" s="261"/>
      <c r="CS514" s="262"/>
      <c r="CU514" s="263"/>
      <c r="CV514" s="261"/>
      <c r="CW514" s="262"/>
      <c r="CY514" s="263"/>
      <c r="CZ514" s="261"/>
      <c r="DA514" s="262"/>
      <c r="DC514" s="263"/>
      <c r="DD514" s="261"/>
      <c r="DF514" s="261"/>
      <c r="DI514" s="262"/>
      <c r="DJ514" s="261"/>
      <c r="DK514" s="263"/>
      <c r="DL514" s="263"/>
      <c r="DN514" s="261"/>
      <c r="DP514" s="261"/>
      <c r="DR514" s="261"/>
      <c r="DT514" s="261"/>
      <c r="DV514" s="261"/>
      <c r="DX514" s="261"/>
      <c r="DZ514" s="261"/>
      <c r="EB514" s="261"/>
      <c r="ED514" s="261"/>
      <c r="EF514" s="261"/>
    </row>
  </sheetData>
  <mergeCells count="14">
    <mergeCell ref="Q2:Q3"/>
    <mergeCell ref="R2:R3"/>
    <mergeCell ref="G1:G3"/>
    <mergeCell ref="N1:N3"/>
    <mergeCell ref="M2:M3"/>
    <mergeCell ref="O2:O3"/>
    <mergeCell ref="K2:K3"/>
    <mergeCell ref="L2:L3"/>
    <mergeCell ref="I2:I3"/>
    <mergeCell ref="P2:P3"/>
    <mergeCell ref="F2:F3"/>
    <mergeCell ref="H2:H3"/>
    <mergeCell ref="J2:J3"/>
    <mergeCell ref="E2:E3"/>
  </mergeCells>
  <printOptions/>
  <pageMargins left="0.32" right="0.33" top="0.5" bottom="0.5" header="0.5" footer="0.5"/>
  <pageSetup fitToWidth="2"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T498"/>
  <sheetViews>
    <sheetView showGridLines="0" showZeros="0" zoomScale="75" zoomScaleNormal="75" zoomScaleSheetLayoutView="75" workbookViewId="0" topLeftCell="A1">
      <pane xSplit="2" ySplit="5" topLeftCell="C78" activePane="bottomRight" state="frozen"/>
      <selection pane="topLeft" activeCell="A1" sqref="A1"/>
      <selection pane="topRight" activeCell="C1" sqref="C1"/>
      <selection pane="bottomLeft" activeCell="A6" sqref="A6"/>
      <selection pane="bottomRight" activeCell="F85" sqref="F85"/>
    </sheetView>
  </sheetViews>
  <sheetFormatPr defaultColWidth="9.140625" defaultRowHeight="12.75"/>
  <cols>
    <col min="1" max="1" width="4.7109375" style="145" customWidth="1"/>
    <col min="2" max="2" width="15.140625" style="0" customWidth="1"/>
    <col min="3" max="9" width="10.421875" style="7" customWidth="1"/>
    <col min="10" max="10" width="15.421875" style="7" customWidth="1"/>
    <col min="11" max="13" width="10.00390625" style="7" customWidth="1"/>
    <col min="14" max="14" width="10.00390625" style="0" customWidth="1"/>
    <col min="15" max="15" width="14.8515625" style="0" customWidth="1"/>
    <col min="16" max="17" width="10.00390625" style="0" customWidth="1"/>
    <col min="18" max="18" width="14.8515625" style="141" customWidth="1"/>
    <col min="19" max="19" width="11.57421875" style="141" customWidth="1"/>
    <col min="20" max="20" width="10.57421875" style="0" bestFit="1" customWidth="1"/>
  </cols>
  <sheetData>
    <row r="1" spans="3:19" s="11" customFormat="1" ht="12.75">
      <c r="C1" s="150"/>
      <c r="D1" s="150"/>
      <c r="E1" s="150"/>
      <c r="F1" s="150"/>
      <c r="G1" s="150"/>
      <c r="H1" s="150"/>
      <c r="I1" s="151"/>
      <c r="J1" s="150"/>
      <c r="K1" s="150"/>
      <c r="L1" s="150"/>
      <c r="M1" s="150"/>
      <c r="R1" s="120"/>
      <c r="S1" s="120"/>
    </row>
    <row r="2" spans="3:19" s="11" customFormat="1" ht="12.75">
      <c r="C2" s="150"/>
      <c r="D2" s="150"/>
      <c r="E2" s="150"/>
      <c r="F2" s="150"/>
      <c r="G2" s="150"/>
      <c r="H2" s="150"/>
      <c r="I2" s="150"/>
      <c r="J2" s="150"/>
      <c r="K2" s="150"/>
      <c r="L2" s="150"/>
      <c r="M2" s="150"/>
      <c r="R2" s="120"/>
      <c r="S2" s="120"/>
    </row>
    <row r="3" spans="1:20" s="11" customFormat="1" ht="12.75">
      <c r="A3" s="158"/>
      <c r="B3" s="159"/>
      <c r="C3" s="175" t="s">
        <v>171</v>
      </c>
      <c r="D3" s="161" t="s">
        <v>133</v>
      </c>
      <c r="E3" s="162"/>
      <c r="F3" s="162"/>
      <c r="G3" s="162"/>
      <c r="H3" s="162"/>
      <c r="I3" s="162"/>
      <c r="J3" s="162"/>
      <c r="K3" s="162"/>
      <c r="L3" s="162"/>
      <c r="M3" s="162"/>
      <c r="N3" s="162"/>
      <c r="O3" s="162"/>
      <c r="P3" s="162"/>
      <c r="Q3" s="162"/>
      <c r="R3" s="162"/>
      <c r="S3" s="163"/>
      <c r="T3"/>
    </row>
    <row r="4" spans="1:20" s="146" customFormat="1" ht="12.75">
      <c r="A4" s="158"/>
      <c r="B4" s="159"/>
      <c r="C4" s="4" t="s">
        <v>167</v>
      </c>
      <c r="D4" s="5"/>
      <c r="E4" s="5"/>
      <c r="F4" s="5"/>
      <c r="G4" s="5"/>
      <c r="H4" s="5"/>
      <c r="I4" s="5"/>
      <c r="J4" s="4" t="s">
        <v>563</v>
      </c>
      <c r="K4" s="4" t="s">
        <v>172</v>
      </c>
      <c r="L4" s="5"/>
      <c r="M4" s="5"/>
      <c r="N4" s="5"/>
      <c r="O4" s="4" t="s">
        <v>564</v>
      </c>
      <c r="P4" s="4" t="s">
        <v>533</v>
      </c>
      <c r="Q4" s="5"/>
      <c r="R4" s="4" t="s">
        <v>565</v>
      </c>
      <c r="S4" s="164" t="s">
        <v>560</v>
      </c>
      <c r="T4"/>
    </row>
    <row r="5" spans="1:20" s="11" customFormat="1" ht="12.75">
      <c r="A5" s="160" t="s">
        <v>3</v>
      </c>
      <c r="B5" s="160" t="s">
        <v>146</v>
      </c>
      <c r="C5" s="177">
        <v>1</v>
      </c>
      <c r="D5" s="178">
        <v>2</v>
      </c>
      <c r="E5" s="178">
        <v>3</v>
      </c>
      <c r="F5" s="178">
        <v>4</v>
      </c>
      <c r="G5" s="178">
        <v>5</v>
      </c>
      <c r="H5" s="178">
        <v>6</v>
      </c>
      <c r="I5" s="178">
        <v>15</v>
      </c>
      <c r="J5" s="176"/>
      <c r="K5" s="177">
        <v>7</v>
      </c>
      <c r="L5" s="178">
        <v>8</v>
      </c>
      <c r="M5" s="178">
        <v>9</v>
      </c>
      <c r="N5" s="178">
        <v>10</v>
      </c>
      <c r="O5" s="176"/>
      <c r="P5" s="177">
        <v>12</v>
      </c>
      <c r="Q5" s="178">
        <v>13</v>
      </c>
      <c r="R5" s="176"/>
      <c r="S5" s="165"/>
      <c r="T5"/>
    </row>
    <row r="6" spans="1:20" s="144" customFormat="1" ht="12.75">
      <c r="A6" s="155" t="s">
        <v>280</v>
      </c>
      <c r="B6" s="183" t="s">
        <v>147</v>
      </c>
      <c r="C6" s="13">
        <v>0</v>
      </c>
      <c r="D6" s="14">
        <v>0</v>
      </c>
      <c r="E6" s="14">
        <v>0</v>
      </c>
      <c r="F6" s="14">
        <v>0</v>
      </c>
      <c r="G6" s="14">
        <v>0</v>
      </c>
      <c r="H6" s="14">
        <v>0</v>
      </c>
      <c r="I6" s="14">
        <v>0</v>
      </c>
      <c r="J6" s="13">
        <v>0</v>
      </c>
      <c r="K6" s="13">
        <v>0</v>
      </c>
      <c r="L6" s="14">
        <v>0</v>
      </c>
      <c r="M6" s="14">
        <v>0</v>
      </c>
      <c r="N6" s="14">
        <v>0</v>
      </c>
      <c r="O6" s="13">
        <v>0</v>
      </c>
      <c r="P6" s="13">
        <v>0</v>
      </c>
      <c r="Q6" s="14">
        <v>0</v>
      </c>
      <c r="R6" s="13">
        <v>0</v>
      </c>
      <c r="S6" s="164">
        <v>0</v>
      </c>
      <c r="T6"/>
    </row>
    <row r="7" spans="1:19" ht="12.75">
      <c r="A7" s="156"/>
      <c r="B7" s="135" t="s">
        <v>149</v>
      </c>
      <c r="C7" s="16">
        <v>0</v>
      </c>
      <c r="D7" s="17">
        <v>0</v>
      </c>
      <c r="E7" s="17">
        <v>0</v>
      </c>
      <c r="F7" s="17">
        <v>0</v>
      </c>
      <c r="G7" s="17">
        <v>0</v>
      </c>
      <c r="H7" s="17">
        <v>0</v>
      </c>
      <c r="I7" s="17">
        <v>0</v>
      </c>
      <c r="J7" s="16">
        <v>0</v>
      </c>
      <c r="K7" s="16">
        <v>0</v>
      </c>
      <c r="L7" s="17">
        <v>0</v>
      </c>
      <c r="M7" s="17">
        <v>0</v>
      </c>
      <c r="N7" s="17">
        <v>0</v>
      </c>
      <c r="O7" s="16">
        <v>0</v>
      </c>
      <c r="P7" s="16">
        <v>0</v>
      </c>
      <c r="Q7" s="17">
        <v>0</v>
      </c>
      <c r="R7" s="16">
        <v>0</v>
      </c>
      <c r="S7" s="18">
        <v>0</v>
      </c>
    </row>
    <row r="8" spans="1:19" ht="12.75">
      <c r="A8" s="156"/>
      <c r="B8" s="135" t="s">
        <v>151</v>
      </c>
      <c r="C8" s="16">
        <v>0</v>
      </c>
      <c r="D8" s="17">
        <v>0</v>
      </c>
      <c r="E8" s="17">
        <v>0</v>
      </c>
      <c r="F8" s="17">
        <v>0</v>
      </c>
      <c r="G8" s="17">
        <v>0</v>
      </c>
      <c r="H8" s="17">
        <v>0</v>
      </c>
      <c r="I8" s="17">
        <v>0</v>
      </c>
      <c r="J8" s="16">
        <v>0</v>
      </c>
      <c r="K8" s="16">
        <v>0</v>
      </c>
      <c r="L8" s="17">
        <v>0</v>
      </c>
      <c r="M8" s="17">
        <v>0</v>
      </c>
      <c r="N8" s="17">
        <v>0</v>
      </c>
      <c r="O8" s="16">
        <v>0</v>
      </c>
      <c r="P8" s="16">
        <v>0</v>
      </c>
      <c r="Q8" s="17">
        <v>0</v>
      </c>
      <c r="R8" s="16">
        <v>0</v>
      </c>
      <c r="S8" s="18">
        <v>0</v>
      </c>
    </row>
    <row r="9" spans="1:19" ht="12.75">
      <c r="A9" s="156"/>
      <c r="B9" s="135" t="s">
        <v>613</v>
      </c>
      <c r="C9" s="16">
        <v>0</v>
      </c>
      <c r="D9" s="17">
        <v>0</v>
      </c>
      <c r="E9" s="17">
        <v>0</v>
      </c>
      <c r="F9" s="17">
        <v>0</v>
      </c>
      <c r="G9" s="17">
        <v>0</v>
      </c>
      <c r="H9" s="17">
        <v>0</v>
      </c>
      <c r="I9" s="17">
        <v>0</v>
      </c>
      <c r="J9" s="16">
        <v>0</v>
      </c>
      <c r="K9" s="16">
        <v>0</v>
      </c>
      <c r="L9" s="17">
        <v>0</v>
      </c>
      <c r="M9" s="17">
        <v>0</v>
      </c>
      <c r="N9" s="17">
        <v>0</v>
      </c>
      <c r="O9" s="16">
        <v>0</v>
      </c>
      <c r="P9" s="16">
        <v>0</v>
      </c>
      <c r="Q9" s="17">
        <v>0</v>
      </c>
      <c r="R9" s="16">
        <v>0</v>
      </c>
      <c r="S9" s="18">
        <v>0</v>
      </c>
    </row>
    <row r="10" spans="1:19" ht="12.75">
      <c r="A10" s="156"/>
      <c r="B10" s="136" t="s">
        <v>153</v>
      </c>
      <c r="C10" s="16">
        <v>0</v>
      </c>
      <c r="D10" s="17">
        <v>0</v>
      </c>
      <c r="E10" s="17">
        <v>0</v>
      </c>
      <c r="F10" s="17">
        <v>0</v>
      </c>
      <c r="G10" s="17">
        <v>0</v>
      </c>
      <c r="H10" s="17">
        <v>0</v>
      </c>
      <c r="I10" s="17">
        <v>0</v>
      </c>
      <c r="J10" s="16">
        <v>0</v>
      </c>
      <c r="K10" s="16">
        <v>0</v>
      </c>
      <c r="L10" s="17">
        <v>0</v>
      </c>
      <c r="M10" s="17">
        <v>0</v>
      </c>
      <c r="N10" s="17">
        <v>0</v>
      </c>
      <c r="O10" s="16">
        <v>0</v>
      </c>
      <c r="P10" s="16">
        <v>0</v>
      </c>
      <c r="Q10" s="17">
        <v>0</v>
      </c>
      <c r="R10" s="16">
        <v>0</v>
      </c>
      <c r="S10" s="18">
        <v>0</v>
      </c>
    </row>
    <row r="11" spans="1:19" ht="12.75">
      <c r="A11" s="156"/>
      <c r="B11" s="136" t="s">
        <v>155</v>
      </c>
      <c r="C11" s="16">
        <v>0</v>
      </c>
      <c r="D11" s="17">
        <v>0</v>
      </c>
      <c r="E11" s="17">
        <v>0</v>
      </c>
      <c r="F11" s="17">
        <v>0</v>
      </c>
      <c r="G11" s="17">
        <v>0</v>
      </c>
      <c r="H11" s="17">
        <v>0</v>
      </c>
      <c r="I11" s="17">
        <v>0</v>
      </c>
      <c r="J11" s="16">
        <v>0</v>
      </c>
      <c r="K11" s="16">
        <v>0</v>
      </c>
      <c r="L11" s="17">
        <v>0</v>
      </c>
      <c r="M11" s="17">
        <v>0</v>
      </c>
      <c r="N11" s="17">
        <v>0</v>
      </c>
      <c r="O11" s="16">
        <v>0</v>
      </c>
      <c r="P11" s="16">
        <v>0</v>
      </c>
      <c r="Q11" s="17">
        <v>0</v>
      </c>
      <c r="R11" s="16">
        <v>0</v>
      </c>
      <c r="S11" s="18">
        <v>0</v>
      </c>
    </row>
    <row r="12" spans="1:19" ht="12.75">
      <c r="A12" s="156"/>
      <c r="B12" s="136" t="s">
        <v>157</v>
      </c>
      <c r="C12" s="16">
        <v>0</v>
      </c>
      <c r="D12" s="17">
        <v>0</v>
      </c>
      <c r="E12" s="17">
        <v>0</v>
      </c>
      <c r="F12" s="17">
        <v>0</v>
      </c>
      <c r="G12" s="17">
        <v>0</v>
      </c>
      <c r="H12" s="17">
        <v>0</v>
      </c>
      <c r="I12" s="17">
        <v>0</v>
      </c>
      <c r="J12" s="16">
        <v>0</v>
      </c>
      <c r="K12" s="16">
        <v>0</v>
      </c>
      <c r="L12" s="17">
        <v>0</v>
      </c>
      <c r="M12" s="17">
        <v>0</v>
      </c>
      <c r="N12" s="17">
        <v>0</v>
      </c>
      <c r="O12" s="16">
        <v>0</v>
      </c>
      <c r="P12" s="16">
        <v>0</v>
      </c>
      <c r="Q12" s="17">
        <v>0</v>
      </c>
      <c r="R12" s="16">
        <v>0</v>
      </c>
      <c r="S12" s="18">
        <v>0</v>
      </c>
    </row>
    <row r="13" spans="1:19" ht="12.75">
      <c r="A13" s="156"/>
      <c r="B13" s="136" t="s">
        <v>159</v>
      </c>
      <c r="C13" s="16">
        <v>0</v>
      </c>
      <c r="D13" s="17">
        <v>0</v>
      </c>
      <c r="E13" s="17">
        <v>0</v>
      </c>
      <c r="F13" s="17">
        <v>0</v>
      </c>
      <c r="G13" s="17">
        <v>0</v>
      </c>
      <c r="H13" s="17">
        <v>0</v>
      </c>
      <c r="I13" s="17">
        <v>0</v>
      </c>
      <c r="J13" s="16">
        <v>0</v>
      </c>
      <c r="K13" s="16">
        <v>0</v>
      </c>
      <c r="L13" s="17">
        <v>0</v>
      </c>
      <c r="M13" s="17">
        <v>0</v>
      </c>
      <c r="N13" s="17">
        <v>0</v>
      </c>
      <c r="O13" s="16">
        <v>0</v>
      </c>
      <c r="P13" s="16">
        <v>0</v>
      </c>
      <c r="Q13" s="17">
        <v>0</v>
      </c>
      <c r="R13" s="16">
        <v>0</v>
      </c>
      <c r="S13" s="18">
        <v>0</v>
      </c>
    </row>
    <row r="14" spans="1:19" ht="12.75">
      <c r="A14" s="156"/>
      <c r="B14" s="136" t="s">
        <v>161</v>
      </c>
      <c r="C14" s="16">
        <v>0</v>
      </c>
      <c r="D14" s="17">
        <v>0</v>
      </c>
      <c r="E14" s="17">
        <v>0</v>
      </c>
      <c r="F14" s="17">
        <v>0</v>
      </c>
      <c r="G14" s="17">
        <v>0</v>
      </c>
      <c r="H14" s="17">
        <v>0</v>
      </c>
      <c r="I14" s="17">
        <v>0</v>
      </c>
      <c r="J14" s="16">
        <v>0</v>
      </c>
      <c r="K14" s="16">
        <v>0</v>
      </c>
      <c r="L14" s="17">
        <v>0</v>
      </c>
      <c r="M14" s="17">
        <v>0</v>
      </c>
      <c r="N14" s="17">
        <v>0</v>
      </c>
      <c r="O14" s="16">
        <v>0</v>
      </c>
      <c r="P14" s="16">
        <v>0</v>
      </c>
      <c r="Q14" s="17">
        <v>0</v>
      </c>
      <c r="R14" s="16">
        <v>0</v>
      </c>
      <c r="S14" s="18">
        <v>0</v>
      </c>
    </row>
    <row r="15" spans="1:19" ht="12.75">
      <c r="A15" s="156"/>
      <c r="B15" s="135" t="s">
        <v>615</v>
      </c>
      <c r="C15" s="16">
        <v>0</v>
      </c>
      <c r="D15" s="17">
        <v>0</v>
      </c>
      <c r="E15" s="17">
        <v>0</v>
      </c>
      <c r="F15" s="17">
        <v>0</v>
      </c>
      <c r="G15" s="17">
        <v>0</v>
      </c>
      <c r="H15" s="17">
        <v>0</v>
      </c>
      <c r="I15" s="17">
        <v>0</v>
      </c>
      <c r="J15" s="16">
        <v>0</v>
      </c>
      <c r="K15" s="16">
        <v>0</v>
      </c>
      <c r="L15" s="17">
        <v>0</v>
      </c>
      <c r="M15" s="17">
        <v>0</v>
      </c>
      <c r="N15" s="17">
        <v>0</v>
      </c>
      <c r="O15" s="16">
        <v>0</v>
      </c>
      <c r="P15" s="16">
        <v>0</v>
      </c>
      <c r="Q15" s="17">
        <v>0</v>
      </c>
      <c r="R15" s="16">
        <v>0</v>
      </c>
      <c r="S15" s="18">
        <v>0</v>
      </c>
    </row>
    <row r="16" spans="1:20" s="1" customFormat="1" ht="12.75">
      <c r="A16" s="156"/>
      <c r="B16" s="136" t="s">
        <v>163</v>
      </c>
      <c r="C16" s="16">
        <v>0</v>
      </c>
      <c r="D16" s="17">
        <v>0</v>
      </c>
      <c r="E16" s="17">
        <v>0</v>
      </c>
      <c r="F16" s="17">
        <v>0</v>
      </c>
      <c r="G16" s="17">
        <v>0</v>
      </c>
      <c r="H16" s="17">
        <v>0</v>
      </c>
      <c r="I16" s="17">
        <v>0</v>
      </c>
      <c r="J16" s="16">
        <v>0</v>
      </c>
      <c r="K16" s="16">
        <v>0</v>
      </c>
      <c r="L16" s="17">
        <v>0</v>
      </c>
      <c r="M16" s="17">
        <v>0</v>
      </c>
      <c r="N16" s="17">
        <v>0</v>
      </c>
      <c r="O16" s="16">
        <v>0</v>
      </c>
      <c r="P16" s="16">
        <v>0</v>
      </c>
      <c r="Q16" s="17">
        <v>0</v>
      </c>
      <c r="R16" s="16">
        <v>0</v>
      </c>
      <c r="S16" s="18">
        <v>0</v>
      </c>
      <c r="T16"/>
    </row>
    <row r="17" spans="1:20" s="1" customFormat="1" ht="12.75">
      <c r="A17" s="265"/>
      <c r="B17" s="137" t="s">
        <v>165</v>
      </c>
      <c r="C17" s="138">
        <v>0</v>
      </c>
      <c r="D17" s="139">
        <v>0</v>
      </c>
      <c r="E17" s="139">
        <v>0</v>
      </c>
      <c r="F17" s="139">
        <v>0</v>
      </c>
      <c r="G17" s="139">
        <v>0</v>
      </c>
      <c r="H17" s="139">
        <v>0</v>
      </c>
      <c r="I17" s="139">
        <v>0</v>
      </c>
      <c r="J17" s="138">
        <v>0</v>
      </c>
      <c r="K17" s="138">
        <v>0</v>
      </c>
      <c r="L17" s="139">
        <v>0</v>
      </c>
      <c r="M17" s="139">
        <v>0</v>
      </c>
      <c r="N17" s="139">
        <v>0</v>
      </c>
      <c r="O17" s="138">
        <v>0</v>
      </c>
      <c r="P17" s="138">
        <v>0</v>
      </c>
      <c r="Q17" s="139">
        <v>0</v>
      </c>
      <c r="R17" s="138">
        <v>0</v>
      </c>
      <c r="S17" s="140">
        <v>0</v>
      </c>
      <c r="T17"/>
    </row>
    <row r="18" spans="1:19" ht="12.75">
      <c r="A18" s="155" t="s">
        <v>281</v>
      </c>
      <c r="B18" s="4" t="s">
        <v>147</v>
      </c>
      <c r="C18" s="13">
        <v>0</v>
      </c>
      <c r="D18" s="14">
        <v>0.9853581020225465</v>
      </c>
      <c r="E18" s="14">
        <v>0.8954943750674367</v>
      </c>
      <c r="F18" s="14">
        <v>0</v>
      </c>
      <c r="G18" s="14">
        <v>0.9598710630742281</v>
      </c>
      <c r="H18" s="14">
        <v>0.9423122468058586</v>
      </c>
      <c r="I18" s="14">
        <v>0</v>
      </c>
      <c r="J18" s="13">
        <v>0.9351290091958553</v>
      </c>
      <c r="K18" s="13">
        <v>0.9172289174183583</v>
      </c>
      <c r="L18" s="14">
        <v>0</v>
      </c>
      <c r="M18" s="14">
        <v>0.871999615841068</v>
      </c>
      <c r="N18" s="14">
        <v>0.8572096982046217</v>
      </c>
      <c r="O18" s="13">
        <v>0.8691046823208478</v>
      </c>
      <c r="P18" s="13">
        <v>0</v>
      </c>
      <c r="Q18" s="14">
        <v>0</v>
      </c>
      <c r="R18" s="13">
        <v>0</v>
      </c>
      <c r="S18" s="15">
        <v>0.9085730080060999</v>
      </c>
    </row>
    <row r="19" spans="1:19" ht="12.75">
      <c r="A19" s="156"/>
      <c r="B19" s="6" t="s">
        <v>149</v>
      </c>
      <c r="C19" s="16">
        <v>0</v>
      </c>
      <c r="D19" s="17">
        <v>0.008201204330801862</v>
      </c>
      <c r="E19" s="17">
        <v>0.04468854171990618</v>
      </c>
      <c r="F19" s="17">
        <v>0</v>
      </c>
      <c r="G19" s="17">
        <v>0.021458703242489604</v>
      </c>
      <c r="H19" s="17">
        <v>0.03255219694608912</v>
      </c>
      <c r="I19" s="17">
        <v>0</v>
      </c>
      <c r="J19" s="16">
        <v>0.029921766032797423</v>
      </c>
      <c r="K19" s="16">
        <v>0.015942176821182402</v>
      </c>
      <c r="L19" s="17">
        <v>0</v>
      </c>
      <c r="M19" s="17">
        <v>0.0736624752183189</v>
      </c>
      <c r="N19" s="17">
        <v>0.0733720950657837</v>
      </c>
      <c r="O19" s="16">
        <v>0.06598130256461782</v>
      </c>
      <c r="P19" s="16">
        <v>0</v>
      </c>
      <c r="Q19" s="17">
        <v>0</v>
      </c>
      <c r="R19" s="16">
        <v>0</v>
      </c>
      <c r="S19" s="18">
        <v>0.04442546702249333</v>
      </c>
    </row>
    <row r="20" spans="1:20" s="3" customFormat="1" ht="12.75">
      <c r="A20" s="156"/>
      <c r="B20" s="167" t="s">
        <v>151</v>
      </c>
      <c r="C20" s="168">
        <v>0</v>
      </c>
      <c r="D20" s="169">
        <v>0.0008353582380743769</v>
      </c>
      <c r="E20" s="169">
        <v>0.04185903879244254</v>
      </c>
      <c r="F20" s="169">
        <v>0</v>
      </c>
      <c r="G20" s="169">
        <v>0.01820548875674774</v>
      </c>
      <c r="H20" s="169">
        <v>0.011000311623558742</v>
      </c>
      <c r="I20" s="169">
        <v>0</v>
      </c>
      <c r="J20" s="168">
        <v>0.024022489953692275</v>
      </c>
      <c r="K20" s="168">
        <v>0.06628244174693616</v>
      </c>
      <c r="L20" s="169">
        <v>0</v>
      </c>
      <c r="M20" s="169">
        <v>0.044761375563375935</v>
      </c>
      <c r="N20" s="169">
        <v>0.030960414806960504</v>
      </c>
      <c r="O20" s="168">
        <v>0.039369257761293484</v>
      </c>
      <c r="P20" s="168">
        <v>0</v>
      </c>
      <c r="Q20" s="169">
        <v>0</v>
      </c>
      <c r="R20" s="168">
        <v>0</v>
      </c>
      <c r="S20" s="170">
        <v>0.030195196340068623</v>
      </c>
      <c r="T20"/>
    </row>
    <row r="21" spans="1:20" s="3" customFormat="1" ht="12.75">
      <c r="A21" s="156"/>
      <c r="B21" s="6" t="s">
        <v>613</v>
      </c>
      <c r="C21" s="16">
        <v>0</v>
      </c>
      <c r="D21" s="17">
        <v>0.005605335408577251</v>
      </c>
      <c r="E21" s="17">
        <v>0.005335309584249053</v>
      </c>
      <c r="F21" s="17">
        <v>0</v>
      </c>
      <c r="G21" s="17">
        <v>0.0004379327192344817</v>
      </c>
      <c r="H21" s="17">
        <v>0.014135244624493611</v>
      </c>
      <c r="I21" s="17">
        <v>0</v>
      </c>
      <c r="J21" s="16">
        <v>0.005250674590191641</v>
      </c>
      <c r="K21" s="16">
        <v>0.0005464640135231628</v>
      </c>
      <c r="L21" s="17">
        <v>0</v>
      </c>
      <c r="M21" s="17">
        <v>0.0010598670535695912</v>
      </c>
      <c r="N21" s="17">
        <v>0.014007879032734554</v>
      </c>
      <c r="O21" s="16">
        <v>0.008678582498191962</v>
      </c>
      <c r="P21" s="16">
        <v>0</v>
      </c>
      <c r="Q21" s="17">
        <v>0</v>
      </c>
      <c r="R21" s="16">
        <v>0</v>
      </c>
      <c r="S21" s="18">
        <v>0.0066294319481509725</v>
      </c>
      <c r="T21"/>
    </row>
    <row r="22" spans="1:20" s="3" customFormat="1" ht="12.75">
      <c r="A22" s="166"/>
      <c r="B22" s="167" t="s">
        <v>153</v>
      </c>
      <c r="C22" s="168">
        <v>0</v>
      </c>
      <c r="D22" s="169">
        <v>0</v>
      </c>
      <c r="E22" s="169">
        <v>0.012622734835965495</v>
      </c>
      <c r="F22" s="169">
        <v>0</v>
      </c>
      <c r="G22" s="169">
        <v>2.681220730007031E-05</v>
      </c>
      <c r="H22" s="169">
        <v>0</v>
      </c>
      <c r="I22" s="169">
        <v>0</v>
      </c>
      <c r="J22" s="168">
        <v>0.00567606022746333</v>
      </c>
      <c r="K22" s="168">
        <v>0</v>
      </c>
      <c r="L22" s="169">
        <v>0</v>
      </c>
      <c r="M22" s="169">
        <v>0.00851666632366762</v>
      </c>
      <c r="N22" s="169">
        <v>0.02444991288989954</v>
      </c>
      <c r="O22" s="168">
        <v>0.016866174855048904</v>
      </c>
      <c r="P22" s="168">
        <v>0</v>
      </c>
      <c r="Q22" s="169">
        <v>0</v>
      </c>
      <c r="R22" s="168">
        <v>0</v>
      </c>
      <c r="S22" s="170">
        <v>0.01017689668318719</v>
      </c>
      <c r="T22"/>
    </row>
    <row r="23" spans="1:20" s="3" customFormat="1" ht="12.75">
      <c r="A23" s="166"/>
      <c r="B23" s="6" t="s">
        <v>155</v>
      </c>
      <c r="C23" s="16">
        <v>0</v>
      </c>
      <c r="D23" s="17">
        <v>0</v>
      </c>
      <c r="E23" s="17">
        <v>0</v>
      </c>
      <c r="F23" s="17">
        <v>0</v>
      </c>
      <c r="G23" s="17">
        <v>0</v>
      </c>
      <c r="H23" s="17">
        <v>0</v>
      </c>
      <c r="I23" s="17">
        <v>0</v>
      </c>
      <c r="J23" s="16">
        <v>0</v>
      </c>
      <c r="K23" s="16">
        <v>0</v>
      </c>
      <c r="L23" s="17">
        <v>0</v>
      </c>
      <c r="M23" s="17">
        <v>0</v>
      </c>
      <c r="N23" s="17">
        <v>0</v>
      </c>
      <c r="O23" s="16">
        <v>0</v>
      </c>
      <c r="P23" s="16">
        <v>0</v>
      </c>
      <c r="Q23" s="17">
        <v>0</v>
      </c>
      <c r="R23" s="16">
        <v>0</v>
      </c>
      <c r="S23" s="18">
        <v>0</v>
      </c>
      <c r="T23"/>
    </row>
    <row r="24" spans="1:20" s="3" customFormat="1" ht="12.75">
      <c r="A24" s="166"/>
      <c r="B24" s="6" t="s">
        <v>157</v>
      </c>
      <c r="C24" s="16">
        <v>0</v>
      </c>
      <c r="D24" s="17">
        <v>0.8797612980650676</v>
      </c>
      <c r="E24" s="17">
        <v>0.7315575862773126</v>
      </c>
      <c r="F24" s="17">
        <v>0</v>
      </c>
      <c r="G24" s="17">
        <v>0.7780592462389495</v>
      </c>
      <c r="H24" s="17">
        <v>0.7179540277490164</v>
      </c>
      <c r="I24" s="17">
        <v>0</v>
      </c>
      <c r="J24" s="16">
        <v>0.7918495528089475</v>
      </c>
      <c r="K24" s="16">
        <v>0</v>
      </c>
      <c r="L24" s="17">
        <v>0</v>
      </c>
      <c r="M24" s="17">
        <v>0</v>
      </c>
      <c r="N24" s="17">
        <v>0</v>
      </c>
      <c r="O24" s="16">
        <v>0</v>
      </c>
      <c r="P24" s="16">
        <v>0</v>
      </c>
      <c r="Q24" s="17">
        <v>0</v>
      </c>
      <c r="R24" s="16">
        <v>0</v>
      </c>
      <c r="S24" s="18">
        <v>0.7918495528089475</v>
      </c>
      <c r="T24"/>
    </row>
    <row r="25" spans="1:20" s="3" customFormat="1" ht="12.75">
      <c r="A25" s="166"/>
      <c r="B25" s="6" t="s">
        <v>159</v>
      </c>
      <c r="C25" s="16">
        <v>0</v>
      </c>
      <c r="D25" s="17">
        <v>0.024823686070788605</v>
      </c>
      <c r="E25" s="17">
        <v>0.17379262813967736</v>
      </c>
      <c r="F25" s="17">
        <v>0</v>
      </c>
      <c r="G25" s="17">
        <v>0.17603267331851316</v>
      </c>
      <c r="H25" s="17">
        <v>0.018637399047421826</v>
      </c>
      <c r="I25" s="17">
        <v>0</v>
      </c>
      <c r="J25" s="16">
        <v>0.11399851854572612</v>
      </c>
      <c r="K25" s="16">
        <v>0</v>
      </c>
      <c r="L25" s="17">
        <v>0</v>
      </c>
      <c r="M25" s="17">
        <v>0</v>
      </c>
      <c r="N25" s="17">
        <v>0</v>
      </c>
      <c r="O25" s="16">
        <v>0</v>
      </c>
      <c r="P25" s="16">
        <v>0</v>
      </c>
      <c r="Q25" s="17">
        <v>0</v>
      </c>
      <c r="R25" s="16">
        <v>0</v>
      </c>
      <c r="S25" s="18">
        <v>0.11399851854572612</v>
      </c>
      <c r="T25"/>
    </row>
    <row r="26" spans="1:20" s="3" customFormat="1" ht="12.75">
      <c r="A26" s="166"/>
      <c r="B26" s="6" t="s">
        <v>161</v>
      </c>
      <c r="C26" s="16">
        <v>0</v>
      </c>
      <c r="D26" s="17">
        <v>0.017064229232767264</v>
      </c>
      <c r="E26" s="17">
        <v>0.07227639371043496</v>
      </c>
      <c r="F26" s="17">
        <v>0</v>
      </c>
      <c r="G26" s="17">
        <v>0.03381068086646332</v>
      </c>
      <c r="H26" s="17">
        <v>0.2634085732035618</v>
      </c>
      <c r="I26" s="17">
        <v>0</v>
      </c>
      <c r="J26" s="16">
        <v>0.052812008350015</v>
      </c>
      <c r="K26" s="16">
        <v>0</v>
      </c>
      <c r="L26" s="17">
        <v>0</v>
      </c>
      <c r="M26" s="17">
        <v>0</v>
      </c>
      <c r="N26" s="17">
        <v>0</v>
      </c>
      <c r="O26" s="16">
        <v>0</v>
      </c>
      <c r="P26" s="16">
        <v>0</v>
      </c>
      <c r="Q26" s="17">
        <v>0</v>
      </c>
      <c r="R26" s="16">
        <v>0</v>
      </c>
      <c r="S26" s="18">
        <v>0.052812008350015</v>
      </c>
      <c r="T26"/>
    </row>
    <row r="27" spans="1:20" s="3" customFormat="1" ht="12.75">
      <c r="A27" s="166"/>
      <c r="B27" s="6" t="s">
        <v>615</v>
      </c>
      <c r="C27" s="16">
        <v>0</v>
      </c>
      <c r="D27" s="17">
        <v>0.07835078663137648</v>
      </c>
      <c r="E27" s="17">
        <v>0.019182662854809067</v>
      </c>
      <c r="F27" s="17">
        <v>0</v>
      </c>
      <c r="G27" s="17">
        <v>0.012097399576074032</v>
      </c>
      <c r="H27" s="17">
        <v>0</v>
      </c>
      <c r="I27" s="17">
        <v>0</v>
      </c>
      <c r="J27" s="16">
        <v>0.039809492326434166</v>
      </c>
      <c r="K27" s="16">
        <v>0</v>
      </c>
      <c r="L27" s="17">
        <v>0</v>
      </c>
      <c r="M27" s="17">
        <v>0</v>
      </c>
      <c r="N27" s="17">
        <v>0</v>
      </c>
      <c r="O27" s="16">
        <v>0</v>
      </c>
      <c r="P27" s="16">
        <v>0</v>
      </c>
      <c r="Q27" s="17">
        <v>0</v>
      </c>
      <c r="R27" s="16">
        <v>0</v>
      </c>
      <c r="S27" s="18">
        <v>0.039809492326434166</v>
      </c>
      <c r="T27"/>
    </row>
    <row r="28" spans="1:20" s="3" customFormat="1" ht="12.75">
      <c r="A28" s="166"/>
      <c r="B28" s="6" t="s">
        <v>163</v>
      </c>
      <c r="C28" s="16">
        <v>0</v>
      </c>
      <c r="D28" s="17">
        <v>0</v>
      </c>
      <c r="E28" s="17">
        <v>0.003190729017765979</v>
      </c>
      <c r="F28" s="17">
        <v>0</v>
      </c>
      <c r="G28" s="17">
        <v>0</v>
      </c>
      <c r="H28" s="17">
        <v>0</v>
      </c>
      <c r="I28" s="17">
        <v>0</v>
      </c>
      <c r="J28" s="16">
        <v>0.0015304279688772167</v>
      </c>
      <c r="K28" s="16">
        <v>0</v>
      </c>
      <c r="L28" s="17">
        <v>0</v>
      </c>
      <c r="M28" s="17">
        <v>0</v>
      </c>
      <c r="N28" s="17">
        <v>0</v>
      </c>
      <c r="O28" s="16">
        <v>0</v>
      </c>
      <c r="P28" s="16">
        <v>0</v>
      </c>
      <c r="Q28" s="17">
        <v>0</v>
      </c>
      <c r="R28" s="16">
        <v>0</v>
      </c>
      <c r="S28" s="18">
        <v>0.0015304279688772167</v>
      </c>
      <c r="T28"/>
    </row>
    <row r="29" spans="1:20" s="3" customFormat="1" ht="12.75">
      <c r="A29" s="184"/>
      <c r="B29" s="154" t="s">
        <v>165</v>
      </c>
      <c r="C29" s="138">
        <v>0</v>
      </c>
      <c r="D29" s="139">
        <v>0</v>
      </c>
      <c r="E29" s="139">
        <v>0</v>
      </c>
      <c r="F29" s="139">
        <v>0</v>
      </c>
      <c r="G29" s="139">
        <v>0</v>
      </c>
      <c r="H29" s="139">
        <v>0</v>
      </c>
      <c r="I29" s="139">
        <v>0</v>
      </c>
      <c r="J29" s="138">
        <v>0</v>
      </c>
      <c r="K29" s="138">
        <v>0</v>
      </c>
      <c r="L29" s="139">
        <v>0</v>
      </c>
      <c r="M29" s="139">
        <v>0</v>
      </c>
      <c r="N29" s="139">
        <v>0</v>
      </c>
      <c r="O29" s="138">
        <v>0</v>
      </c>
      <c r="P29" s="138">
        <v>0</v>
      </c>
      <c r="Q29" s="139">
        <v>0</v>
      </c>
      <c r="R29" s="138">
        <v>0</v>
      </c>
      <c r="S29" s="140">
        <v>0</v>
      </c>
      <c r="T29"/>
    </row>
    <row r="30" spans="1:20" s="3" customFormat="1" ht="12.75">
      <c r="A30" s="155" t="s">
        <v>315</v>
      </c>
      <c r="B30" s="4" t="s">
        <v>147</v>
      </c>
      <c r="C30" s="13">
        <v>0</v>
      </c>
      <c r="D30" s="14">
        <v>0</v>
      </c>
      <c r="E30" s="14">
        <v>0</v>
      </c>
      <c r="F30" s="14">
        <v>0</v>
      </c>
      <c r="G30" s="14">
        <v>0</v>
      </c>
      <c r="H30" s="14">
        <v>0</v>
      </c>
      <c r="I30" s="14">
        <v>0</v>
      </c>
      <c r="J30" s="13">
        <v>0</v>
      </c>
      <c r="K30" s="13">
        <v>0</v>
      </c>
      <c r="L30" s="14">
        <v>0</v>
      </c>
      <c r="M30" s="14">
        <v>0</v>
      </c>
      <c r="N30" s="14">
        <v>0</v>
      </c>
      <c r="O30" s="13">
        <v>0</v>
      </c>
      <c r="P30" s="13">
        <v>0</v>
      </c>
      <c r="Q30" s="14">
        <v>0</v>
      </c>
      <c r="R30" s="13">
        <v>0</v>
      </c>
      <c r="S30" s="15">
        <v>0</v>
      </c>
      <c r="T30"/>
    </row>
    <row r="31" spans="1:20" s="3" customFormat="1" ht="12.75">
      <c r="A31" s="156"/>
      <c r="B31" s="6" t="s">
        <v>149</v>
      </c>
      <c r="C31" s="16">
        <v>0</v>
      </c>
      <c r="D31" s="17">
        <v>0</v>
      </c>
      <c r="E31" s="17">
        <v>0</v>
      </c>
      <c r="F31" s="17">
        <v>0</v>
      </c>
      <c r="G31" s="17">
        <v>0</v>
      </c>
      <c r="H31" s="17">
        <v>0</v>
      </c>
      <c r="I31" s="17">
        <v>0</v>
      </c>
      <c r="J31" s="16">
        <v>0</v>
      </c>
      <c r="K31" s="16">
        <v>0</v>
      </c>
      <c r="L31" s="17">
        <v>0</v>
      </c>
      <c r="M31" s="17">
        <v>0</v>
      </c>
      <c r="N31" s="17">
        <v>0</v>
      </c>
      <c r="O31" s="16">
        <v>0</v>
      </c>
      <c r="P31" s="16">
        <v>0</v>
      </c>
      <c r="Q31" s="17">
        <v>0</v>
      </c>
      <c r="R31" s="16">
        <v>0</v>
      </c>
      <c r="S31" s="18">
        <v>0</v>
      </c>
      <c r="T31"/>
    </row>
    <row r="32" spans="1:20" s="3" customFormat="1" ht="12.75">
      <c r="A32" s="156"/>
      <c r="B32" s="6" t="s">
        <v>151</v>
      </c>
      <c r="C32" s="16">
        <v>0</v>
      </c>
      <c r="D32" s="17">
        <v>0</v>
      </c>
      <c r="E32" s="17">
        <v>0</v>
      </c>
      <c r="F32" s="17">
        <v>0</v>
      </c>
      <c r="G32" s="17">
        <v>0</v>
      </c>
      <c r="H32" s="17">
        <v>0</v>
      </c>
      <c r="I32" s="17">
        <v>0</v>
      </c>
      <c r="J32" s="16">
        <v>0</v>
      </c>
      <c r="K32" s="16">
        <v>0</v>
      </c>
      <c r="L32" s="17">
        <v>0</v>
      </c>
      <c r="M32" s="17">
        <v>0</v>
      </c>
      <c r="N32" s="17">
        <v>0</v>
      </c>
      <c r="O32" s="16">
        <v>0</v>
      </c>
      <c r="P32" s="16">
        <v>0</v>
      </c>
      <c r="Q32" s="17">
        <v>0</v>
      </c>
      <c r="R32" s="16">
        <v>0</v>
      </c>
      <c r="S32" s="18">
        <v>0</v>
      </c>
      <c r="T32"/>
    </row>
    <row r="33" spans="1:20" s="3" customFormat="1" ht="12.75">
      <c r="A33" s="156"/>
      <c r="B33" s="6" t="s">
        <v>613</v>
      </c>
      <c r="C33" s="16">
        <v>0</v>
      </c>
      <c r="D33" s="17">
        <v>0</v>
      </c>
      <c r="E33" s="17">
        <v>0</v>
      </c>
      <c r="F33" s="17">
        <v>0</v>
      </c>
      <c r="G33" s="17">
        <v>0</v>
      </c>
      <c r="H33" s="17">
        <v>0</v>
      </c>
      <c r="I33" s="17">
        <v>0</v>
      </c>
      <c r="J33" s="16">
        <v>0</v>
      </c>
      <c r="K33" s="16">
        <v>0</v>
      </c>
      <c r="L33" s="17">
        <v>0</v>
      </c>
      <c r="M33" s="17">
        <v>0</v>
      </c>
      <c r="N33" s="17">
        <v>0</v>
      </c>
      <c r="O33" s="16">
        <v>0</v>
      </c>
      <c r="P33" s="16">
        <v>0</v>
      </c>
      <c r="Q33" s="17">
        <v>0</v>
      </c>
      <c r="R33" s="16">
        <v>0</v>
      </c>
      <c r="S33" s="18">
        <v>0</v>
      </c>
      <c r="T33"/>
    </row>
    <row r="34" spans="1:20" s="147" customFormat="1" ht="12.75">
      <c r="A34" s="156"/>
      <c r="B34" s="6" t="s">
        <v>153</v>
      </c>
      <c r="C34" s="16">
        <v>0</v>
      </c>
      <c r="D34" s="17">
        <v>0</v>
      </c>
      <c r="E34" s="17">
        <v>0</v>
      </c>
      <c r="F34" s="17">
        <v>0</v>
      </c>
      <c r="G34" s="17">
        <v>0</v>
      </c>
      <c r="H34" s="17">
        <v>0</v>
      </c>
      <c r="I34" s="17">
        <v>0</v>
      </c>
      <c r="J34" s="16">
        <v>0</v>
      </c>
      <c r="K34" s="16">
        <v>0</v>
      </c>
      <c r="L34" s="17">
        <v>0</v>
      </c>
      <c r="M34" s="17">
        <v>0</v>
      </c>
      <c r="N34" s="17">
        <v>0</v>
      </c>
      <c r="O34" s="16">
        <v>0</v>
      </c>
      <c r="P34" s="16">
        <v>0</v>
      </c>
      <c r="Q34" s="17">
        <v>0</v>
      </c>
      <c r="R34" s="16">
        <v>0</v>
      </c>
      <c r="S34" s="18">
        <v>0</v>
      </c>
      <c r="T34"/>
    </row>
    <row r="35" spans="1:20" s="144" customFormat="1" ht="12.75">
      <c r="A35" s="156"/>
      <c r="B35" s="6" t="s">
        <v>155</v>
      </c>
      <c r="C35" s="16">
        <v>0</v>
      </c>
      <c r="D35" s="17">
        <v>0</v>
      </c>
      <c r="E35" s="17">
        <v>0</v>
      </c>
      <c r="F35" s="17">
        <v>0</v>
      </c>
      <c r="G35" s="17">
        <v>0</v>
      </c>
      <c r="H35" s="17">
        <v>0</v>
      </c>
      <c r="I35" s="17">
        <v>0</v>
      </c>
      <c r="J35" s="16">
        <v>0</v>
      </c>
      <c r="K35" s="16">
        <v>0</v>
      </c>
      <c r="L35" s="17">
        <v>0</v>
      </c>
      <c r="M35" s="17">
        <v>0</v>
      </c>
      <c r="N35" s="17">
        <v>0</v>
      </c>
      <c r="O35" s="16">
        <v>0</v>
      </c>
      <c r="P35" s="16">
        <v>0</v>
      </c>
      <c r="Q35" s="17">
        <v>0</v>
      </c>
      <c r="R35" s="16">
        <v>0</v>
      </c>
      <c r="S35" s="18">
        <v>0</v>
      </c>
      <c r="T35"/>
    </row>
    <row r="36" spans="1:19" ht="12.75">
      <c r="A36" s="156"/>
      <c r="B36" s="6" t="s">
        <v>157</v>
      </c>
      <c r="C36" s="16">
        <v>0</v>
      </c>
      <c r="D36" s="17">
        <v>0</v>
      </c>
      <c r="E36" s="17">
        <v>0</v>
      </c>
      <c r="F36" s="17">
        <v>0</v>
      </c>
      <c r="G36" s="17">
        <v>0</v>
      </c>
      <c r="H36" s="17">
        <v>0</v>
      </c>
      <c r="I36" s="17">
        <v>0</v>
      </c>
      <c r="J36" s="16">
        <v>0</v>
      </c>
      <c r="K36" s="16">
        <v>0</v>
      </c>
      <c r="L36" s="17">
        <v>0</v>
      </c>
      <c r="M36" s="17">
        <v>0</v>
      </c>
      <c r="N36" s="17">
        <v>0</v>
      </c>
      <c r="O36" s="16">
        <v>0</v>
      </c>
      <c r="P36" s="16">
        <v>0</v>
      </c>
      <c r="Q36" s="17">
        <v>0</v>
      </c>
      <c r="R36" s="16">
        <v>0</v>
      </c>
      <c r="S36" s="18">
        <v>0</v>
      </c>
    </row>
    <row r="37" spans="1:19" ht="12.75">
      <c r="A37" s="156"/>
      <c r="B37" s="6" t="s">
        <v>159</v>
      </c>
      <c r="C37" s="16">
        <v>0</v>
      </c>
      <c r="D37" s="17">
        <v>0</v>
      </c>
      <c r="E37" s="17">
        <v>0</v>
      </c>
      <c r="F37" s="17">
        <v>0</v>
      </c>
      <c r="G37" s="17">
        <v>0</v>
      </c>
      <c r="H37" s="17">
        <v>0</v>
      </c>
      <c r="I37" s="17">
        <v>0</v>
      </c>
      <c r="J37" s="16">
        <v>0</v>
      </c>
      <c r="K37" s="16">
        <v>0</v>
      </c>
      <c r="L37" s="17">
        <v>0</v>
      </c>
      <c r="M37" s="17">
        <v>0</v>
      </c>
      <c r="N37" s="17">
        <v>0</v>
      </c>
      <c r="O37" s="16">
        <v>0</v>
      </c>
      <c r="P37" s="16">
        <v>0</v>
      </c>
      <c r="Q37" s="17">
        <v>0</v>
      </c>
      <c r="R37" s="16">
        <v>0</v>
      </c>
      <c r="S37" s="18">
        <v>0</v>
      </c>
    </row>
    <row r="38" spans="1:19" ht="12.75">
      <c r="A38" s="156"/>
      <c r="B38" s="6" t="s">
        <v>161</v>
      </c>
      <c r="C38" s="16">
        <v>0</v>
      </c>
      <c r="D38" s="17">
        <v>0</v>
      </c>
      <c r="E38" s="17">
        <v>0</v>
      </c>
      <c r="F38" s="17">
        <v>0</v>
      </c>
      <c r="G38" s="17">
        <v>0</v>
      </c>
      <c r="H38" s="17">
        <v>0</v>
      </c>
      <c r="I38" s="17">
        <v>0</v>
      </c>
      <c r="J38" s="16">
        <v>0</v>
      </c>
      <c r="K38" s="16">
        <v>0</v>
      </c>
      <c r="L38" s="17">
        <v>0</v>
      </c>
      <c r="M38" s="17">
        <v>0</v>
      </c>
      <c r="N38" s="17">
        <v>0</v>
      </c>
      <c r="O38" s="16">
        <v>0</v>
      </c>
      <c r="P38" s="16">
        <v>0</v>
      </c>
      <c r="Q38" s="17">
        <v>0</v>
      </c>
      <c r="R38" s="16">
        <v>0</v>
      </c>
      <c r="S38" s="18">
        <v>0</v>
      </c>
    </row>
    <row r="39" spans="1:20" s="141" customFormat="1" ht="12.75">
      <c r="A39" s="156"/>
      <c r="B39" s="6" t="s">
        <v>615</v>
      </c>
      <c r="C39" s="16">
        <v>0</v>
      </c>
      <c r="D39" s="17">
        <v>0</v>
      </c>
      <c r="E39" s="17">
        <v>0</v>
      </c>
      <c r="F39" s="17">
        <v>0</v>
      </c>
      <c r="G39" s="17">
        <v>0</v>
      </c>
      <c r="H39" s="17">
        <v>0</v>
      </c>
      <c r="I39" s="17">
        <v>0</v>
      </c>
      <c r="J39" s="16">
        <v>0</v>
      </c>
      <c r="K39" s="16">
        <v>0</v>
      </c>
      <c r="L39" s="17">
        <v>0</v>
      </c>
      <c r="M39" s="17">
        <v>0</v>
      </c>
      <c r="N39" s="17">
        <v>0</v>
      </c>
      <c r="O39" s="16">
        <v>0</v>
      </c>
      <c r="P39" s="16">
        <v>0</v>
      </c>
      <c r="Q39" s="17">
        <v>0</v>
      </c>
      <c r="R39" s="16">
        <v>0</v>
      </c>
      <c r="S39" s="18">
        <v>0</v>
      </c>
      <c r="T39"/>
    </row>
    <row r="40" spans="1:20" s="141" customFormat="1" ht="12.75">
      <c r="A40" s="156"/>
      <c r="B40" s="6" t="s">
        <v>163</v>
      </c>
      <c r="C40" s="16">
        <v>0</v>
      </c>
      <c r="D40" s="17">
        <v>0</v>
      </c>
      <c r="E40" s="17">
        <v>0</v>
      </c>
      <c r="F40" s="17">
        <v>0</v>
      </c>
      <c r="G40" s="17">
        <v>0</v>
      </c>
      <c r="H40" s="17">
        <v>0</v>
      </c>
      <c r="I40" s="17">
        <v>0</v>
      </c>
      <c r="J40" s="16">
        <v>0</v>
      </c>
      <c r="K40" s="16">
        <v>0</v>
      </c>
      <c r="L40" s="17">
        <v>0</v>
      </c>
      <c r="M40" s="17">
        <v>0</v>
      </c>
      <c r="N40" s="17">
        <v>0</v>
      </c>
      <c r="O40" s="16">
        <v>0</v>
      </c>
      <c r="P40" s="16">
        <v>0</v>
      </c>
      <c r="Q40" s="17">
        <v>0</v>
      </c>
      <c r="R40" s="16">
        <v>0</v>
      </c>
      <c r="S40" s="18">
        <v>0</v>
      </c>
      <c r="T40"/>
    </row>
    <row r="41" spans="1:20" s="141" customFormat="1" ht="12.75">
      <c r="A41" s="157"/>
      <c r="B41" s="154" t="s">
        <v>165</v>
      </c>
      <c r="C41" s="138">
        <v>0</v>
      </c>
      <c r="D41" s="139">
        <v>0</v>
      </c>
      <c r="E41" s="139">
        <v>0</v>
      </c>
      <c r="F41" s="139">
        <v>0</v>
      </c>
      <c r="G41" s="139">
        <v>0</v>
      </c>
      <c r="H41" s="139">
        <v>0</v>
      </c>
      <c r="I41" s="139">
        <v>0</v>
      </c>
      <c r="J41" s="138">
        <v>0</v>
      </c>
      <c r="K41" s="138">
        <v>0</v>
      </c>
      <c r="L41" s="139">
        <v>0</v>
      </c>
      <c r="M41" s="139">
        <v>0</v>
      </c>
      <c r="N41" s="139">
        <v>0</v>
      </c>
      <c r="O41" s="138">
        <v>0</v>
      </c>
      <c r="P41" s="138">
        <v>0</v>
      </c>
      <c r="Q41" s="139">
        <v>0</v>
      </c>
      <c r="R41" s="138">
        <v>0</v>
      </c>
      <c r="S41" s="140">
        <v>0</v>
      </c>
      <c r="T41"/>
    </row>
    <row r="42" spans="1:20" s="141" customFormat="1" ht="12.75">
      <c r="A42" s="155" t="s">
        <v>316</v>
      </c>
      <c r="B42" s="4" t="s">
        <v>147</v>
      </c>
      <c r="C42" s="13">
        <v>0.7967386774570826</v>
      </c>
      <c r="D42" s="14">
        <v>0.7727370132430117</v>
      </c>
      <c r="E42" s="14">
        <v>0.9452030732102217</v>
      </c>
      <c r="F42" s="14">
        <v>0</v>
      </c>
      <c r="G42" s="14">
        <v>0.854745712596097</v>
      </c>
      <c r="H42" s="14">
        <v>1</v>
      </c>
      <c r="I42" s="14">
        <v>0</v>
      </c>
      <c r="J42" s="13">
        <v>0.8106840877314936</v>
      </c>
      <c r="K42" s="13">
        <v>0</v>
      </c>
      <c r="L42" s="14">
        <v>0.9287228089457166</v>
      </c>
      <c r="M42" s="14">
        <v>0.908847962982016</v>
      </c>
      <c r="N42" s="14">
        <v>0.9221467533698977</v>
      </c>
      <c r="O42" s="13">
        <v>0.9265141395174542</v>
      </c>
      <c r="P42" s="13">
        <v>0</v>
      </c>
      <c r="Q42" s="14">
        <v>0</v>
      </c>
      <c r="R42" s="13">
        <v>0</v>
      </c>
      <c r="S42" s="15">
        <v>0.8767531740394535</v>
      </c>
      <c r="T42"/>
    </row>
    <row r="43" spans="1:20" s="141" customFormat="1" ht="12.75">
      <c r="A43" s="156"/>
      <c r="B43" s="6" t="s">
        <v>149</v>
      </c>
      <c r="C43" s="16">
        <v>0.06002892210428473</v>
      </c>
      <c r="D43" s="17">
        <v>0.1557506267900946</v>
      </c>
      <c r="E43" s="17">
        <v>0.03634799167035798</v>
      </c>
      <c r="F43" s="17">
        <v>0</v>
      </c>
      <c r="G43" s="17">
        <v>0.02665767297457126</v>
      </c>
      <c r="H43" s="17">
        <v>0</v>
      </c>
      <c r="I43" s="17">
        <v>0</v>
      </c>
      <c r="J43" s="16">
        <v>0.09122452398355446</v>
      </c>
      <c r="K43" s="16">
        <v>0</v>
      </c>
      <c r="L43" s="17">
        <v>0</v>
      </c>
      <c r="M43" s="17">
        <v>0</v>
      </c>
      <c r="N43" s="17">
        <v>0</v>
      </c>
      <c r="O43" s="16">
        <v>0</v>
      </c>
      <c r="P43" s="16">
        <v>0</v>
      </c>
      <c r="Q43" s="17">
        <v>0</v>
      </c>
      <c r="R43" s="16">
        <v>0</v>
      </c>
      <c r="S43" s="18">
        <v>0.03919035102462851</v>
      </c>
      <c r="T43"/>
    </row>
    <row r="44" spans="1:20" s="141" customFormat="1" ht="12.75">
      <c r="A44" s="156"/>
      <c r="B44" s="6" t="s">
        <v>151</v>
      </c>
      <c r="C44" s="16">
        <v>0.03825438008561404</v>
      </c>
      <c r="D44" s="17">
        <v>0.058524272727580554</v>
      </c>
      <c r="E44" s="17">
        <v>0.01570717947934646</v>
      </c>
      <c r="F44" s="17">
        <v>0</v>
      </c>
      <c r="G44" s="17">
        <v>0.1165637936132466</v>
      </c>
      <c r="H44" s="17">
        <v>0</v>
      </c>
      <c r="I44" s="17">
        <v>0</v>
      </c>
      <c r="J44" s="16">
        <v>0.04394485318068544</v>
      </c>
      <c r="K44" s="16">
        <v>0</v>
      </c>
      <c r="L44" s="17">
        <v>0.048233650538112946</v>
      </c>
      <c r="M44" s="17">
        <v>0.03809169548803748</v>
      </c>
      <c r="N44" s="17">
        <v>0.04323849543610295</v>
      </c>
      <c r="O44" s="16">
        <v>0.04706230446029356</v>
      </c>
      <c r="P44" s="16">
        <v>0</v>
      </c>
      <c r="Q44" s="17">
        <v>0</v>
      </c>
      <c r="R44" s="16">
        <v>0</v>
      </c>
      <c r="S44" s="18">
        <v>0.045723037291609356</v>
      </c>
      <c r="T44"/>
    </row>
    <row r="45" spans="1:20" s="141" customFormat="1" ht="12.75">
      <c r="A45" s="156"/>
      <c r="B45" s="6" t="s">
        <v>613</v>
      </c>
      <c r="C45" s="16">
        <v>0.0010796817416253608</v>
      </c>
      <c r="D45" s="17">
        <v>0.002372200365794844</v>
      </c>
      <c r="E45" s="17">
        <v>0.00011837663627060136</v>
      </c>
      <c r="F45" s="17">
        <v>0</v>
      </c>
      <c r="G45" s="17">
        <v>0</v>
      </c>
      <c r="H45" s="17">
        <v>0</v>
      </c>
      <c r="I45" s="17">
        <v>0</v>
      </c>
      <c r="J45" s="16">
        <v>0.0013974269303928188</v>
      </c>
      <c r="K45" s="16">
        <v>0</v>
      </c>
      <c r="L45" s="17">
        <v>0.002263131619988932</v>
      </c>
      <c r="M45" s="17">
        <v>0.003217177273194938</v>
      </c>
      <c r="N45" s="17">
        <v>0.009437210857533549</v>
      </c>
      <c r="O45" s="16">
        <v>0.002554400645946591</v>
      </c>
      <c r="P45" s="16">
        <v>0</v>
      </c>
      <c r="Q45" s="17">
        <v>0</v>
      </c>
      <c r="R45" s="16">
        <v>0</v>
      </c>
      <c r="S45" s="18">
        <v>0.0020573609897353387</v>
      </c>
      <c r="T45"/>
    </row>
    <row r="46" spans="1:20" s="141" customFormat="1" ht="12.75">
      <c r="A46" s="156"/>
      <c r="B46" s="6" t="s">
        <v>153</v>
      </c>
      <c r="C46" s="16">
        <v>0.10045073159864723</v>
      </c>
      <c r="D46" s="17">
        <v>0.010615886873518282</v>
      </c>
      <c r="E46" s="17">
        <v>0.002623379003803327</v>
      </c>
      <c r="F46" s="17">
        <v>0</v>
      </c>
      <c r="G46" s="17">
        <v>0.0020328208160851568</v>
      </c>
      <c r="H46" s="17">
        <v>0</v>
      </c>
      <c r="I46" s="17">
        <v>0</v>
      </c>
      <c r="J46" s="16">
        <v>0.05114263991987704</v>
      </c>
      <c r="K46" s="16">
        <v>0</v>
      </c>
      <c r="L46" s="17">
        <v>0.017392367735668702</v>
      </c>
      <c r="M46" s="17">
        <v>0.03469776472791834</v>
      </c>
      <c r="N46" s="17">
        <v>0.015435903322237583</v>
      </c>
      <c r="O46" s="16">
        <v>0.019107995206623377</v>
      </c>
      <c r="P46" s="16">
        <v>0</v>
      </c>
      <c r="Q46" s="17">
        <v>0</v>
      </c>
      <c r="R46" s="16">
        <v>0</v>
      </c>
      <c r="S46" s="18">
        <v>0.03287018235147488</v>
      </c>
      <c r="T46"/>
    </row>
    <row r="47" spans="1:19" ht="12.75">
      <c r="A47" s="156"/>
      <c r="B47" s="6" t="s">
        <v>155</v>
      </c>
      <c r="C47" s="16">
        <v>0.003447607012746083</v>
      </c>
      <c r="D47" s="17">
        <v>0</v>
      </c>
      <c r="E47" s="17">
        <v>0</v>
      </c>
      <c r="F47" s="17">
        <v>0</v>
      </c>
      <c r="G47" s="17">
        <v>0</v>
      </c>
      <c r="H47" s="17">
        <v>0</v>
      </c>
      <c r="I47" s="17">
        <v>0</v>
      </c>
      <c r="J47" s="16">
        <v>0.0016064682539966625</v>
      </c>
      <c r="K47" s="16">
        <v>0</v>
      </c>
      <c r="L47" s="17">
        <v>0.0033880411605128422</v>
      </c>
      <c r="M47" s="17">
        <v>0.015145399528833243</v>
      </c>
      <c r="N47" s="17">
        <v>0.00974163701422818</v>
      </c>
      <c r="O47" s="16">
        <v>0.004761160169682297</v>
      </c>
      <c r="P47" s="16">
        <v>0</v>
      </c>
      <c r="Q47" s="17">
        <v>0</v>
      </c>
      <c r="R47" s="16">
        <v>0</v>
      </c>
      <c r="S47" s="18">
        <v>0.003405894303098374</v>
      </c>
    </row>
    <row r="48" spans="1:20" s="3" customFormat="1" ht="12.75">
      <c r="A48" s="156"/>
      <c r="B48" s="6" t="s">
        <v>157</v>
      </c>
      <c r="C48" s="16">
        <v>0.7880173128521637</v>
      </c>
      <c r="D48" s="17">
        <v>0.6468463990948169</v>
      </c>
      <c r="E48" s="17">
        <v>0.8059979647860659</v>
      </c>
      <c r="F48" s="17">
        <v>0</v>
      </c>
      <c r="G48" s="17">
        <v>0.6612158776209943</v>
      </c>
      <c r="H48" s="17">
        <v>0</v>
      </c>
      <c r="I48" s="17">
        <v>0</v>
      </c>
      <c r="J48" s="16">
        <v>0.7446931875916205</v>
      </c>
      <c r="K48" s="16">
        <v>0</v>
      </c>
      <c r="L48" s="17">
        <v>0</v>
      </c>
      <c r="M48" s="17">
        <v>0</v>
      </c>
      <c r="N48" s="17">
        <v>0</v>
      </c>
      <c r="O48" s="16">
        <v>0</v>
      </c>
      <c r="P48" s="16">
        <v>0</v>
      </c>
      <c r="Q48" s="17">
        <v>0</v>
      </c>
      <c r="R48" s="16">
        <v>0</v>
      </c>
      <c r="S48" s="18">
        <v>0.7446931875916205</v>
      </c>
      <c r="T48"/>
    </row>
    <row r="49" spans="1:20" s="3" customFormat="1" ht="12.75">
      <c r="A49" s="156"/>
      <c r="B49" s="6" t="s">
        <v>159</v>
      </c>
      <c r="C49" s="16">
        <v>0.09858172484222764</v>
      </c>
      <c r="D49" s="17">
        <v>0.21442230247145308</v>
      </c>
      <c r="E49" s="17">
        <v>0.1553329704657327</v>
      </c>
      <c r="F49" s="17">
        <v>0</v>
      </c>
      <c r="G49" s="17">
        <v>0.0658710272979032</v>
      </c>
      <c r="H49" s="17">
        <v>0</v>
      </c>
      <c r="I49" s="17">
        <v>0</v>
      </c>
      <c r="J49" s="16">
        <v>0.13838280160969313</v>
      </c>
      <c r="K49" s="16">
        <v>0</v>
      </c>
      <c r="L49" s="17">
        <v>0</v>
      </c>
      <c r="M49" s="17">
        <v>0</v>
      </c>
      <c r="N49" s="17">
        <v>0</v>
      </c>
      <c r="O49" s="16">
        <v>0</v>
      </c>
      <c r="P49" s="16">
        <v>0</v>
      </c>
      <c r="Q49" s="17">
        <v>0</v>
      </c>
      <c r="R49" s="16">
        <v>0</v>
      </c>
      <c r="S49" s="18">
        <v>0.13838280160969313</v>
      </c>
      <c r="T49"/>
    </row>
    <row r="50" spans="1:20" s="3" customFormat="1" ht="12.75">
      <c r="A50" s="156"/>
      <c r="B50" s="6" t="s">
        <v>161</v>
      </c>
      <c r="C50" s="16">
        <v>0.0520308587544609</v>
      </c>
      <c r="D50" s="17">
        <v>0.10169210731777814</v>
      </c>
      <c r="E50" s="17">
        <v>0.03398333964407421</v>
      </c>
      <c r="F50" s="17">
        <v>0</v>
      </c>
      <c r="G50" s="17">
        <v>0.27291309508110245</v>
      </c>
      <c r="H50" s="17">
        <v>0</v>
      </c>
      <c r="I50" s="17">
        <v>0</v>
      </c>
      <c r="J50" s="16">
        <v>0.06907359539539351</v>
      </c>
      <c r="K50" s="16">
        <v>0</v>
      </c>
      <c r="L50" s="17">
        <v>0</v>
      </c>
      <c r="M50" s="17">
        <v>0</v>
      </c>
      <c r="N50" s="17">
        <v>0</v>
      </c>
      <c r="O50" s="16">
        <v>0</v>
      </c>
      <c r="P50" s="16">
        <v>0</v>
      </c>
      <c r="Q50" s="17">
        <v>0</v>
      </c>
      <c r="R50" s="16">
        <v>0</v>
      </c>
      <c r="S50" s="18">
        <v>0.06907359539539351</v>
      </c>
      <c r="T50"/>
    </row>
    <row r="51" spans="1:20" s="3" customFormat="1" ht="12.75">
      <c r="A51" s="156"/>
      <c r="B51" s="6" t="s">
        <v>615</v>
      </c>
      <c r="C51" s="16">
        <v>0.00407728897349526</v>
      </c>
      <c r="D51" s="17">
        <v>0.0014134674188710237</v>
      </c>
      <c r="E51" s="17">
        <v>0</v>
      </c>
      <c r="F51" s="17">
        <v>0</v>
      </c>
      <c r="G51" s="17">
        <v>0</v>
      </c>
      <c r="H51" s="17">
        <v>0</v>
      </c>
      <c r="I51" s="17">
        <v>0</v>
      </c>
      <c r="J51" s="16">
        <v>0.0028326846182119454</v>
      </c>
      <c r="K51" s="16">
        <v>0</v>
      </c>
      <c r="L51" s="17">
        <v>0</v>
      </c>
      <c r="M51" s="17">
        <v>0</v>
      </c>
      <c r="N51" s="17">
        <v>0</v>
      </c>
      <c r="O51" s="16">
        <v>0</v>
      </c>
      <c r="P51" s="16">
        <v>0</v>
      </c>
      <c r="Q51" s="17">
        <v>0</v>
      </c>
      <c r="R51" s="16">
        <v>0</v>
      </c>
      <c r="S51" s="18">
        <v>0.0028326846182119454</v>
      </c>
      <c r="T51"/>
    </row>
    <row r="52" spans="1:20" s="3" customFormat="1" ht="12.75">
      <c r="A52" s="156"/>
      <c r="B52" s="6" t="s">
        <v>163</v>
      </c>
      <c r="C52" s="16">
        <v>0.05725465813003972</v>
      </c>
      <c r="D52" s="17">
        <v>0.03562572369708089</v>
      </c>
      <c r="E52" s="17">
        <v>0.004685725104127224</v>
      </c>
      <c r="F52" s="17">
        <v>0</v>
      </c>
      <c r="G52" s="17">
        <v>0</v>
      </c>
      <c r="H52" s="17">
        <v>0</v>
      </c>
      <c r="I52" s="17">
        <v>0</v>
      </c>
      <c r="J52" s="16">
        <v>0.0449952406614581</v>
      </c>
      <c r="K52" s="16">
        <v>0</v>
      </c>
      <c r="L52" s="17">
        <v>0</v>
      </c>
      <c r="M52" s="17">
        <v>0</v>
      </c>
      <c r="N52" s="17">
        <v>0</v>
      </c>
      <c r="O52" s="16">
        <v>0</v>
      </c>
      <c r="P52" s="16">
        <v>0</v>
      </c>
      <c r="Q52" s="17">
        <v>0</v>
      </c>
      <c r="R52" s="16">
        <v>0</v>
      </c>
      <c r="S52" s="18">
        <v>0.0449952406614581</v>
      </c>
      <c r="T52"/>
    </row>
    <row r="53" spans="1:20" s="3" customFormat="1" ht="12.75">
      <c r="A53" s="157"/>
      <c r="B53" s="154" t="s">
        <v>165</v>
      </c>
      <c r="C53" s="138">
        <v>3.815644761292356E-05</v>
      </c>
      <c r="D53" s="139">
        <v>0</v>
      </c>
      <c r="E53" s="139">
        <v>0</v>
      </c>
      <c r="F53" s="139">
        <v>0</v>
      </c>
      <c r="G53" s="139">
        <v>0</v>
      </c>
      <c r="H53" s="139">
        <v>0</v>
      </c>
      <c r="I53" s="139">
        <v>0</v>
      </c>
      <c r="J53" s="138">
        <v>2.2490123622854764E-05</v>
      </c>
      <c r="K53" s="138">
        <v>0</v>
      </c>
      <c r="L53" s="139">
        <v>0</v>
      </c>
      <c r="M53" s="139">
        <v>0</v>
      </c>
      <c r="N53" s="139">
        <v>0</v>
      </c>
      <c r="O53" s="138">
        <v>0</v>
      </c>
      <c r="P53" s="138">
        <v>0</v>
      </c>
      <c r="Q53" s="139">
        <v>0</v>
      </c>
      <c r="R53" s="138">
        <v>0</v>
      </c>
      <c r="S53" s="140">
        <v>2.2490123622854764E-05</v>
      </c>
      <c r="T53"/>
    </row>
    <row r="54" spans="1:20" s="3" customFormat="1" ht="12.75">
      <c r="A54" s="155" t="s">
        <v>356</v>
      </c>
      <c r="B54" s="4" t="s">
        <v>147</v>
      </c>
      <c r="C54" s="13">
        <v>0.9865441747794689</v>
      </c>
      <c r="D54" s="14">
        <v>0.9741162254900544</v>
      </c>
      <c r="E54" s="14">
        <v>0.9661242639893212</v>
      </c>
      <c r="F54" s="14">
        <v>0.9527043020747933</v>
      </c>
      <c r="G54" s="14">
        <v>0.9504787994610499</v>
      </c>
      <c r="H54" s="14">
        <v>0.8712901634197031</v>
      </c>
      <c r="I54" s="14">
        <v>0</v>
      </c>
      <c r="J54" s="13">
        <v>0.9644522149732578</v>
      </c>
      <c r="K54" s="13">
        <v>0.8323608901012857</v>
      </c>
      <c r="L54" s="14">
        <v>0.930251798561151</v>
      </c>
      <c r="M54" s="14">
        <v>0.8382495322260484</v>
      </c>
      <c r="N54" s="14">
        <v>0.7506927152372576</v>
      </c>
      <c r="O54" s="13">
        <v>0.8440714111581032</v>
      </c>
      <c r="P54" s="13">
        <v>0.9254627398412147</v>
      </c>
      <c r="Q54" s="14">
        <v>0.9432643427741467</v>
      </c>
      <c r="R54" s="13">
        <v>0.9259884514675865</v>
      </c>
      <c r="S54" s="15">
        <v>0.9311319831345544</v>
      </c>
      <c r="T54"/>
    </row>
    <row r="55" spans="1:20" s="3" customFormat="1" ht="12.75">
      <c r="A55" s="156"/>
      <c r="B55" s="6" t="s">
        <v>149</v>
      </c>
      <c r="C55" s="16">
        <v>0.011765898210910999</v>
      </c>
      <c r="D55" s="17">
        <v>0.02063706346063232</v>
      </c>
      <c r="E55" s="17">
        <v>0.014105199367788323</v>
      </c>
      <c r="F55" s="17">
        <v>0.019369343285189352</v>
      </c>
      <c r="G55" s="17">
        <v>0.03082636731102373</v>
      </c>
      <c r="H55" s="17">
        <v>0</v>
      </c>
      <c r="I55" s="17">
        <v>0</v>
      </c>
      <c r="J55" s="16">
        <v>0.01725786309407408</v>
      </c>
      <c r="K55" s="16">
        <v>0.1344497486802556</v>
      </c>
      <c r="L55" s="17">
        <v>0.02081160071942446</v>
      </c>
      <c r="M55" s="17">
        <v>0.13061832284806618</v>
      </c>
      <c r="N55" s="17">
        <v>0.2225181661387853</v>
      </c>
      <c r="O55" s="16">
        <v>0.1198554997294921</v>
      </c>
      <c r="P55" s="16">
        <v>0</v>
      </c>
      <c r="Q55" s="17">
        <v>0</v>
      </c>
      <c r="R55" s="16">
        <v>0</v>
      </c>
      <c r="S55" s="18">
        <v>0.030760082370213028</v>
      </c>
      <c r="T55"/>
    </row>
    <row r="56" spans="1:20" s="3" customFormat="1" ht="12.75">
      <c r="A56" s="156"/>
      <c r="B56" s="6" t="s">
        <v>151</v>
      </c>
      <c r="C56" s="16">
        <v>0.0016644906670482118</v>
      </c>
      <c r="D56" s="17">
        <v>0.0009134769650595061</v>
      </c>
      <c r="E56" s="17">
        <v>0.017746148995585985</v>
      </c>
      <c r="F56" s="17">
        <v>0.021687193131634527</v>
      </c>
      <c r="G56" s="17">
        <v>0.0132626247697088</v>
      </c>
      <c r="H56" s="17">
        <v>0.12203287830988442</v>
      </c>
      <c r="I56" s="17">
        <v>0</v>
      </c>
      <c r="J56" s="16">
        <v>0.01497853304842719</v>
      </c>
      <c r="K56" s="16">
        <v>0.03318936121845874</v>
      </c>
      <c r="L56" s="17">
        <v>0.034249999999999996</v>
      </c>
      <c r="M56" s="17">
        <v>0.02459233864750472</v>
      </c>
      <c r="N56" s="17">
        <v>0.013852928261818142</v>
      </c>
      <c r="O56" s="16">
        <v>0.0261271833721464</v>
      </c>
      <c r="P56" s="16">
        <v>0.07453726015878519</v>
      </c>
      <c r="Q56" s="17">
        <v>0.0567356572258533</v>
      </c>
      <c r="R56" s="16">
        <v>0.07401154853241346</v>
      </c>
      <c r="S56" s="18">
        <v>0.034576947435515086</v>
      </c>
      <c r="T56"/>
    </row>
    <row r="57" spans="1:20" s="3" customFormat="1" ht="12.75">
      <c r="A57" s="156"/>
      <c r="B57" s="6" t="s">
        <v>613</v>
      </c>
      <c r="C57" s="16">
        <v>2.5436342571892445E-05</v>
      </c>
      <c r="D57" s="17">
        <v>0.0031884971280399846</v>
      </c>
      <c r="E57" s="17">
        <v>0.0020243876473045016</v>
      </c>
      <c r="F57" s="17">
        <v>0.0010955575264212838</v>
      </c>
      <c r="G57" s="17">
        <v>0.005375752742871285</v>
      </c>
      <c r="H57" s="17">
        <v>0</v>
      </c>
      <c r="I57" s="17">
        <v>0</v>
      </c>
      <c r="J57" s="16">
        <v>0.0016802633180615022</v>
      </c>
      <c r="K57" s="16">
        <v>0</v>
      </c>
      <c r="L57" s="17">
        <v>0.0007778776978417266</v>
      </c>
      <c r="M57" s="17">
        <v>0.0031754454444303994</v>
      </c>
      <c r="N57" s="17">
        <v>0.006777803930961102</v>
      </c>
      <c r="O57" s="16">
        <v>0.0028924945221234467</v>
      </c>
      <c r="P57" s="16">
        <v>0</v>
      </c>
      <c r="Q57" s="17">
        <v>0</v>
      </c>
      <c r="R57" s="16">
        <v>0</v>
      </c>
      <c r="S57" s="18">
        <v>0.0014003154340725802</v>
      </c>
      <c r="T57"/>
    </row>
    <row r="58" spans="1:20" s="3" customFormat="1" ht="12.75">
      <c r="A58" s="156"/>
      <c r="B58" s="6" t="s">
        <v>153</v>
      </c>
      <c r="C58" s="16">
        <v>0</v>
      </c>
      <c r="D58" s="17">
        <v>0.0011447369562138114</v>
      </c>
      <c r="E58" s="17">
        <v>0</v>
      </c>
      <c r="F58" s="17">
        <v>0.004818207954779806</v>
      </c>
      <c r="G58" s="17">
        <v>5.6455715346330464E-05</v>
      </c>
      <c r="H58" s="17">
        <v>0.0015456094971816456</v>
      </c>
      <c r="I58" s="17">
        <v>0</v>
      </c>
      <c r="J58" s="16">
        <v>0.0013739538748891783</v>
      </c>
      <c r="K58" s="16">
        <v>0</v>
      </c>
      <c r="L58" s="17">
        <v>0.013908723021582735</v>
      </c>
      <c r="M58" s="17">
        <v>0.003364360833950318</v>
      </c>
      <c r="N58" s="17">
        <v>0.006158386431177898</v>
      </c>
      <c r="O58" s="16">
        <v>0.007053411218134791</v>
      </c>
      <c r="P58" s="16">
        <v>0</v>
      </c>
      <c r="Q58" s="17">
        <v>0</v>
      </c>
      <c r="R58" s="16">
        <v>0</v>
      </c>
      <c r="S58" s="18">
        <v>0.0019967768697959753</v>
      </c>
      <c r="T58"/>
    </row>
    <row r="59" spans="1:20" s="3" customFormat="1" ht="12.75">
      <c r="A59" s="156"/>
      <c r="B59" s="6" t="s">
        <v>155</v>
      </c>
      <c r="C59" s="16">
        <v>0</v>
      </c>
      <c r="D59" s="17">
        <v>0</v>
      </c>
      <c r="E59" s="17">
        <v>0</v>
      </c>
      <c r="F59" s="17">
        <v>0.0003253960271816925</v>
      </c>
      <c r="G59" s="17">
        <v>0</v>
      </c>
      <c r="H59" s="17">
        <v>0.005131348773230866</v>
      </c>
      <c r="I59" s="17">
        <v>0</v>
      </c>
      <c r="J59" s="16">
        <v>0.00025717169129025366</v>
      </c>
      <c r="K59" s="16">
        <v>0</v>
      </c>
      <c r="L59" s="17">
        <v>0</v>
      </c>
      <c r="M59" s="17">
        <v>0</v>
      </c>
      <c r="N59" s="17">
        <v>0</v>
      </c>
      <c r="O59" s="16">
        <v>0</v>
      </c>
      <c r="P59" s="16">
        <v>0</v>
      </c>
      <c r="Q59" s="17">
        <v>0</v>
      </c>
      <c r="R59" s="16">
        <v>0</v>
      </c>
      <c r="S59" s="18">
        <v>0.00013389475584902423</v>
      </c>
      <c r="T59"/>
    </row>
    <row r="60" spans="1:20" s="3" customFormat="1" ht="12.75">
      <c r="A60" s="156"/>
      <c r="B60" s="6" t="s">
        <v>157</v>
      </c>
      <c r="C60" s="16">
        <v>0.9304844197832022</v>
      </c>
      <c r="D60" s="17">
        <v>0.9692509883998783</v>
      </c>
      <c r="E60" s="17">
        <v>0.6043995062813858</v>
      </c>
      <c r="F60" s="17">
        <v>0.6219704184563954</v>
      </c>
      <c r="G60" s="17">
        <v>0.844356661526437</v>
      </c>
      <c r="H60" s="17">
        <v>0</v>
      </c>
      <c r="I60" s="17">
        <v>0</v>
      </c>
      <c r="J60" s="16">
        <v>0.8697436074053524</v>
      </c>
      <c r="K60" s="16">
        <v>0</v>
      </c>
      <c r="L60" s="17">
        <v>0</v>
      </c>
      <c r="M60" s="17">
        <v>0</v>
      </c>
      <c r="N60" s="17">
        <v>0</v>
      </c>
      <c r="O60" s="16">
        <v>0</v>
      </c>
      <c r="P60" s="16">
        <v>0</v>
      </c>
      <c r="Q60" s="17">
        <v>0</v>
      </c>
      <c r="R60" s="16">
        <v>0</v>
      </c>
      <c r="S60" s="18">
        <v>0.8697436074053524</v>
      </c>
      <c r="T60"/>
    </row>
    <row r="61" spans="1:20" s="3" customFormat="1" ht="12.75">
      <c r="A61" s="156"/>
      <c r="B61" s="6" t="s">
        <v>159</v>
      </c>
      <c r="C61" s="16">
        <v>0.0402612698621802</v>
      </c>
      <c r="D61" s="17">
        <v>0.015130121214754311</v>
      </c>
      <c r="E61" s="17">
        <v>0.18255753005427522</v>
      </c>
      <c r="F61" s="17">
        <v>0.2600629725369769</v>
      </c>
      <c r="G61" s="17">
        <v>0.08574325608905976</v>
      </c>
      <c r="H61" s="17">
        <v>0</v>
      </c>
      <c r="I61" s="17">
        <v>0</v>
      </c>
      <c r="J61" s="16">
        <v>0.07642295034765215</v>
      </c>
      <c r="K61" s="16">
        <v>0</v>
      </c>
      <c r="L61" s="17">
        <v>0</v>
      </c>
      <c r="M61" s="17">
        <v>0</v>
      </c>
      <c r="N61" s="17">
        <v>0</v>
      </c>
      <c r="O61" s="16">
        <v>0</v>
      </c>
      <c r="P61" s="16">
        <v>0</v>
      </c>
      <c r="Q61" s="17">
        <v>0</v>
      </c>
      <c r="R61" s="16">
        <v>0</v>
      </c>
      <c r="S61" s="18">
        <v>0.07642295034765215</v>
      </c>
      <c r="T61"/>
    </row>
    <row r="62" spans="1:19" ht="12.75">
      <c r="A62" s="156"/>
      <c r="B62" s="6" t="s">
        <v>161</v>
      </c>
      <c r="C62" s="16">
        <v>0.027183694709366046</v>
      </c>
      <c r="D62" s="17">
        <v>0.0017432767085197897</v>
      </c>
      <c r="E62" s="17">
        <v>0.19302267385827568</v>
      </c>
      <c r="F62" s="17">
        <v>0.09035587257779246</v>
      </c>
      <c r="G62" s="17">
        <v>0.054880753712583705</v>
      </c>
      <c r="H62" s="17">
        <v>0</v>
      </c>
      <c r="I62" s="17">
        <v>0</v>
      </c>
      <c r="J62" s="16">
        <v>0.04356241753129679</v>
      </c>
      <c r="K62" s="16">
        <v>0</v>
      </c>
      <c r="L62" s="17">
        <v>0</v>
      </c>
      <c r="M62" s="17">
        <v>0</v>
      </c>
      <c r="N62" s="17">
        <v>0</v>
      </c>
      <c r="O62" s="16">
        <v>0</v>
      </c>
      <c r="P62" s="16">
        <v>0</v>
      </c>
      <c r="Q62" s="17">
        <v>0</v>
      </c>
      <c r="R62" s="16">
        <v>0</v>
      </c>
      <c r="S62" s="18">
        <v>0.04356241753129679</v>
      </c>
    </row>
    <row r="63" spans="1:20" s="148" customFormat="1" ht="12.75">
      <c r="A63" s="156"/>
      <c r="B63" s="6" t="s">
        <v>615</v>
      </c>
      <c r="C63" s="16">
        <v>0.001291358748141637</v>
      </c>
      <c r="D63" s="17">
        <v>8.406829734544033E-05</v>
      </c>
      <c r="E63" s="17">
        <v>0.019842754003009652</v>
      </c>
      <c r="F63" s="17">
        <v>0.020689588151833783</v>
      </c>
      <c r="G63" s="17">
        <v>0.015019328671919558</v>
      </c>
      <c r="H63" s="17">
        <v>0</v>
      </c>
      <c r="I63" s="17">
        <v>0</v>
      </c>
      <c r="J63" s="16">
        <v>0.005749451137186517</v>
      </c>
      <c r="K63" s="16">
        <v>0</v>
      </c>
      <c r="L63" s="17">
        <v>0</v>
      </c>
      <c r="M63" s="17">
        <v>0</v>
      </c>
      <c r="N63" s="17">
        <v>0</v>
      </c>
      <c r="O63" s="16">
        <v>0</v>
      </c>
      <c r="P63" s="16">
        <v>0</v>
      </c>
      <c r="Q63" s="17">
        <v>0</v>
      </c>
      <c r="R63" s="16">
        <v>0</v>
      </c>
      <c r="S63" s="18">
        <v>0.005749451137186517</v>
      </c>
      <c r="T63"/>
    </row>
    <row r="64" spans="1:20" s="144" customFormat="1" ht="12.75">
      <c r="A64" s="156"/>
      <c r="B64" s="6" t="s">
        <v>163</v>
      </c>
      <c r="C64" s="16">
        <v>0.0007792568971099759</v>
      </c>
      <c r="D64" s="17">
        <v>0.013791545379502107</v>
      </c>
      <c r="E64" s="17">
        <v>0.0001775358030536158</v>
      </c>
      <c r="F64" s="17">
        <v>0.0053541233406542155</v>
      </c>
      <c r="G64" s="17">
        <v>0</v>
      </c>
      <c r="H64" s="17">
        <v>0</v>
      </c>
      <c r="I64" s="17">
        <v>0</v>
      </c>
      <c r="J64" s="16">
        <v>0.004317400030616535</v>
      </c>
      <c r="K64" s="16">
        <v>0</v>
      </c>
      <c r="L64" s="17">
        <v>0</v>
      </c>
      <c r="M64" s="17">
        <v>0</v>
      </c>
      <c r="N64" s="17">
        <v>0</v>
      </c>
      <c r="O64" s="16">
        <v>0</v>
      </c>
      <c r="P64" s="16">
        <v>0</v>
      </c>
      <c r="Q64" s="17">
        <v>0</v>
      </c>
      <c r="R64" s="16">
        <v>0</v>
      </c>
      <c r="S64" s="18">
        <v>0.004317400030616535</v>
      </c>
      <c r="T64"/>
    </row>
    <row r="65" spans="1:19" ht="12.75">
      <c r="A65" s="157"/>
      <c r="B65" s="154" t="s">
        <v>165</v>
      </c>
      <c r="C65" s="138">
        <v>0</v>
      </c>
      <c r="D65" s="139">
        <v>0</v>
      </c>
      <c r="E65" s="139">
        <v>0</v>
      </c>
      <c r="F65" s="139">
        <v>0.0015670249363472042</v>
      </c>
      <c r="G65" s="139">
        <v>0</v>
      </c>
      <c r="H65" s="139">
        <v>0</v>
      </c>
      <c r="I65" s="139">
        <v>0</v>
      </c>
      <c r="J65" s="138">
        <v>0.000204173547895569</v>
      </c>
      <c r="K65" s="138">
        <v>0</v>
      </c>
      <c r="L65" s="139">
        <v>0</v>
      </c>
      <c r="M65" s="139">
        <v>0</v>
      </c>
      <c r="N65" s="139">
        <v>0</v>
      </c>
      <c r="O65" s="138">
        <v>0</v>
      </c>
      <c r="P65" s="138">
        <v>0</v>
      </c>
      <c r="Q65" s="139">
        <v>0</v>
      </c>
      <c r="R65" s="138">
        <v>0</v>
      </c>
      <c r="S65" s="140">
        <v>0.000204173547895569</v>
      </c>
    </row>
    <row r="66" spans="1:19" ht="12.75">
      <c r="A66" s="155" t="s">
        <v>422</v>
      </c>
      <c r="B66" s="4" t="s">
        <v>147</v>
      </c>
      <c r="C66" s="13">
        <v>0.9836407128623408</v>
      </c>
      <c r="D66" s="14">
        <v>0.8857075064650028</v>
      </c>
      <c r="E66" s="14">
        <v>0.8794423578814581</v>
      </c>
      <c r="F66" s="14">
        <v>0.9338448524693772</v>
      </c>
      <c r="G66" s="14">
        <v>0</v>
      </c>
      <c r="H66" s="14">
        <v>0.9435547208468499</v>
      </c>
      <c r="I66" s="14">
        <v>0</v>
      </c>
      <c r="J66" s="13">
        <v>0.9148809197083485</v>
      </c>
      <c r="K66" s="13">
        <v>0</v>
      </c>
      <c r="L66" s="14">
        <v>0.9250614082408901</v>
      </c>
      <c r="M66" s="14">
        <v>0.6918678128385611</v>
      </c>
      <c r="N66" s="14">
        <v>0.7623103639180636</v>
      </c>
      <c r="O66" s="13">
        <v>0.8029957086673412</v>
      </c>
      <c r="P66" s="13">
        <v>0.8829714393090144</v>
      </c>
      <c r="Q66" s="14">
        <v>0.8897566373064445</v>
      </c>
      <c r="R66" s="13">
        <v>0.8864132185701276</v>
      </c>
      <c r="S66" s="15">
        <v>0.8807901509292636</v>
      </c>
    </row>
    <row r="67" spans="1:19" ht="12.75">
      <c r="A67" s="156"/>
      <c r="B67" s="6" t="s">
        <v>149</v>
      </c>
      <c r="C67" s="16">
        <v>0.0054013279441069454</v>
      </c>
      <c r="D67" s="17">
        <v>0.014049994138774058</v>
      </c>
      <c r="E67" s="17">
        <v>0.07979960960431635</v>
      </c>
      <c r="F67" s="17">
        <v>0.04421583230085341</v>
      </c>
      <c r="G67" s="17">
        <v>0</v>
      </c>
      <c r="H67" s="17">
        <v>0</v>
      </c>
      <c r="I67" s="17">
        <v>0</v>
      </c>
      <c r="J67" s="16">
        <v>0.04541918400481381</v>
      </c>
      <c r="K67" s="16">
        <v>0</v>
      </c>
      <c r="L67" s="17">
        <v>0.02082814181538369</v>
      </c>
      <c r="M67" s="17">
        <v>0.20400837997825846</v>
      </c>
      <c r="N67" s="17">
        <v>0.13065702006986016</v>
      </c>
      <c r="O67" s="16">
        <v>0.10837292993724534</v>
      </c>
      <c r="P67" s="16">
        <v>0.07099116190054533</v>
      </c>
      <c r="Q67" s="17">
        <v>0.09152387679958991</v>
      </c>
      <c r="R67" s="16">
        <v>0.08140634393954385</v>
      </c>
      <c r="S67" s="18">
        <v>0.06624811711819123</v>
      </c>
    </row>
    <row r="68" spans="1:19" ht="12.75">
      <c r="A68" s="156"/>
      <c r="B68" s="6" t="s">
        <v>151</v>
      </c>
      <c r="C68" s="16">
        <v>0.0072669845342111</v>
      </c>
      <c r="D68" s="17">
        <v>0.09714946691090795</v>
      </c>
      <c r="E68" s="17">
        <v>0.01948362713445852</v>
      </c>
      <c r="F68" s="17">
        <v>0.010892582908298441</v>
      </c>
      <c r="G68" s="17">
        <v>0</v>
      </c>
      <c r="H68" s="17">
        <v>0.03877411644186444</v>
      </c>
      <c r="I68" s="17">
        <v>0</v>
      </c>
      <c r="J68" s="16">
        <v>0.026957580780089713</v>
      </c>
      <c r="K68" s="16">
        <v>0</v>
      </c>
      <c r="L68" s="17">
        <v>0.04582136431722525</v>
      </c>
      <c r="M68" s="17">
        <v>0.05934283812853289</v>
      </c>
      <c r="N68" s="17">
        <v>0.08781708905378117</v>
      </c>
      <c r="O68" s="16">
        <v>0.06797314561027205</v>
      </c>
      <c r="P68" s="16">
        <v>0.039570025882362025</v>
      </c>
      <c r="Q68" s="17">
        <v>0.01871948589396563</v>
      </c>
      <c r="R68" s="16">
        <v>0.02899362764869877</v>
      </c>
      <c r="S68" s="18">
        <v>0.0387618747829255</v>
      </c>
    </row>
    <row r="69" spans="1:19" ht="12.75">
      <c r="A69" s="156"/>
      <c r="B69" s="6" t="s">
        <v>613</v>
      </c>
      <c r="C69" s="16">
        <v>0.0016579132076385023</v>
      </c>
      <c r="D69" s="17">
        <v>0</v>
      </c>
      <c r="E69" s="17">
        <v>0.011344273853482603</v>
      </c>
      <c r="F69" s="17">
        <v>0.008162211427481372</v>
      </c>
      <c r="G69" s="17">
        <v>0</v>
      </c>
      <c r="H69" s="17">
        <v>0.003124466450401229</v>
      </c>
      <c r="I69" s="17">
        <v>0</v>
      </c>
      <c r="J69" s="16">
        <v>0.00682451592614038</v>
      </c>
      <c r="K69" s="16">
        <v>0</v>
      </c>
      <c r="L69" s="17">
        <v>0.0033599960567283443</v>
      </c>
      <c r="M69" s="17">
        <v>0.027922522019994497</v>
      </c>
      <c r="N69" s="17">
        <v>0.009554989982992994</v>
      </c>
      <c r="O69" s="16">
        <v>0.011148761281528535</v>
      </c>
      <c r="P69" s="16">
        <v>0.006293622591144912</v>
      </c>
      <c r="Q69" s="17">
        <v>0</v>
      </c>
      <c r="R69" s="16">
        <v>0.003101194054839766</v>
      </c>
      <c r="S69" s="18">
        <v>0.007744187660976488</v>
      </c>
    </row>
    <row r="70" spans="1:19" ht="12.75">
      <c r="A70" s="156"/>
      <c r="B70" s="6" t="s">
        <v>153</v>
      </c>
      <c r="C70" s="16">
        <v>0.0020330614517026888</v>
      </c>
      <c r="D70" s="17">
        <v>0.0030930324853151573</v>
      </c>
      <c r="E70" s="17">
        <v>0.009930131526284417</v>
      </c>
      <c r="F70" s="17">
        <v>0.0028845208939895215</v>
      </c>
      <c r="G70" s="17">
        <v>0</v>
      </c>
      <c r="H70" s="17">
        <v>0.014546696260884413</v>
      </c>
      <c r="I70" s="17">
        <v>0</v>
      </c>
      <c r="J70" s="16">
        <v>0.005917799580607578</v>
      </c>
      <c r="K70" s="16">
        <v>0</v>
      </c>
      <c r="L70" s="17">
        <v>0.004929089569772632</v>
      </c>
      <c r="M70" s="17">
        <v>0.016858447034653015</v>
      </c>
      <c r="N70" s="17">
        <v>0.009660536975302003</v>
      </c>
      <c r="O70" s="16">
        <v>0.009509454503612744</v>
      </c>
      <c r="P70" s="16">
        <v>0.00017375031693344847</v>
      </c>
      <c r="Q70" s="17">
        <v>0</v>
      </c>
      <c r="R70" s="16">
        <v>8.561578679005487E-05</v>
      </c>
      <c r="S70" s="18">
        <v>0.006455669508643509</v>
      </c>
    </row>
    <row r="71" spans="1:19" ht="12.75">
      <c r="A71" s="156"/>
      <c r="B71" s="6" t="s">
        <v>155</v>
      </c>
      <c r="C71" s="16">
        <v>0</v>
      </c>
      <c r="D71" s="17">
        <v>0</v>
      </c>
      <c r="E71" s="17">
        <v>0</v>
      </c>
      <c r="F71" s="17">
        <v>0</v>
      </c>
      <c r="G71" s="17">
        <v>0</v>
      </c>
      <c r="H71" s="17">
        <v>0</v>
      </c>
      <c r="I71" s="17">
        <v>0</v>
      </c>
      <c r="J71" s="16">
        <v>0</v>
      </c>
      <c r="K71" s="16">
        <v>0</v>
      </c>
      <c r="L71" s="17">
        <v>0</v>
      </c>
      <c r="M71" s="17">
        <v>0</v>
      </c>
      <c r="N71" s="17">
        <v>0</v>
      </c>
      <c r="O71" s="16">
        <v>0</v>
      </c>
      <c r="P71" s="16">
        <v>0</v>
      </c>
      <c r="Q71" s="17">
        <v>0</v>
      </c>
      <c r="R71" s="16">
        <v>0</v>
      </c>
      <c r="S71" s="18">
        <v>0</v>
      </c>
    </row>
    <row r="72" spans="1:19" ht="12.75">
      <c r="A72" s="156"/>
      <c r="B72" s="6" t="s">
        <v>157</v>
      </c>
      <c r="C72" s="16">
        <v>0.9243649498951293</v>
      </c>
      <c r="D72" s="17">
        <v>0.7651508717438517</v>
      </c>
      <c r="E72" s="17">
        <v>0.61642032194363</v>
      </c>
      <c r="F72" s="17">
        <v>0.7640095392247943</v>
      </c>
      <c r="G72" s="17">
        <v>0</v>
      </c>
      <c r="H72" s="17">
        <v>0.9851239669421488</v>
      </c>
      <c r="I72" s="17">
        <v>0</v>
      </c>
      <c r="J72" s="16">
        <v>0.7590606598127232</v>
      </c>
      <c r="K72" s="16">
        <v>0</v>
      </c>
      <c r="L72" s="17">
        <v>0</v>
      </c>
      <c r="M72" s="17">
        <v>0</v>
      </c>
      <c r="N72" s="17">
        <v>0</v>
      </c>
      <c r="O72" s="16">
        <v>0</v>
      </c>
      <c r="P72" s="16">
        <v>0</v>
      </c>
      <c r="Q72" s="17">
        <v>0</v>
      </c>
      <c r="R72" s="16">
        <v>0</v>
      </c>
      <c r="S72" s="18">
        <v>0.7590606598127232</v>
      </c>
    </row>
    <row r="73" spans="1:19" ht="12.75">
      <c r="A73" s="156"/>
      <c r="B73" s="6" t="s">
        <v>159</v>
      </c>
      <c r="C73" s="16">
        <v>0.04821719878816127</v>
      </c>
      <c r="D73" s="17">
        <v>0.10395408937042744</v>
      </c>
      <c r="E73" s="17">
        <v>0.19365411083441122</v>
      </c>
      <c r="F73" s="17">
        <v>0.10165595579009874</v>
      </c>
      <c r="G73" s="17">
        <v>0</v>
      </c>
      <c r="H73" s="17">
        <v>0</v>
      </c>
      <c r="I73" s="17">
        <v>0</v>
      </c>
      <c r="J73" s="16">
        <v>0.11779611931653634</v>
      </c>
      <c r="K73" s="16">
        <v>0</v>
      </c>
      <c r="L73" s="17">
        <v>0</v>
      </c>
      <c r="M73" s="17">
        <v>0</v>
      </c>
      <c r="N73" s="17">
        <v>0</v>
      </c>
      <c r="O73" s="16">
        <v>0</v>
      </c>
      <c r="P73" s="16">
        <v>0</v>
      </c>
      <c r="Q73" s="17">
        <v>0</v>
      </c>
      <c r="R73" s="16">
        <v>0</v>
      </c>
      <c r="S73" s="18">
        <v>0.11779611931653634</v>
      </c>
    </row>
    <row r="74" spans="1:19" ht="12.75">
      <c r="A74" s="156"/>
      <c r="B74" s="6" t="s">
        <v>161</v>
      </c>
      <c r="C74" s="16">
        <v>0.01625495222558844</v>
      </c>
      <c r="D74" s="17">
        <v>0.1304218585069339</v>
      </c>
      <c r="E74" s="17">
        <v>0.12032608645618041</v>
      </c>
      <c r="F74" s="17">
        <v>0.11722902759287815</v>
      </c>
      <c r="G74" s="17">
        <v>0</v>
      </c>
      <c r="H74" s="17">
        <v>0.013636363636363636</v>
      </c>
      <c r="I74" s="17">
        <v>0</v>
      </c>
      <c r="J74" s="16">
        <v>0.09462635148180326</v>
      </c>
      <c r="K74" s="16">
        <v>0</v>
      </c>
      <c r="L74" s="17">
        <v>0</v>
      </c>
      <c r="M74" s="17">
        <v>0</v>
      </c>
      <c r="N74" s="17">
        <v>0</v>
      </c>
      <c r="O74" s="16">
        <v>0</v>
      </c>
      <c r="P74" s="16">
        <v>0</v>
      </c>
      <c r="Q74" s="17">
        <v>0</v>
      </c>
      <c r="R74" s="16">
        <v>0</v>
      </c>
      <c r="S74" s="18">
        <v>0.09462635148180326</v>
      </c>
    </row>
    <row r="75" spans="1:19" ht="12.75">
      <c r="A75" s="156"/>
      <c r="B75" s="6" t="s">
        <v>615</v>
      </c>
      <c r="C75" s="16">
        <v>0.011127942204614308</v>
      </c>
      <c r="D75" s="17">
        <v>0.0004003833974351197</v>
      </c>
      <c r="E75" s="17">
        <v>0.04150191260477898</v>
      </c>
      <c r="F75" s="17">
        <v>0.01687561655381138</v>
      </c>
      <c r="G75" s="17">
        <v>0</v>
      </c>
      <c r="H75" s="17">
        <v>0</v>
      </c>
      <c r="I75" s="17">
        <v>0</v>
      </c>
      <c r="J75" s="16">
        <v>0.01923749879331982</v>
      </c>
      <c r="K75" s="16">
        <v>0</v>
      </c>
      <c r="L75" s="17">
        <v>0</v>
      </c>
      <c r="M75" s="17">
        <v>0</v>
      </c>
      <c r="N75" s="17">
        <v>0</v>
      </c>
      <c r="O75" s="16">
        <v>0</v>
      </c>
      <c r="P75" s="16">
        <v>0</v>
      </c>
      <c r="Q75" s="17">
        <v>0</v>
      </c>
      <c r="R75" s="16">
        <v>0</v>
      </c>
      <c r="S75" s="18">
        <v>0.01923749879331982</v>
      </c>
    </row>
    <row r="76" spans="1:20" s="3" customFormat="1" ht="12.75">
      <c r="A76" s="156"/>
      <c r="B76" s="6" t="s">
        <v>163</v>
      </c>
      <c r="C76" s="16">
        <v>3.4956886506641806E-05</v>
      </c>
      <c r="D76" s="17">
        <v>7.279698135183995E-05</v>
      </c>
      <c r="E76" s="17">
        <v>0.028097568160999432</v>
      </c>
      <c r="F76" s="17">
        <v>0.00022986083841740812</v>
      </c>
      <c r="G76" s="17">
        <v>0</v>
      </c>
      <c r="H76" s="17">
        <v>0.0012396694214876034</v>
      </c>
      <c r="I76" s="17">
        <v>0</v>
      </c>
      <c r="J76" s="16">
        <v>0.009279370595617337</v>
      </c>
      <c r="K76" s="16">
        <v>0</v>
      </c>
      <c r="L76" s="17">
        <v>0</v>
      </c>
      <c r="M76" s="17">
        <v>0</v>
      </c>
      <c r="N76" s="17">
        <v>0</v>
      </c>
      <c r="O76" s="16">
        <v>0</v>
      </c>
      <c r="P76" s="16">
        <v>0</v>
      </c>
      <c r="Q76" s="17">
        <v>0</v>
      </c>
      <c r="R76" s="16">
        <v>0</v>
      </c>
      <c r="S76" s="18">
        <v>0.009279370595617337</v>
      </c>
      <c r="T76"/>
    </row>
    <row r="77" spans="1:20" s="3" customFormat="1" ht="12.75">
      <c r="A77" s="157"/>
      <c r="B77" s="154" t="s">
        <v>165</v>
      </c>
      <c r="C77" s="138">
        <v>0</v>
      </c>
      <c r="D77" s="139">
        <v>0</v>
      </c>
      <c r="E77" s="139">
        <v>0</v>
      </c>
      <c r="F77" s="139">
        <v>0</v>
      </c>
      <c r="G77" s="139">
        <v>0</v>
      </c>
      <c r="H77" s="139">
        <v>0</v>
      </c>
      <c r="I77" s="139">
        <v>0</v>
      </c>
      <c r="J77" s="138">
        <v>0</v>
      </c>
      <c r="K77" s="138">
        <v>0</v>
      </c>
      <c r="L77" s="139">
        <v>0</v>
      </c>
      <c r="M77" s="139">
        <v>0</v>
      </c>
      <c r="N77" s="139">
        <v>0</v>
      </c>
      <c r="O77" s="138">
        <v>0</v>
      </c>
      <c r="P77" s="138">
        <v>0</v>
      </c>
      <c r="Q77" s="139">
        <v>0</v>
      </c>
      <c r="R77" s="138">
        <v>0</v>
      </c>
      <c r="S77" s="140">
        <v>0</v>
      </c>
      <c r="T77"/>
    </row>
    <row r="78" spans="1:20" s="3" customFormat="1" ht="12.75">
      <c r="A78" s="155" t="s">
        <v>457</v>
      </c>
      <c r="B78" s="4" t="s">
        <v>147</v>
      </c>
      <c r="C78" s="13">
        <v>0</v>
      </c>
      <c r="D78" s="14">
        <v>0</v>
      </c>
      <c r="E78" s="14">
        <v>0</v>
      </c>
      <c r="F78" s="14">
        <v>0</v>
      </c>
      <c r="G78" s="14">
        <v>0</v>
      </c>
      <c r="H78" s="14">
        <v>0</v>
      </c>
      <c r="I78" s="14">
        <v>0</v>
      </c>
      <c r="J78" s="13">
        <v>0</v>
      </c>
      <c r="K78" s="13">
        <v>0</v>
      </c>
      <c r="L78" s="14">
        <v>0</v>
      </c>
      <c r="M78" s="14">
        <v>0</v>
      </c>
      <c r="N78" s="14">
        <v>0</v>
      </c>
      <c r="O78" s="13">
        <v>0</v>
      </c>
      <c r="P78" s="13">
        <v>0</v>
      </c>
      <c r="Q78" s="14">
        <v>0</v>
      </c>
      <c r="R78" s="13">
        <v>0</v>
      </c>
      <c r="S78" s="15">
        <v>0</v>
      </c>
      <c r="T78"/>
    </row>
    <row r="79" spans="1:20" s="3" customFormat="1" ht="12.75">
      <c r="A79" s="156"/>
      <c r="B79" s="6" t="s">
        <v>149</v>
      </c>
      <c r="C79" s="16">
        <v>0</v>
      </c>
      <c r="D79" s="17">
        <v>0</v>
      </c>
      <c r="E79" s="17">
        <v>0</v>
      </c>
      <c r="F79" s="17">
        <v>0</v>
      </c>
      <c r="G79" s="17">
        <v>0</v>
      </c>
      <c r="H79" s="17">
        <v>0</v>
      </c>
      <c r="I79" s="17">
        <v>0</v>
      </c>
      <c r="J79" s="16">
        <v>0</v>
      </c>
      <c r="K79" s="16">
        <v>0</v>
      </c>
      <c r="L79" s="17">
        <v>0</v>
      </c>
      <c r="M79" s="17">
        <v>0</v>
      </c>
      <c r="N79" s="17">
        <v>0</v>
      </c>
      <c r="O79" s="16">
        <v>0</v>
      </c>
      <c r="P79" s="16">
        <v>0</v>
      </c>
      <c r="Q79" s="17">
        <v>0</v>
      </c>
      <c r="R79" s="16">
        <v>0</v>
      </c>
      <c r="S79" s="18">
        <v>0</v>
      </c>
      <c r="T79"/>
    </row>
    <row r="80" spans="1:20" s="3" customFormat="1" ht="12.75">
      <c r="A80" s="156"/>
      <c r="B80" s="6" t="s">
        <v>151</v>
      </c>
      <c r="C80" s="16">
        <v>0</v>
      </c>
      <c r="D80" s="17">
        <v>0</v>
      </c>
      <c r="E80" s="17">
        <v>0</v>
      </c>
      <c r="F80" s="17">
        <v>0</v>
      </c>
      <c r="G80" s="17">
        <v>0</v>
      </c>
      <c r="H80" s="17">
        <v>0</v>
      </c>
      <c r="I80" s="17">
        <v>0</v>
      </c>
      <c r="J80" s="16">
        <v>0</v>
      </c>
      <c r="K80" s="16">
        <v>0</v>
      </c>
      <c r="L80" s="17">
        <v>0</v>
      </c>
      <c r="M80" s="17">
        <v>0</v>
      </c>
      <c r="N80" s="17">
        <v>0</v>
      </c>
      <c r="O80" s="16">
        <v>0</v>
      </c>
      <c r="P80" s="16">
        <v>0</v>
      </c>
      <c r="Q80" s="17">
        <v>0</v>
      </c>
      <c r="R80" s="16">
        <v>0</v>
      </c>
      <c r="S80" s="18">
        <v>0</v>
      </c>
      <c r="T80"/>
    </row>
    <row r="81" spans="1:20" s="3" customFormat="1" ht="12.75">
      <c r="A81" s="156"/>
      <c r="B81" s="6" t="s">
        <v>613</v>
      </c>
      <c r="C81" s="16">
        <v>0</v>
      </c>
      <c r="D81" s="17">
        <v>0</v>
      </c>
      <c r="E81" s="17">
        <v>0</v>
      </c>
      <c r="F81" s="17">
        <v>0</v>
      </c>
      <c r="G81" s="17">
        <v>0</v>
      </c>
      <c r="H81" s="17">
        <v>0</v>
      </c>
      <c r="I81" s="17">
        <v>0</v>
      </c>
      <c r="J81" s="16">
        <v>0</v>
      </c>
      <c r="K81" s="16">
        <v>0</v>
      </c>
      <c r="L81" s="17">
        <v>0</v>
      </c>
      <c r="M81" s="17">
        <v>0</v>
      </c>
      <c r="N81" s="17">
        <v>0</v>
      </c>
      <c r="O81" s="16">
        <v>0</v>
      </c>
      <c r="P81" s="16">
        <v>0</v>
      </c>
      <c r="Q81" s="17">
        <v>0</v>
      </c>
      <c r="R81" s="16">
        <v>0</v>
      </c>
      <c r="S81" s="18">
        <v>0</v>
      </c>
      <c r="T81"/>
    </row>
    <row r="82" spans="1:20" s="3" customFormat="1" ht="12.75">
      <c r="A82" s="156"/>
      <c r="B82" s="6" t="s">
        <v>153</v>
      </c>
      <c r="C82" s="16">
        <v>0</v>
      </c>
      <c r="D82" s="17">
        <v>0</v>
      </c>
      <c r="E82" s="17">
        <v>0</v>
      </c>
      <c r="F82" s="17">
        <v>0</v>
      </c>
      <c r="G82" s="17">
        <v>0</v>
      </c>
      <c r="H82" s="17">
        <v>0</v>
      </c>
      <c r="I82" s="17">
        <v>0</v>
      </c>
      <c r="J82" s="16">
        <v>0</v>
      </c>
      <c r="K82" s="16">
        <v>0</v>
      </c>
      <c r="L82" s="17">
        <v>0</v>
      </c>
      <c r="M82" s="17">
        <v>0</v>
      </c>
      <c r="N82" s="17">
        <v>0</v>
      </c>
      <c r="O82" s="16">
        <v>0</v>
      </c>
      <c r="P82" s="16">
        <v>0</v>
      </c>
      <c r="Q82" s="17">
        <v>0</v>
      </c>
      <c r="R82" s="16">
        <v>0</v>
      </c>
      <c r="S82" s="18">
        <v>0</v>
      </c>
      <c r="T82"/>
    </row>
    <row r="83" spans="1:20" s="3" customFormat="1" ht="12.75">
      <c r="A83" s="156"/>
      <c r="B83" s="6" t="s">
        <v>155</v>
      </c>
      <c r="C83" s="16">
        <v>0</v>
      </c>
      <c r="D83" s="17">
        <v>0</v>
      </c>
      <c r="E83" s="17">
        <v>0</v>
      </c>
      <c r="F83" s="17">
        <v>0</v>
      </c>
      <c r="G83" s="17">
        <v>0</v>
      </c>
      <c r="H83" s="17">
        <v>0</v>
      </c>
      <c r="I83" s="17">
        <v>0</v>
      </c>
      <c r="J83" s="16">
        <v>0</v>
      </c>
      <c r="K83" s="16">
        <v>0</v>
      </c>
      <c r="L83" s="17">
        <v>0</v>
      </c>
      <c r="M83" s="17">
        <v>0</v>
      </c>
      <c r="N83" s="17">
        <v>0</v>
      </c>
      <c r="O83" s="16">
        <v>0</v>
      </c>
      <c r="P83" s="16">
        <v>0</v>
      </c>
      <c r="Q83" s="17">
        <v>0</v>
      </c>
      <c r="R83" s="16">
        <v>0</v>
      </c>
      <c r="S83" s="18">
        <v>0</v>
      </c>
      <c r="T83"/>
    </row>
    <row r="84" spans="1:20" s="3" customFormat="1" ht="12.75">
      <c r="A84" s="156"/>
      <c r="B84" s="6" t="s">
        <v>157</v>
      </c>
      <c r="C84" s="16">
        <v>0</v>
      </c>
      <c r="D84" s="17">
        <v>0</v>
      </c>
      <c r="E84" s="17">
        <v>0</v>
      </c>
      <c r="F84" s="17">
        <v>0</v>
      </c>
      <c r="G84" s="17">
        <v>0</v>
      </c>
      <c r="H84" s="17">
        <v>0</v>
      </c>
      <c r="I84" s="17">
        <v>0</v>
      </c>
      <c r="J84" s="16">
        <v>0</v>
      </c>
      <c r="K84" s="16">
        <v>0</v>
      </c>
      <c r="L84" s="17">
        <v>0</v>
      </c>
      <c r="M84" s="17">
        <v>0</v>
      </c>
      <c r="N84" s="17">
        <v>0</v>
      </c>
      <c r="O84" s="16">
        <v>0</v>
      </c>
      <c r="P84" s="16">
        <v>0</v>
      </c>
      <c r="Q84" s="17">
        <v>0</v>
      </c>
      <c r="R84" s="16">
        <v>0</v>
      </c>
      <c r="S84" s="18">
        <v>0</v>
      </c>
      <c r="T84"/>
    </row>
    <row r="85" spans="1:20" s="3" customFormat="1" ht="12.75">
      <c r="A85" s="156"/>
      <c r="B85" s="6" t="s">
        <v>159</v>
      </c>
      <c r="C85" s="16">
        <v>0</v>
      </c>
      <c r="D85" s="17">
        <v>0</v>
      </c>
      <c r="E85" s="17">
        <v>0</v>
      </c>
      <c r="F85" s="17">
        <v>0</v>
      </c>
      <c r="G85" s="17">
        <v>0</v>
      </c>
      <c r="H85" s="17">
        <v>0</v>
      </c>
      <c r="I85" s="17">
        <v>0</v>
      </c>
      <c r="J85" s="16">
        <v>0</v>
      </c>
      <c r="K85" s="16">
        <v>0</v>
      </c>
      <c r="L85" s="17">
        <v>0</v>
      </c>
      <c r="M85" s="17">
        <v>0</v>
      </c>
      <c r="N85" s="17">
        <v>0</v>
      </c>
      <c r="O85" s="16">
        <v>0</v>
      </c>
      <c r="P85" s="16">
        <v>0</v>
      </c>
      <c r="Q85" s="17">
        <v>0</v>
      </c>
      <c r="R85" s="16">
        <v>0</v>
      </c>
      <c r="S85" s="18">
        <v>0</v>
      </c>
      <c r="T85"/>
    </row>
    <row r="86" spans="1:20" s="3" customFormat="1" ht="12.75">
      <c r="A86" s="156"/>
      <c r="B86" s="6" t="s">
        <v>161</v>
      </c>
      <c r="C86" s="16">
        <v>0</v>
      </c>
      <c r="D86" s="17">
        <v>0</v>
      </c>
      <c r="E86" s="17">
        <v>0</v>
      </c>
      <c r="F86" s="17">
        <v>0</v>
      </c>
      <c r="G86" s="17">
        <v>0</v>
      </c>
      <c r="H86" s="17">
        <v>0</v>
      </c>
      <c r="I86" s="17">
        <v>0</v>
      </c>
      <c r="J86" s="16">
        <v>0</v>
      </c>
      <c r="K86" s="16">
        <v>0</v>
      </c>
      <c r="L86" s="17">
        <v>0</v>
      </c>
      <c r="M86" s="17">
        <v>0</v>
      </c>
      <c r="N86" s="17">
        <v>0</v>
      </c>
      <c r="O86" s="16">
        <v>0</v>
      </c>
      <c r="P86" s="16">
        <v>0</v>
      </c>
      <c r="Q86" s="17">
        <v>0</v>
      </c>
      <c r="R86" s="16">
        <v>0</v>
      </c>
      <c r="S86" s="18">
        <v>0</v>
      </c>
      <c r="T86"/>
    </row>
    <row r="87" spans="1:20" s="3" customFormat="1" ht="12.75">
      <c r="A87" s="156"/>
      <c r="B87" s="6" t="s">
        <v>615</v>
      </c>
      <c r="C87" s="16">
        <v>0</v>
      </c>
      <c r="D87" s="17">
        <v>0</v>
      </c>
      <c r="E87" s="17">
        <v>0</v>
      </c>
      <c r="F87" s="17">
        <v>0</v>
      </c>
      <c r="G87" s="17">
        <v>0</v>
      </c>
      <c r="H87" s="17">
        <v>0</v>
      </c>
      <c r="I87" s="17">
        <v>0</v>
      </c>
      <c r="J87" s="16">
        <v>0</v>
      </c>
      <c r="K87" s="16">
        <v>0</v>
      </c>
      <c r="L87" s="17">
        <v>0</v>
      </c>
      <c r="M87" s="17">
        <v>0</v>
      </c>
      <c r="N87" s="17">
        <v>0</v>
      </c>
      <c r="O87" s="16">
        <v>0</v>
      </c>
      <c r="P87" s="16">
        <v>0</v>
      </c>
      <c r="Q87" s="17">
        <v>0</v>
      </c>
      <c r="R87" s="16">
        <v>0</v>
      </c>
      <c r="S87" s="18">
        <v>0</v>
      </c>
      <c r="T87"/>
    </row>
    <row r="88" spans="1:20" s="3" customFormat="1" ht="12.75">
      <c r="A88" s="156"/>
      <c r="B88" s="6" t="s">
        <v>163</v>
      </c>
      <c r="C88" s="16">
        <v>0</v>
      </c>
      <c r="D88" s="17">
        <v>0</v>
      </c>
      <c r="E88" s="17">
        <v>0</v>
      </c>
      <c r="F88" s="17">
        <v>0</v>
      </c>
      <c r="G88" s="17">
        <v>0</v>
      </c>
      <c r="H88" s="17">
        <v>0</v>
      </c>
      <c r="I88" s="17">
        <v>0</v>
      </c>
      <c r="J88" s="16">
        <v>0</v>
      </c>
      <c r="K88" s="16">
        <v>0</v>
      </c>
      <c r="L88" s="17">
        <v>0</v>
      </c>
      <c r="M88" s="17">
        <v>0</v>
      </c>
      <c r="N88" s="17">
        <v>0</v>
      </c>
      <c r="O88" s="16">
        <v>0</v>
      </c>
      <c r="P88" s="16">
        <v>0</v>
      </c>
      <c r="Q88" s="17">
        <v>0</v>
      </c>
      <c r="R88" s="16">
        <v>0</v>
      </c>
      <c r="S88" s="18">
        <v>0</v>
      </c>
      <c r="T88"/>
    </row>
    <row r="89" spans="1:20" s="3" customFormat="1" ht="12.75">
      <c r="A89" s="156"/>
      <c r="B89" s="154" t="s">
        <v>165</v>
      </c>
      <c r="C89" s="138">
        <v>0</v>
      </c>
      <c r="D89" s="139">
        <v>0</v>
      </c>
      <c r="E89" s="139">
        <v>0</v>
      </c>
      <c r="F89" s="139">
        <v>0</v>
      </c>
      <c r="G89" s="139">
        <v>0</v>
      </c>
      <c r="H89" s="139">
        <v>0</v>
      </c>
      <c r="I89" s="139">
        <v>0</v>
      </c>
      <c r="J89" s="138">
        <v>0</v>
      </c>
      <c r="K89" s="138">
        <v>0</v>
      </c>
      <c r="L89" s="139">
        <v>0</v>
      </c>
      <c r="M89" s="139">
        <v>0</v>
      </c>
      <c r="N89" s="139">
        <v>0</v>
      </c>
      <c r="O89" s="138">
        <v>0</v>
      </c>
      <c r="P89" s="138">
        <v>0</v>
      </c>
      <c r="Q89" s="139">
        <v>0</v>
      </c>
      <c r="R89" s="138">
        <v>0</v>
      </c>
      <c r="S89" s="140">
        <v>0</v>
      </c>
      <c r="T89"/>
    </row>
    <row r="90" spans="1:19" ht="12.75">
      <c r="A90" s="155" t="s">
        <v>458</v>
      </c>
      <c r="B90" s="4" t="s">
        <v>147</v>
      </c>
      <c r="C90" s="13">
        <v>0</v>
      </c>
      <c r="D90" s="14">
        <v>0.9916077172840343</v>
      </c>
      <c r="E90" s="14">
        <v>0.9874331618560097</v>
      </c>
      <c r="F90" s="14">
        <v>0.9781021696299657</v>
      </c>
      <c r="G90" s="14">
        <v>0</v>
      </c>
      <c r="H90" s="14">
        <v>0</v>
      </c>
      <c r="I90" s="14">
        <v>0</v>
      </c>
      <c r="J90" s="13">
        <v>0.7954891439959082</v>
      </c>
      <c r="K90" s="13">
        <v>0</v>
      </c>
      <c r="L90" s="14">
        <v>0.9177620729490034</v>
      </c>
      <c r="M90" s="14">
        <v>0.8943623192180471</v>
      </c>
      <c r="N90" s="14">
        <v>0.8315534283308909</v>
      </c>
      <c r="O90" s="13">
        <v>0.9004208316673331</v>
      </c>
      <c r="P90" s="13">
        <v>0</v>
      </c>
      <c r="Q90" s="14">
        <v>0</v>
      </c>
      <c r="R90" s="13">
        <v>0</v>
      </c>
      <c r="S90" s="15">
        <v>0.8556523391230103</v>
      </c>
    </row>
    <row r="91" spans="1:19" ht="12.75">
      <c r="A91" s="156"/>
      <c r="B91" s="6" t="s">
        <v>149</v>
      </c>
      <c r="C91" s="16">
        <v>0</v>
      </c>
      <c r="D91" s="17">
        <v>0.008392282715965678</v>
      </c>
      <c r="E91" s="17">
        <v>0.011837003623831124</v>
      </c>
      <c r="F91" s="17">
        <v>0.007174125296889709</v>
      </c>
      <c r="G91" s="17">
        <v>0</v>
      </c>
      <c r="H91" s="17">
        <v>0</v>
      </c>
      <c r="I91" s="17">
        <v>0.29951611264309014</v>
      </c>
      <c r="J91" s="16">
        <v>0.06466686436098669</v>
      </c>
      <c r="K91" s="16">
        <v>0</v>
      </c>
      <c r="L91" s="17">
        <v>0.021095444955109198</v>
      </c>
      <c r="M91" s="17">
        <v>0.022443565520551562</v>
      </c>
      <c r="N91" s="17">
        <v>0.10501699354557076</v>
      </c>
      <c r="O91" s="16">
        <v>0.03221911235505798</v>
      </c>
      <c r="P91" s="16">
        <v>0</v>
      </c>
      <c r="Q91" s="17">
        <v>0</v>
      </c>
      <c r="R91" s="16">
        <v>0</v>
      </c>
      <c r="S91" s="18">
        <v>0.04606275650101064</v>
      </c>
    </row>
    <row r="92" spans="1:20" s="148" customFormat="1" ht="12.75">
      <c r="A92" s="156"/>
      <c r="B92" s="6" t="s">
        <v>151</v>
      </c>
      <c r="C92" s="16">
        <v>0</v>
      </c>
      <c r="D92" s="17">
        <v>0</v>
      </c>
      <c r="E92" s="17">
        <v>0.0007298345201591444</v>
      </c>
      <c r="F92" s="17">
        <v>0.008512141995411726</v>
      </c>
      <c r="G92" s="17">
        <v>0</v>
      </c>
      <c r="H92" s="17">
        <v>0</v>
      </c>
      <c r="I92" s="17">
        <v>0.7004838873569098</v>
      </c>
      <c r="J92" s="16">
        <v>0.13757711169941778</v>
      </c>
      <c r="K92" s="16">
        <v>0</v>
      </c>
      <c r="L92" s="17">
        <v>0.05361620809045451</v>
      </c>
      <c r="M92" s="17">
        <v>0.05254629543501151</v>
      </c>
      <c r="N92" s="17">
        <v>0.03032724268030308</v>
      </c>
      <c r="O92" s="16">
        <v>0.050342363054778086</v>
      </c>
      <c r="P92" s="16">
        <v>0</v>
      </c>
      <c r="Q92" s="17">
        <v>0</v>
      </c>
      <c r="R92" s="16">
        <v>0</v>
      </c>
      <c r="S92" s="18">
        <v>0.08756055977846365</v>
      </c>
      <c r="T92"/>
    </row>
    <row r="93" spans="1:20" s="144" customFormat="1" ht="12.75">
      <c r="A93" s="156"/>
      <c r="B93" s="6" t="s">
        <v>613</v>
      </c>
      <c r="C93" s="16">
        <v>0</v>
      </c>
      <c r="D93" s="17">
        <v>0</v>
      </c>
      <c r="E93" s="17">
        <v>0</v>
      </c>
      <c r="F93" s="17">
        <v>0.006211563077732881</v>
      </c>
      <c r="G93" s="17">
        <v>0</v>
      </c>
      <c r="H93" s="17">
        <v>0</v>
      </c>
      <c r="I93" s="17">
        <v>0</v>
      </c>
      <c r="J93" s="16">
        <v>0.002266879943687344</v>
      </c>
      <c r="K93" s="16">
        <v>0</v>
      </c>
      <c r="L93" s="17">
        <v>0.007526274005432972</v>
      </c>
      <c r="M93" s="17">
        <v>0.021796154976689498</v>
      </c>
      <c r="N93" s="17">
        <v>0.020251941005893174</v>
      </c>
      <c r="O93" s="16">
        <v>0.012991803278688525</v>
      </c>
      <c r="P93" s="16">
        <v>0</v>
      </c>
      <c r="Q93" s="17">
        <v>0</v>
      </c>
      <c r="R93" s="16">
        <v>0</v>
      </c>
      <c r="S93" s="18">
        <v>0.008416077289558307</v>
      </c>
      <c r="T93"/>
    </row>
    <row r="94" spans="1:19" ht="12.75">
      <c r="A94" s="156"/>
      <c r="B94" s="6" t="s">
        <v>153</v>
      </c>
      <c r="C94" s="16">
        <v>0</v>
      </c>
      <c r="D94" s="17">
        <v>0</v>
      </c>
      <c r="E94" s="17">
        <v>0</v>
      </c>
      <c r="F94" s="17">
        <v>0</v>
      </c>
      <c r="G94" s="17">
        <v>0</v>
      </c>
      <c r="H94" s="17">
        <v>0</v>
      </c>
      <c r="I94" s="17">
        <v>0</v>
      </c>
      <c r="J94" s="16">
        <v>0</v>
      </c>
      <c r="K94" s="16">
        <v>0</v>
      </c>
      <c r="L94" s="17">
        <v>0</v>
      </c>
      <c r="M94" s="17">
        <v>0.008851664849700293</v>
      </c>
      <c r="N94" s="17">
        <v>0.011837017866608462</v>
      </c>
      <c r="O94" s="16">
        <v>0.0038959416233506597</v>
      </c>
      <c r="P94" s="16">
        <v>0</v>
      </c>
      <c r="Q94" s="17">
        <v>0</v>
      </c>
      <c r="R94" s="16">
        <v>0</v>
      </c>
      <c r="S94" s="18">
        <v>0.002233760852330927</v>
      </c>
    </row>
    <row r="95" spans="1:19" ht="12.75">
      <c r="A95" s="156"/>
      <c r="B95" s="6" t="s">
        <v>155</v>
      </c>
      <c r="C95" s="16">
        <v>0</v>
      </c>
      <c r="D95" s="17">
        <v>0</v>
      </c>
      <c r="E95" s="17">
        <v>0</v>
      </c>
      <c r="F95" s="17">
        <v>0</v>
      </c>
      <c r="G95" s="17">
        <v>0</v>
      </c>
      <c r="H95" s="17">
        <v>0</v>
      </c>
      <c r="I95" s="17">
        <v>0</v>
      </c>
      <c r="J95" s="16">
        <v>0</v>
      </c>
      <c r="K95" s="16">
        <v>0</v>
      </c>
      <c r="L95" s="17">
        <v>0</v>
      </c>
      <c r="M95" s="17">
        <v>0</v>
      </c>
      <c r="N95" s="17">
        <v>0.0010133765707336846</v>
      </c>
      <c r="O95" s="16">
        <v>0.00012994802079168333</v>
      </c>
      <c r="P95" s="16">
        <v>0</v>
      </c>
      <c r="Q95" s="17">
        <v>0</v>
      </c>
      <c r="R95" s="16">
        <v>0</v>
      </c>
      <c r="S95" s="18">
        <v>7.450645562617589E-05</v>
      </c>
    </row>
    <row r="96" spans="1:19" ht="12.75">
      <c r="A96" s="156"/>
      <c r="B96" s="6" t="s">
        <v>157</v>
      </c>
      <c r="C96" s="16">
        <v>0</v>
      </c>
      <c r="D96" s="17">
        <v>0.8654283548142532</v>
      </c>
      <c r="E96" s="17">
        <v>0.8334794253713173</v>
      </c>
      <c r="F96" s="17">
        <v>0.8842025743662193</v>
      </c>
      <c r="G96" s="17">
        <v>0</v>
      </c>
      <c r="H96" s="17">
        <v>0</v>
      </c>
      <c r="I96" s="17">
        <v>0</v>
      </c>
      <c r="J96" s="16">
        <v>0.5834276166126467</v>
      </c>
      <c r="K96" s="16">
        <v>0</v>
      </c>
      <c r="L96" s="17">
        <v>0</v>
      </c>
      <c r="M96" s="17">
        <v>0</v>
      </c>
      <c r="N96" s="17">
        <v>0</v>
      </c>
      <c r="O96" s="16">
        <v>0</v>
      </c>
      <c r="P96" s="16">
        <v>0</v>
      </c>
      <c r="Q96" s="17">
        <v>0</v>
      </c>
      <c r="R96" s="16">
        <v>0</v>
      </c>
      <c r="S96" s="18">
        <v>0.5834276166126467</v>
      </c>
    </row>
    <row r="97" spans="1:19" ht="12.75">
      <c r="A97" s="156"/>
      <c r="B97" s="6" t="s">
        <v>159</v>
      </c>
      <c r="C97" s="16">
        <v>0</v>
      </c>
      <c r="D97" s="17">
        <v>0.019332827899924184</v>
      </c>
      <c r="E97" s="17">
        <v>0.16527879230581932</v>
      </c>
      <c r="F97" s="17">
        <v>0.060140491327211366</v>
      </c>
      <c r="G97" s="17">
        <v>0</v>
      </c>
      <c r="H97" s="17">
        <v>0</v>
      </c>
      <c r="I97" s="17">
        <v>0.2001102603369066</v>
      </c>
      <c r="J97" s="16">
        <v>0.11962635637066414</v>
      </c>
      <c r="K97" s="16">
        <v>0</v>
      </c>
      <c r="L97" s="17">
        <v>0</v>
      </c>
      <c r="M97" s="17">
        <v>0</v>
      </c>
      <c r="N97" s="17">
        <v>0</v>
      </c>
      <c r="O97" s="16">
        <v>0</v>
      </c>
      <c r="P97" s="16">
        <v>0</v>
      </c>
      <c r="Q97" s="17">
        <v>0</v>
      </c>
      <c r="R97" s="16">
        <v>0</v>
      </c>
      <c r="S97" s="18">
        <v>0.11962635637066414</v>
      </c>
    </row>
    <row r="98" spans="1:19" ht="12.75">
      <c r="A98" s="156"/>
      <c r="B98" s="6" t="s">
        <v>161</v>
      </c>
      <c r="C98" s="16">
        <v>0</v>
      </c>
      <c r="D98" s="17">
        <v>0.11182714177407127</v>
      </c>
      <c r="E98" s="17">
        <v>0.0012417823228634038</v>
      </c>
      <c r="F98" s="17">
        <v>0.048357664233576646</v>
      </c>
      <c r="G98" s="17">
        <v>0</v>
      </c>
      <c r="H98" s="17">
        <v>0</v>
      </c>
      <c r="I98" s="17">
        <v>0.7998897396630934</v>
      </c>
      <c r="J98" s="16">
        <v>0.2936243029412357</v>
      </c>
      <c r="K98" s="16">
        <v>0</v>
      </c>
      <c r="L98" s="17">
        <v>0</v>
      </c>
      <c r="M98" s="17">
        <v>0</v>
      </c>
      <c r="N98" s="17">
        <v>0</v>
      </c>
      <c r="O98" s="16">
        <v>0</v>
      </c>
      <c r="P98" s="16">
        <v>0</v>
      </c>
      <c r="Q98" s="17">
        <v>0</v>
      </c>
      <c r="R98" s="16">
        <v>0</v>
      </c>
      <c r="S98" s="18">
        <v>0.2936243029412357</v>
      </c>
    </row>
    <row r="99" spans="1:19" ht="12.75">
      <c r="A99" s="156"/>
      <c r="B99" s="6" t="s">
        <v>615</v>
      </c>
      <c r="C99" s="16">
        <v>0</v>
      </c>
      <c r="D99" s="17">
        <v>0.003411675511751327</v>
      </c>
      <c r="E99" s="17">
        <v>0</v>
      </c>
      <c r="F99" s="17">
        <v>0.0072992700729927005</v>
      </c>
      <c r="G99" s="17">
        <v>0</v>
      </c>
      <c r="H99" s="17">
        <v>0</v>
      </c>
      <c r="I99" s="17">
        <v>0</v>
      </c>
      <c r="J99" s="16">
        <v>0.003321724075453466</v>
      </c>
      <c r="K99" s="16">
        <v>0</v>
      </c>
      <c r="L99" s="17">
        <v>0</v>
      </c>
      <c r="M99" s="17">
        <v>0</v>
      </c>
      <c r="N99" s="17">
        <v>0</v>
      </c>
      <c r="O99" s="16">
        <v>0</v>
      </c>
      <c r="P99" s="16">
        <v>0</v>
      </c>
      <c r="Q99" s="17">
        <v>0</v>
      </c>
      <c r="R99" s="16">
        <v>0</v>
      </c>
      <c r="S99" s="18">
        <v>0.003321724075453466</v>
      </c>
    </row>
    <row r="100" spans="1:19" ht="12.75">
      <c r="A100" s="156"/>
      <c r="B100" s="6" t="s">
        <v>163</v>
      </c>
      <c r="C100" s="16">
        <v>0</v>
      </c>
      <c r="D100" s="17">
        <v>0</v>
      </c>
      <c r="E100" s="17">
        <v>0</v>
      </c>
      <c r="F100" s="17">
        <v>0</v>
      </c>
      <c r="G100" s="17">
        <v>0</v>
      </c>
      <c r="H100" s="17">
        <v>0</v>
      </c>
      <c r="I100" s="17">
        <v>0</v>
      </c>
      <c r="J100" s="16">
        <v>0</v>
      </c>
      <c r="K100" s="16">
        <v>0</v>
      </c>
      <c r="L100" s="17">
        <v>0</v>
      </c>
      <c r="M100" s="17">
        <v>0</v>
      </c>
      <c r="N100" s="17">
        <v>0</v>
      </c>
      <c r="O100" s="16">
        <v>0</v>
      </c>
      <c r="P100" s="16">
        <v>0</v>
      </c>
      <c r="Q100" s="17">
        <v>0</v>
      </c>
      <c r="R100" s="16">
        <v>0</v>
      </c>
      <c r="S100" s="18">
        <v>0</v>
      </c>
    </row>
    <row r="101" spans="1:19" ht="12.75">
      <c r="A101" s="157"/>
      <c r="B101" s="154" t="s">
        <v>165</v>
      </c>
      <c r="C101" s="138">
        <v>0</v>
      </c>
      <c r="D101" s="139">
        <v>0</v>
      </c>
      <c r="E101" s="139">
        <v>0</v>
      </c>
      <c r="F101" s="139">
        <v>0</v>
      </c>
      <c r="G101" s="139">
        <v>0</v>
      </c>
      <c r="H101" s="139">
        <v>0</v>
      </c>
      <c r="I101" s="139">
        <v>0</v>
      </c>
      <c r="J101" s="138">
        <v>0</v>
      </c>
      <c r="K101" s="138">
        <v>0</v>
      </c>
      <c r="L101" s="139">
        <v>0</v>
      </c>
      <c r="M101" s="139">
        <v>0</v>
      </c>
      <c r="N101" s="139">
        <v>0</v>
      </c>
      <c r="O101" s="138">
        <v>0</v>
      </c>
      <c r="P101" s="138">
        <v>0</v>
      </c>
      <c r="Q101" s="139">
        <v>0</v>
      </c>
      <c r="R101" s="138">
        <v>0</v>
      </c>
      <c r="S101" s="140">
        <v>0</v>
      </c>
    </row>
    <row r="102" spans="1:19" ht="12.75">
      <c r="A102" s="155" t="s">
        <v>13</v>
      </c>
      <c r="B102" s="4" t="s">
        <v>147</v>
      </c>
      <c r="C102" s="13">
        <v>0.8262922553051101</v>
      </c>
      <c r="D102" s="14">
        <v>0.9340383281441754</v>
      </c>
      <c r="E102" s="14">
        <v>0.9536438342832465</v>
      </c>
      <c r="F102" s="14">
        <v>0.9766150336215178</v>
      </c>
      <c r="G102" s="14">
        <v>0.9587846638726354</v>
      </c>
      <c r="H102" s="14">
        <v>0</v>
      </c>
      <c r="I102" s="14">
        <v>0</v>
      </c>
      <c r="J102" s="13">
        <v>0.919093998813532</v>
      </c>
      <c r="K102" s="13">
        <v>0</v>
      </c>
      <c r="L102" s="14">
        <v>0.9365171416056413</v>
      </c>
      <c r="M102" s="14">
        <v>0.9457590087768563</v>
      </c>
      <c r="N102" s="14">
        <v>0.938053205311991</v>
      </c>
      <c r="O102" s="13">
        <v>0.9423488471961026</v>
      </c>
      <c r="P102" s="13">
        <v>0</v>
      </c>
      <c r="Q102" s="14">
        <v>0</v>
      </c>
      <c r="R102" s="13">
        <v>0</v>
      </c>
      <c r="S102" s="15">
        <v>0.9313616800288471</v>
      </c>
    </row>
    <row r="103" spans="1:19" ht="12.75">
      <c r="A103" s="156"/>
      <c r="B103" s="6" t="s">
        <v>149</v>
      </c>
      <c r="C103" s="16">
        <v>0.1082377961847981</v>
      </c>
      <c r="D103" s="17">
        <v>0.03243427987995957</v>
      </c>
      <c r="E103" s="17">
        <v>0.040170071958199764</v>
      </c>
      <c r="F103" s="17">
        <v>0.013394572526416907</v>
      </c>
      <c r="G103" s="17">
        <v>0.019780931748699156</v>
      </c>
      <c r="H103" s="17">
        <v>0</v>
      </c>
      <c r="I103" s="17">
        <v>0</v>
      </c>
      <c r="J103" s="16">
        <v>0.04695741082807392</v>
      </c>
      <c r="K103" s="16">
        <v>0</v>
      </c>
      <c r="L103" s="17">
        <v>0</v>
      </c>
      <c r="M103" s="17">
        <v>0</v>
      </c>
      <c r="N103" s="17">
        <v>0</v>
      </c>
      <c r="O103" s="16">
        <v>0</v>
      </c>
      <c r="P103" s="16">
        <v>0</v>
      </c>
      <c r="Q103" s="17">
        <v>0</v>
      </c>
      <c r="R103" s="16">
        <v>0</v>
      </c>
      <c r="S103" s="18">
        <v>0.02218586481502197</v>
      </c>
    </row>
    <row r="104" spans="1:20" s="3" customFormat="1" ht="12.75">
      <c r="A104" s="156"/>
      <c r="B104" s="6" t="s">
        <v>151</v>
      </c>
      <c r="C104" s="16">
        <v>0.05452097889738544</v>
      </c>
      <c r="D104" s="17">
        <v>0.01651637577098292</v>
      </c>
      <c r="E104" s="17">
        <v>0.00618609375855378</v>
      </c>
      <c r="F104" s="17">
        <v>0.004214697406340058</v>
      </c>
      <c r="G104" s="17">
        <v>0.01056872709602964</v>
      </c>
      <c r="H104" s="17">
        <v>0</v>
      </c>
      <c r="I104" s="17">
        <v>0</v>
      </c>
      <c r="J104" s="16">
        <v>0.021988014954522038</v>
      </c>
      <c r="K104" s="16">
        <v>0</v>
      </c>
      <c r="L104" s="17">
        <v>0.06348285839435873</v>
      </c>
      <c r="M104" s="17">
        <v>0.05424099122314369</v>
      </c>
      <c r="N104" s="17">
        <v>0.06194679468800898</v>
      </c>
      <c r="O104" s="16">
        <v>0.05765115280389747</v>
      </c>
      <c r="P104" s="16">
        <v>0</v>
      </c>
      <c r="Q104" s="17">
        <v>0</v>
      </c>
      <c r="R104" s="16">
        <v>0</v>
      </c>
      <c r="S104" s="18">
        <v>0.040801468350411804</v>
      </c>
      <c r="T104"/>
    </row>
    <row r="105" spans="1:20" s="3" customFormat="1" ht="12.75">
      <c r="A105" s="156"/>
      <c r="B105" s="6" t="s">
        <v>613</v>
      </c>
      <c r="C105" s="16">
        <v>0.007075443908991293</v>
      </c>
      <c r="D105" s="17">
        <v>0.009328947425346068</v>
      </c>
      <c r="E105" s="17">
        <v>0</v>
      </c>
      <c r="F105" s="17">
        <v>0.0032540826128722384</v>
      </c>
      <c r="G105" s="17">
        <v>0</v>
      </c>
      <c r="H105" s="17">
        <v>0</v>
      </c>
      <c r="I105" s="17">
        <v>0</v>
      </c>
      <c r="J105" s="16">
        <v>0.006225319119527053</v>
      </c>
      <c r="K105" s="16">
        <v>0</v>
      </c>
      <c r="L105" s="17">
        <v>0</v>
      </c>
      <c r="M105" s="17">
        <v>0</v>
      </c>
      <c r="N105" s="17">
        <v>0</v>
      </c>
      <c r="O105" s="16">
        <v>0</v>
      </c>
      <c r="P105" s="16">
        <v>0</v>
      </c>
      <c r="Q105" s="17">
        <v>0</v>
      </c>
      <c r="R105" s="16">
        <v>0</v>
      </c>
      <c r="S105" s="18">
        <v>0.002941262858846255</v>
      </c>
      <c r="T105"/>
    </row>
    <row r="106" spans="1:20" s="3" customFormat="1" ht="12.75">
      <c r="A106" s="156"/>
      <c r="B106" s="6" t="s">
        <v>153</v>
      </c>
      <c r="C106" s="16">
        <v>0.00044184703844658363</v>
      </c>
      <c r="D106" s="17">
        <v>4.326301171129727E-05</v>
      </c>
      <c r="E106" s="17">
        <v>0</v>
      </c>
      <c r="F106" s="17">
        <v>0.00028818443804034583</v>
      </c>
      <c r="G106" s="17">
        <v>0</v>
      </c>
      <c r="H106" s="17">
        <v>0</v>
      </c>
      <c r="I106" s="17">
        <v>0</v>
      </c>
      <c r="J106" s="16">
        <v>0.00015078856467142974</v>
      </c>
      <c r="K106" s="16">
        <v>0</v>
      </c>
      <c r="L106" s="17">
        <v>0</v>
      </c>
      <c r="M106" s="17">
        <v>0</v>
      </c>
      <c r="N106" s="17">
        <v>0</v>
      </c>
      <c r="O106" s="16">
        <v>0</v>
      </c>
      <c r="P106" s="16">
        <v>0</v>
      </c>
      <c r="Q106" s="17">
        <v>0</v>
      </c>
      <c r="R106" s="16">
        <v>0</v>
      </c>
      <c r="S106" s="18">
        <v>7.124274214564391E-05</v>
      </c>
      <c r="T106"/>
    </row>
    <row r="107" spans="1:20" s="3" customFormat="1" ht="12.75">
      <c r="A107" s="156"/>
      <c r="B107" s="6" t="s">
        <v>155</v>
      </c>
      <c r="C107" s="16">
        <v>0.0034316786652684663</v>
      </c>
      <c r="D107" s="17">
        <v>0.007638805767824722</v>
      </c>
      <c r="E107" s="17">
        <v>0</v>
      </c>
      <c r="F107" s="17">
        <v>0.0022334293948126803</v>
      </c>
      <c r="G107" s="17">
        <v>0.010865677282635837</v>
      </c>
      <c r="H107" s="17">
        <v>0</v>
      </c>
      <c r="I107" s="17">
        <v>0</v>
      </c>
      <c r="J107" s="16">
        <v>0.005584467719673476</v>
      </c>
      <c r="K107" s="16">
        <v>0</v>
      </c>
      <c r="L107" s="17">
        <v>0</v>
      </c>
      <c r="M107" s="17">
        <v>0</v>
      </c>
      <c r="N107" s="17">
        <v>0</v>
      </c>
      <c r="O107" s="16">
        <v>0</v>
      </c>
      <c r="P107" s="16">
        <v>0</v>
      </c>
      <c r="Q107" s="17">
        <v>0</v>
      </c>
      <c r="R107" s="16">
        <v>0</v>
      </c>
      <c r="S107" s="18">
        <v>0.0026384812047272684</v>
      </c>
      <c r="T107"/>
    </row>
    <row r="108" spans="1:20" s="3" customFormat="1" ht="12.75">
      <c r="A108" s="156"/>
      <c r="B108" s="6" t="s">
        <v>157</v>
      </c>
      <c r="C108" s="16">
        <v>0.7436436298491008</v>
      </c>
      <c r="D108" s="17">
        <v>0.8827887812635535</v>
      </c>
      <c r="E108" s="17">
        <v>0.7549448073890516</v>
      </c>
      <c r="F108" s="17">
        <v>0.8856703655666042</v>
      </c>
      <c r="G108" s="17">
        <v>0.6178876088294785</v>
      </c>
      <c r="H108" s="17">
        <v>0</v>
      </c>
      <c r="I108" s="17">
        <v>0</v>
      </c>
      <c r="J108" s="16">
        <v>0.8206331491167915</v>
      </c>
      <c r="K108" s="16">
        <v>0</v>
      </c>
      <c r="L108" s="17">
        <v>0</v>
      </c>
      <c r="M108" s="17">
        <v>0</v>
      </c>
      <c r="N108" s="17">
        <v>0</v>
      </c>
      <c r="O108" s="16">
        <v>0</v>
      </c>
      <c r="P108" s="16">
        <v>0</v>
      </c>
      <c r="Q108" s="17">
        <v>0</v>
      </c>
      <c r="R108" s="16">
        <v>0</v>
      </c>
      <c r="S108" s="18">
        <v>0.8206331491167915</v>
      </c>
      <c r="T108"/>
    </row>
    <row r="109" spans="1:20" s="3" customFormat="1" ht="12.75">
      <c r="A109" s="156"/>
      <c r="B109" s="6" t="s">
        <v>159</v>
      </c>
      <c r="C109" s="16">
        <v>0.15115758285674913</v>
      </c>
      <c r="D109" s="17">
        <v>0.06263553563683678</v>
      </c>
      <c r="E109" s="17">
        <v>0.24208154989862582</v>
      </c>
      <c r="F109" s="17">
        <v>0.03329009943795936</v>
      </c>
      <c r="G109" s="17">
        <v>0.37076774250285816</v>
      </c>
      <c r="H109" s="17">
        <v>0</v>
      </c>
      <c r="I109" s="17">
        <v>0</v>
      </c>
      <c r="J109" s="16">
        <v>0.11648670817141552</v>
      </c>
      <c r="K109" s="16">
        <v>0</v>
      </c>
      <c r="L109" s="17">
        <v>0</v>
      </c>
      <c r="M109" s="17">
        <v>0</v>
      </c>
      <c r="N109" s="17">
        <v>0</v>
      </c>
      <c r="O109" s="16">
        <v>0</v>
      </c>
      <c r="P109" s="16">
        <v>0</v>
      </c>
      <c r="Q109" s="17">
        <v>0</v>
      </c>
      <c r="R109" s="16">
        <v>0</v>
      </c>
      <c r="S109" s="18">
        <v>0.11648670817141552</v>
      </c>
      <c r="T109"/>
    </row>
    <row r="110" spans="1:20" s="3" customFormat="1" ht="12.75">
      <c r="A110" s="156"/>
      <c r="B110" s="6" t="s">
        <v>161</v>
      </c>
      <c r="C110" s="16">
        <v>0.08202990422379935</v>
      </c>
      <c r="D110" s="17">
        <v>0.033540552262541566</v>
      </c>
      <c r="E110" s="17">
        <v>0.0029736427123225953</v>
      </c>
      <c r="F110" s="17">
        <v>0.08017485708795696</v>
      </c>
      <c r="G110" s="17">
        <v>0.011344648667663354</v>
      </c>
      <c r="H110" s="17">
        <v>0</v>
      </c>
      <c r="I110" s="17">
        <v>0</v>
      </c>
      <c r="J110" s="16">
        <v>0.04633651118073391</v>
      </c>
      <c r="K110" s="16">
        <v>0</v>
      </c>
      <c r="L110" s="17">
        <v>0</v>
      </c>
      <c r="M110" s="17">
        <v>0</v>
      </c>
      <c r="N110" s="17">
        <v>0</v>
      </c>
      <c r="O110" s="16">
        <v>0</v>
      </c>
      <c r="P110" s="16">
        <v>0</v>
      </c>
      <c r="Q110" s="17">
        <v>0</v>
      </c>
      <c r="R110" s="16">
        <v>0</v>
      </c>
      <c r="S110" s="18">
        <v>0.04633651118073391</v>
      </c>
      <c r="T110"/>
    </row>
    <row r="111" spans="1:20" s="3" customFormat="1" ht="12.75">
      <c r="A111" s="156"/>
      <c r="B111" s="6" t="s">
        <v>615</v>
      </c>
      <c r="C111" s="16">
        <v>0.021239578309102183</v>
      </c>
      <c r="D111" s="17">
        <v>0.01423124186786179</v>
      </c>
      <c r="E111" s="17">
        <v>0</v>
      </c>
      <c r="F111" s="17">
        <v>0</v>
      </c>
      <c r="G111" s="17">
        <v>0</v>
      </c>
      <c r="H111" s="17">
        <v>0</v>
      </c>
      <c r="I111" s="17">
        <v>0</v>
      </c>
      <c r="J111" s="16">
        <v>0.012585889281824416</v>
      </c>
      <c r="K111" s="16">
        <v>0</v>
      </c>
      <c r="L111" s="17">
        <v>0</v>
      </c>
      <c r="M111" s="17">
        <v>0</v>
      </c>
      <c r="N111" s="17">
        <v>0</v>
      </c>
      <c r="O111" s="16">
        <v>0</v>
      </c>
      <c r="P111" s="16">
        <v>0</v>
      </c>
      <c r="Q111" s="17">
        <v>0</v>
      </c>
      <c r="R111" s="16">
        <v>0</v>
      </c>
      <c r="S111" s="18">
        <v>0.012585889281824416</v>
      </c>
      <c r="T111"/>
    </row>
    <row r="112" spans="1:20" s="3" customFormat="1" ht="12.75">
      <c r="A112" s="156"/>
      <c r="B112" s="6" t="s">
        <v>163</v>
      </c>
      <c r="C112" s="16">
        <v>0.0018604010197753739</v>
      </c>
      <c r="D112" s="17">
        <v>0.006803888969206303</v>
      </c>
      <c r="E112" s="17">
        <v>0</v>
      </c>
      <c r="F112" s="17">
        <v>0</v>
      </c>
      <c r="G112" s="17">
        <v>0</v>
      </c>
      <c r="H112" s="17">
        <v>0</v>
      </c>
      <c r="I112" s="17">
        <v>0</v>
      </c>
      <c r="J112" s="16">
        <v>0.0038591348545765035</v>
      </c>
      <c r="K112" s="16">
        <v>0</v>
      </c>
      <c r="L112" s="17">
        <v>0</v>
      </c>
      <c r="M112" s="17">
        <v>0</v>
      </c>
      <c r="N112" s="17">
        <v>0</v>
      </c>
      <c r="O112" s="16">
        <v>0</v>
      </c>
      <c r="P112" s="16">
        <v>0</v>
      </c>
      <c r="Q112" s="17">
        <v>0</v>
      </c>
      <c r="R112" s="16">
        <v>0</v>
      </c>
      <c r="S112" s="18">
        <v>0.0038591348545765035</v>
      </c>
      <c r="T112"/>
    </row>
    <row r="113" spans="1:20" s="3" customFormat="1" ht="12.75">
      <c r="A113" s="157"/>
      <c r="B113" s="154" t="s">
        <v>165</v>
      </c>
      <c r="C113" s="138">
        <v>6.890374147316199E-05</v>
      </c>
      <c r="D113" s="139">
        <v>0</v>
      </c>
      <c r="E113" s="139">
        <v>0</v>
      </c>
      <c r="F113" s="139">
        <v>0.0008646779074794639</v>
      </c>
      <c r="G113" s="139">
        <v>0</v>
      </c>
      <c r="H113" s="139">
        <v>0</v>
      </c>
      <c r="I113" s="139">
        <v>0</v>
      </c>
      <c r="J113" s="138">
        <v>9.86073946581685E-05</v>
      </c>
      <c r="K113" s="138">
        <v>0</v>
      </c>
      <c r="L113" s="139">
        <v>0</v>
      </c>
      <c r="M113" s="139">
        <v>0</v>
      </c>
      <c r="N113" s="139">
        <v>0</v>
      </c>
      <c r="O113" s="138">
        <v>0</v>
      </c>
      <c r="P113" s="138">
        <v>0</v>
      </c>
      <c r="Q113" s="139">
        <v>0</v>
      </c>
      <c r="R113" s="138">
        <v>0</v>
      </c>
      <c r="S113" s="140">
        <v>9.86073946581685E-05</v>
      </c>
      <c r="T113"/>
    </row>
    <row r="114" spans="1:20" s="3" customFormat="1" ht="12.75">
      <c r="A114" s="155" t="s">
        <v>23</v>
      </c>
      <c r="B114" s="4" t="s">
        <v>147</v>
      </c>
      <c r="C114" s="13">
        <v>0.9766835797552149</v>
      </c>
      <c r="D114" s="14">
        <v>0.9536951636160511</v>
      </c>
      <c r="E114" s="14">
        <v>0.9737557934282061</v>
      </c>
      <c r="F114" s="14">
        <v>0.959537828801373</v>
      </c>
      <c r="G114" s="14">
        <v>0.9153088375321474</v>
      </c>
      <c r="H114" s="14">
        <v>0.9633400059368411</v>
      </c>
      <c r="I114" s="14">
        <v>0</v>
      </c>
      <c r="J114" s="13">
        <v>0.9702733432342805</v>
      </c>
      <c r="K114" s="13">
        <v>0</v>
      </c>
      <c r="L114" s="14">
        <v>0.7744044559249148</v>
      </c>
      <c r="M114" s="14">
        <v>0.7571772033185862</v>
      </c>
      <c r="N114" s="14">
        <v>0.7311798090997611</v>
      </c>
      <c r="O114" s="13">
        <v>0.7593697479251824</v>
      </c>
      <c r="P114" s="13">
        <v>0</v>
      </c>
      <c r="Q114" s="14">
        <v>0</v>
      </c>
      <c r="R114" s="13">
        <v>0</v>
      </c>
      <c r="S114" s="15">
        <v>0.8422061766000144</v>
      </c>
      <c r="T114"/>
    </row>
    <row r="115" spans="1:20" s="3" customFormat="1" ht="12.75">
      <c r="A115" s="156"/>
      <c r="B115" s="6" t="s">
        <v>149</v>
      </c>
      <c r="C115" s="16">
        <v>0.01750504664738938</v>
      </c>
      <c r="D115" s="17">
        <v>0.031557307837202356</v>
      </c>
      <c r="E115" s="17">
        <v>0.008323325729410476</v>
      </c>
      <c r="F115" s="17">
        <v>0.0404621711986271</v>
      </c>
      <c r="G115" s="17">
        <v>0.0846911624678526</v>
      </c>
      <c r="H115" s="17">
        <v>0.021928255558177238</v>
      </c>
      <c r="I115" s="17">
        <v>0</v>
      </c>
      <c r="J115" s="16">
        <v>0.016610316053651708</v>
      </c>
      <c r="K115" s="16">
        <v>0</v>
      </c>
      <c r="L115" s="17">
        <v>0.14554717468750095</v>
      </c>
      <c r="M115" s="17">
        <v>0.18272199564414132</v>
      </c>
      <c r="N115" s="17">
        <v>0.19784519032461326</v>
      </c>
      <c r="O115" s="16">
        <v>0.1717673533343951</v>
      </c>
      <c r="P115" s="16">
        <v>0</v>
      </c>
      <c r="Q115" s="17">
        <v>0</v>
      </c>
      <c r="R115" s="16">
        <v>0</v>
      </c>
      <c r="S115" s="18">
        <v>0.11082645361541306</v>
      </c>
      <c r="T115"/>
    </row>
    <row r="116" spans="1:20" s="3" customFormat="1" ht="12.75">
      <c r="A116" s="156"/>
      <c r="B116" s="6" t="s">
        <v>151</v>
      </c>
      <c r="C116" s="16">
        <v>0.005811373597395748</v>
      </c>
      <c r="D116" s="17">
        <v>0.014211668117278739</v>
      </c>
      <c r="E116" s="17">
        <v>0.017131563951837285</v>
      </c>
      <c r="F116" s="17">
        <v>0</v>
      </c>
      <c r="G116" s="17">
        <v>0</v>
      </c>
      <c r="H116" s="17">
        <v>0.012151496007854897</v>
      </c>
      <c r="I116" s="17">
        <v>0</v>
      </c>
      <c r="J116" s="16">
        <v>0.012491741367749805</v>
      </c>
      <c r="K116" s="16">
        <v>0</v>
      </c>
      <c r="L116" s="17">
        <v>0.06675761357758986</v>
      </c>
      <c r="M116" s="17">
        <v>0.04464883796499296</v>
      </c>
      <c r="N116" s="17">
        <v>0.0519265513883284</v>
      </c>
      <c r="O116" s="16">
        <v>0.053635112487412005</v>
      </c>
      <c r="P116" s="16">
        <v>0</v>
      </c>
      <c r="Q116" s="17">
        <v>0</v>
      </c>
      <c r="R116" s="16">
        <v>0</v>
      </c>
      <c r="S116" s="18">
        <v>0.037475265035778686</v>
      </c>
      <c r="T116"/>
    </row>
    <row r="117" spans="1:20" s="3" customFormat="1" ht="12.75">
      <c r="A117" s="156"/>
      <c r="B117" s="6" t="s">
        <v>613</v>
      </c>
      <c r="C117" s="16">
        <v>0</v>
      </c>
      <c r="D117" s="17">
        <v>0.000535860429467777</v>
      </c>
      <c r="E117" s="17">
        <v>0.0006542838422517016</v>
      </c>
      <c r="F117" s="17">
        <v>0</v>
      </c>
      <c r="G117" s="17">
        <v>0</v>
      </c>
      <c r="H117" s="17">
        <v>0.0025802424971267213</v>
      </c>
      <c r="I117" s="17">
        <v>0</v>
      </c>
      <c r="J117" s="16">
        <v>0.0005531534287533228</v>
      </c>
      <c r="K117" s="16">
        <v>0</v>
      </c>
      <c r="L117" s="17">
        <v>0.00236028640369224</v>
      </c>
      <c r="M117" s="17">
        <v>0.004594987910830993</v>
      </c>
      <c r="N117" s="17">
        <v>0.009169229342010707</v>
      </c>
      <c r="O117" s="16">
        <v>0.0044931092873679015</v>
      </c>
      <c r="P117" s="16">
        <v>0</v>
      </c>
      <c r="Q117" s="17">
        <v>0</v>
      </c>
      <c r="R117" s="16">
        <v>0</v>
      </c>
      <c r="S117" s="18">
        <v>0.0029456161211855753</v>
      </c>
      <c r="T117"/>
    </row>
    <row r="118" spans="1:19" ht="12.75">
      <c r="A118" s="156"/>
      <c r="B118" s="6" t="s">
        <v>153</v>
      </c>
      <c r="C118" s="16">
        <v>0</v>
      </c>
      <c r="D118" s="17">
        <v>0</v>
      </c>
      <c r="E118" s="17">
        <v>0.0001350330482945001</v>
      </c>
      <c r="F118" s="17">
        <v>0</v>
      </c>
      <c r="G118" s="17">
        <v>0</v>
      </c>
      <c r="H118" s="17">
        <v>0</v>
      </c>
      <c r="I118" s="17">
        <v>0</v>
      </c>
      <c r="J118" s="16">
        <v>7.144591556467684E-05</v>
      </c>
      <c r="K118" s="16">
        <v>0</v>
      </c>
      <c r="L118" s="17">
        <v>0.010930469406302209</v>
      </c>
      <c r="M118" s="17">
        <v>0.010856975161448205</v>
      </c>
      <c r="N118" s="17">
        <v>0.009879219845286483</v>
      </c>
      <c r="O118" s="16">
        <v>0.01073467696564241</v>
      </c>
      <c r="P118" s="16">
        <v>0</v>
      </c>
      <c r="Q118" s="17">
        <v>0</v>
      </c>
      <c r="R118" s="16">
        <v>0</v>
      </c>
      <c r="S118" s="18">
        <v>0.006546488627608366</v>
      </c>
    </row>
    <row r="119" spans="1:19" ht="12.75">
      <c r="A119" s="156"/>
      <c r="B119" s="6" t="s">
        <v>155</v>
      </c>
      <c r="C119" s="16">
        <v>0</v>
      </c>
      <c r="D119" s="17">
        <v>0</v>
      </c>
      <c r="E119" s="17">
        <v>0</v>
      </c>
      <c r="F119" s="17">
        <v>0</v>
      </c>
      <c r="G119" s="17">
        <v>0</v>
      </c>
      <c r="H119" s="17">
        <v>0</v>
      </c>
      <c r="I119" s="17">
        <v>0</v>
      </c>
      <c r="J119" s="16">
        <v>0</v>
      </c>
      <c r="K119" s="16">
        <v>0</v>
      </c>
      <c r="L119" s="17">
        <v>0</v>
      </c>
      <c r="M119" s="17">
        <v>0</v>
      </c>
      <c r="N119" s="17">
        <v>0</v>
      </c>
      <c r="O119" s="16">
        <v>0</v>
      </c>
      <c r="P119" s="16">
        <v>0</v>
      </c>
      <c r="Q119" s="17">
        <v>0</v>
      </c>
      <c r="R119" s="16">
        <v>0</v>
      </c>
      <c r="S119" s="18">
        <v>0</v>
      </c>
    </row>
    <row r="120" spans="1:19" ht="12.75">
      <c r="A120" s="156"/>
      <c r="B120" s="6" t="s">
        <v>157</v>
      </c>
      <c r="C120" s="16">
        <v>0.9217804667242869</v>
      </c>
      <c r="D120" s="17">
        <v>0.8460125664572257</v>
      </c>
      <c r="E120" s="17">
        <v>0.7810625814863102</v>
      </c>
      <c r="F120" s="17">
        <v>0.7846635794061564</v>
      </c>
      <c r="G120" s="17">
        <v>0.7404353562005277</v>
      </c>
      <c r="H120" s="17">
        <v>0.9983314794215795</v>
      </c>
      <c r="I120" s="17">
        <v>0</v>
      </c>
      <c r="J120" s="16">
        <v>0.8456812311705829</v>
      </c>
      <c r="K120" s="16">
        <v>0</v>
      </c>
      <c r="L120" s="17">
        <v>0</v>
      </c>
      <c r="M120" s="17">
        <v>0</v>
      </c>
      <c r="N120" s="17">
        <v>0</v>
      </c>
      <c r="O120" s="16">
        <v>0</v>
      </c>
      <c r="P120" s="16">
        <v>0</v>
      </c>
      <c r="Q120" s="17">
        <v>0</v>
      </c>
      <c r="R120" s="16">
        <v>0</v>
      </c>
      <c r="S120" s="18">
        <v>0.8456812311705829</v>
      </c>
    </row>
    <row r="121" spans="1:20" s="148" customFormat="1" ht="12.75">
      <c r="A121" s="156"/>
      <c r="B121" s="6" t="s">
        <v>159</v>
      </c>
      <c r="C121" s="16">
        <v>0.06438137192033531</v>
      </c>
      <c r="D121" s="17">
        <v>0.07470597712260352</v>
      </c>
      <c r="E121" s="17">
        <v>0.09624755541069101</v>
      </c>
      <c r="F121" s="17">
        <v>0.21533642059384364</v>
      </c>
      <c r="G121" s="17">
        <v>0.21602902374670185</v>
      </c>
      <c r="H121" s="17">
        <v>0</v>
      </c>
      <c r="I121" s="17">
        <v>0</v>
      </c>
      <c r="J121" s="16">
        <v>0.08338860952282134</v>
      </c>
      <c r="K121" s="16">
        <v>0</v>
      </c>
      <c r="L121" s="17">
        <v>0</v>
      </c>
      <c r="M121" s="17">
        <v>0</v>
      </c>
      <c r="N121" s="17">
        <v>0</v>
      </c>
      <c r="O121" s="16">
        <v>0</v>
      </c>
      <c r="P121" s="16">
        <v>0</v>
      </c>
      <c r="Q121" s="17">
        <v>0</v>
      </c>
      <c r="R121" s="16">
        <v>0</v>
      </c>
      <c r="S121" s="18">
        <v>0.08338860952282134</v>
      </c>
      <c r="T121"/>
    </row>
    <row r="122" spans="1:20" s="144" customFormat="1" ht="12.75">
      <c r="A122" s="156"/>
      <c r="B122" s="6" t="s">
        <v>161</v>
      </c>
      <c r="C122" s="16">
        <v>0.012904155165844184</v>
      </c>
      <c r="D122" s="17">
        <v>0.06816497502819398</v>
      </c>
      <c r="E122" s="17">
        <v>0.11629318774445893</v>
      </c>
      <c r="F122" s="17">
        <v>0</v>
      </c>
      <c r="G122" s="17">
        <v>0.03611477572559367</v>
      </c>
      <c r="H122" s="17">
        <v>0</v>
      </c>
      <c r="I122" s="17">
        <v>0</v>
      </c>
      <c r="J122" s="16">
        <v>0.06627584239059947</v>
      </c>
      <c r="K122" s="16">
        <v>0</v>
      </c>
      <c r="L122" s="17">
        <v>0</v>
      </c>
      <c r="M122" s="17">
        <v>0</v>
      </c>
      <c r="N122" s="17">
        <v>0</v>
      </c>
      <c r="O122" s="16">
        <v>0</v>
      </c>
      <c r="P122" s="16">
        <v>0</v>
      </c>
      <c r="Q122" s="17">
        <v>0</v>
      </c>
      <c r="R122" s="16">
        <v>0</v>
      </c>
      <c r="S122" s="18">
        <v>0.06627584239059947</v>
      </c>
      <c r="T122"/>
    </row>
    <row r="123" spans="1:19" ht="12.75">
      <c r="A123" s="156"/>
      <c r="B123" s="6" t="s">
        <v>615</v>
      </c>
      <c r="C123" s="16">
        <v>0</v>
      </c>
      <c r="D123" s="17">
        <v>0.011116481391976801</v>
      </c>
      <c r="E123" s="17">
        <v>0.004314700130378097</v>
      </c>
      <c r="F123" s="17">
        <v>0</v>
      </c>
      <c r="G123" s="17">
        <v>0.007420844327176781</v>
      </c>
      <c r="H123" s="17">
        <v>0.0016685205784204673</v>
      </c>
      <c r="I123" s="17">
        <v>0</v>
      </c>
      <c r="J123" s="16">
        <v>0.0033350997009527266</v>
      </c>
      <c r="K123" s="16">
        <v>0</v>
      </c>
      <c r="L123" s="17">
        <v>0</v>
      </c>
      <c r="M123" s="17">
        <v>0</v>
      </c>
      <c r="N123" s="17">
        <v>0</v>
      </c>
      <c r="O123" s="16">
        <v>0</v>
      </c>
      <c r="P123" s="16">
        <v>0</v>
      </c>
      <c r="Q123" s="17">
        <v>0</v>
      </c>
      <c r="R123" s="16">
        <v>0</v>
      </c>
      <c r="S123" s="18">
        <v>0.0033350997009527266</v>
      </c>
    </row>
    <row r="124" spans="1:19" ht="12.75">
      <c r="A124" s="156"/>
      <c r="B124" s="6" t="s">
        <v>163</v>
      </c>
      <c r="C124" s="16">
        <v>0.0009340061895335546</v>
      </c>
      <c r="D124" s="17">
        <v>0</v>
      </c>
      <c r="E124" s="17">
        <v>0.002081975228161669</v>
      </c>
      <c r="F124" s="17">
        <v>0</v>
      </c>
      <c r="G124" s="17">
        <v>0</v>
      </c>
      <c r="H124" s="17">
        <v>0</v>
      </c>
      <c r="I124" s="17">
        <v>0</v>
      </c>
      <c r="J124" s="16">
        <v>0.001319217215043523</v>
      </c>
      <c r="K124" s="16">
        <v>0</v>
      </c>
      <c r="L124" s="17">
        <v>0</v>
      </c>
      <c r="M124" s="17">
        <v>0</v>
      </c>
      <c r="N124" s="17">
        <v>0</v>
      </c>
      <c r="O124" s="16">
        <v>0</v>
      </c>
      <c r="P124" s="16">
        <v>0</v>
      </c>
      <c r="Q124" s="17">
        <v>0</v>
      </c>
      <c r="R124" s="16">
        <v>0</v>
      </c>
      <c r="S124" s="18">
        <v>0.001319217215043523</v>
      </c>
    </row>
    <row r="125" spans="1:19" ht="12.75">
      <c r="A125" s="157"/>
      <c r="B125" s="154" t="s">
        <v>165</v>
      </c>
      <c r="C125" s="138">
        <v>0</v>
      </c>
      <c r="D125" s="139">
        <v>0</v>
      </c>
      <c r="E125" s="139">
        <v>0</v>
      </c>
      <c r="F125" s="139">
        <v>0</v>
      </c>
      <c r="G125" s="139">
        <v>0</v>
      </c>
      <c r="H125" s="139">
        <v>0</v>
      </c>
      <c r="I125" s="139">
        <v>0</v>
      </c>
      <c r="J125" s="138">
        <v>0</v>
      </c>
      <c r="K125" s="138">
        <v>0</v>
      </c>
      <c r="L125" s="139">
        <v>0</v>
      </c>
      <c r="M125" s="139">
        <v>0</v>
      </c>
      <c r="N125" s="139">
        <v>0</v>
      </c>
      <c r="O125" s="138">
        <v>0</v>
      </c>
      <c r="P125" s="138">
        <v>0</v>
      </c>
      <c r="Q125" s="139">
        <v>0</v>
      </c>
      <c r="R125" s="138">
        <v>0</v>
      </c>
      <c r="S125" s="140">
        <v>0</v>
      </c>
    </row>
    <row r="126" spans="1:19" ht="12.75">
      <c r="A126" s="155" t="s">
        <v>81</v>
      </c>
      <c r="B126" s="4" t="s">
        <v>147</v>
      </c>
      <c r="C126" s="13">
        <v>0.9768422165095157</v>
      </c>
      <c r="D126" s="14">
        <v>0</v>
      </c>
      <c r="E126" s="14">
        <v>0.9794611616515045</v>
      </c>
      <c r="F126" s="14">
        <v>0.9762829530124011</v>
      </c>
      <c r="G126" s="14">
        <v>0.9277938258786763</v>
      </c>
      <c r="H126" s="14">
        <v>0.9897095636342949</v>
      </c>
      <c r="I126" s="14">
        <v>0</v>
      </c>
      <c r="J126" s="13">
        <v>0.9672655683088481</v>
      </c>
      <c r="K126" s="13">
        <v>0.7225299291310209</v>
      </c>
      <c r="L126" s="14">
        <v>0.8285544446855415</v>
      </c>
      <c r="M126" s="14">
        <v>0.8629956075001451</v>
      </c>
      <c r="N126" s="14">
        <v>0.8438662365363936</v>
      </c>
      <c r="O126" s="13">
        <v>0.8369098276137502</v>
      </c>
      <c r="P126" s="13">
        <v>0</v>
      </c>
      <c r="Q126" s="14">
        <v>0</v>
      </c>
      <c r="R126" s="13">
        <v>0</v>
      </c>
      <c r="S126" s="15">
        <v>0.9174754548402065</v>
      </c>
    </row>
    <row r="127" spans="1:19" ht="12.75">
      <c r="A127" s="156"/>
      <c r="B127" s="6" t="s">
        <v>149</v>
      </c>
      <c r="C127" s="16">
        <v>0.004909672592698346</v>
      </c>
      <c r="D127" s="17">
        <v>0</v>
      </c>
      <c r="E127" s="17">
        <v>0.0030663528214262994</v>
      </c>
      <c r="F127" s="17">
        <v>0</v>
      </c>
      <c r="G127" s="17">
        <v>0.0021875674619899876</v>
      </c>
      <c r="H127" s="17">
        <v>0.0023183705979404902</v>
      </c>
      <c r="I127" s="17">
        <v>0</v>
      </c>
      <c r="J127" s="16">
        <v>0.0034330226260872922</v>
      </c>
      <c r="K127" s="16">
        <v>0.06703858422197606</v>
      </c>
      <c r="L127" s="17">
        <v>0.042141136612699415</v>
      </c>
      <c r="M127" s="17">
        <v>0.042788173145765204</v>
      </c>
      <c r="N127" s="17">
        <v>0.06863280859790459</v>
      </c>
      <c r="O127" s="16">
        <v>0.05023744862541209</v>
      </c>
      <c r="P127" s="16">
        <v>0</v>
      </c>
      <c r="Q127" s="17">
        <v>0</v>
      </c>
      <c r="R127" s="16">
        <v>0</v>
      </c>
      <c r="S127" s="18">
        <v>0.02131023822790589</v>
      </c>
    </row>
    <row r="128" spans="1:19" ht="12.75">
      <c r="A128" s="156"/>
      <c r="B128" s="6" t="s">
        <v>151</v>
      </c>
      <c r="C128" s="16">
        <v>0.013485839729226365</v>
      </c>
      <c r="D128" s="17">
        <v>0</v>
      </c>
      <c r="E128" s="17">
        <v>0.0067911444748393664</v>
      </c>
      <c r="F128" s="17">
        <v>0.015785759209559793</v>
      </c>
      <c r="G128" s="17">
        <v>0.02609249874070952</v>
      </c>
      <c r="H128" s="17">
        <v>0</v>
      </c>
      <c r="I128" s="17">
        <v>0</v>
      </c>
      <c r="J128" s="16">
        <v>0.014656987188318569</v>
      </c>
      <c r="K128" s="16">
        <v>0.15189451065703952</v>
      </c>
      <c r="L128" s="17">
        <v>0.09498576818089818</v>
      </c>
      <c r="M128" s="17">
        <v>0.05457003811993266</v>
      </c>
      <c r="N128" s="17">
        <v>0.03537116364341495</v>
      </c>
      <c r="O128" s="16">
        <v>0.0712149817738211</v>
      </c>
      <c r="P128" s="16">
        <v>0</v>
      </c>
      <c r="Q128" s="17">
        <v>0</v>
      </c>
      <c r="R128" s="16">
        <v>0</v>
      </c>
      <c r="S128" s="18">
        <v>0.03625963355398715</v>
      </c>
    </row>
    <row r="129" spans="1:19" ht="12.75">
      <c r="A129" s="156"/>
      <c r="B129" s="6" t="s">
        <v>613</v>
      </c>
      <c r="C129" s="16">
        <v>0.002163741659999611</v>
      </c>
      <c r="D129" s="17">
        <v>0</v>
      </c>
      <c r="E129" s="17">
        <v>0.0007920351167377059</v>
      </c>
      <c r="F129" s="17">
        <v>0.007931287778039166</v>
      </c>
      <c r="G129" s="17">
        <v>0.03795964102511385</v>
      </c>
      <c r="H129" s="17">
        <v>0.007972065767764693</v>
      </c>
      <c r="I129" s="17">
        <v>0</v>
      </c>
      <c r="J129" s="16">
        <v>0.010689041298140288</v>
      </c>
      <c r="K129" s="16">
        <v>0.05513366343240755</v>
      </c>
      <c r="L129" s="17">
        <v>0.002173520611065627</v>
      </c>
      <c r="M129" s="17">
        <v>0.027174964685849186</v>
      </c>
      <c r="N129" s="17">
        <v>0.029586146514593285</v>
      </c>
      <c r="O129" s="16">
        <v>0.019335724762914445</v>
      </c>
      <c r="P129" s="16">
        <v>0</v>
      </c>
      <c r="Q129" s="17">
        <v>0</v>
      </c>
      <c r="R129" s="16">
        <v>0</v>
      </c>
      <c r="S129" s="18">
        <v>0.01399169102068314</v>
      </c>
    </row>
    <row r="130" spans="1:19" ht="12.75">
      <c r="A130" s="156"/>
      <c r="B130" s="6" t="s">
        <v>153</v>
      </c>
      <c r="C130" s="16">
        <v>0.0015157316255781333</v>
      </c>
      <c r="D130" s="17">
        <v>0</v>
      </c>
      <c r="E130" s="17">
        <v>0.009889305935492079</v>
      </c>
      <c r="F130" s="17">
        <v>0</v>
      </c>
      <c r="G130" s="17">
        <v>0.005966466893510285</v>
      </c>
      <c r="H130" s="17">
        <v>0</v>
      </c>
      <c r="I130" s="17">
        <v>0</v>
      </c>
      <c r="J130" s="16">
        <v>0.0034312275815769197</v>
      </c>
      <c r="K130" s="16">
        <v>0.0034033125575560212</v>
      </c>
      <c r="L130" s="17">
        <v>0.022654211469697438</v>
      </c>
      <c r="M130" s="17">
        <v>0.012471216548307823</v>
      </c>
      <c r="N130" s="17">
        <v>0.022543644707693572</v>
      </c>
      <c r="O130" s="16">
        <v>0.018522445067313417</v>
      </c>
      <c r="P130" s="16">
        <v>0</v>
      </c>
      <c r="Q130" s="17">
        <v>0</v>
      </c>
      <c r="R130" s="16">
        <v>0</v>
      </c>
      <c r="S130" s="18">
        <v>0.009195403574042636</v>
      </c>
    </row>
    <row r="131" spans="1:19" ht="12.75">
      <c r="A131" s="156"/>
      <c r="B131" s="6" t="s">
        <v>155</v>
      </c>
      <c r="C131" s="16">
        <v>0.0010827978829818102</v>
      </c>
      <c r="D131" s="17">
        <v>0</v>
      </c>
      <c r="E131" s="17">
        <v>0</v>
      </c>
      <c r="F131" s="17">
        <v>0</v>
      </c>
      <c r="G131" s="17">
        <v>0</v>
      </c>
      <c r="H131" s="17">
        <v>0</v>
      </c>
      <c r="I131" s="17">
        <v>0</v>
      </c>
      <c r="J131" s="16">
        <v>0.0005241529970287526</v>
      </c>
      <c r="K131" s="16">
        <v>0</v>
      </c>
      <c r="L131" s="17">
        <v>0.009490918440097808</v>
      </c>
      <c r="M131" s="17">
        <v>0</v>
      </c>
      <c r="N131" s="17">
        <v>0</v>
      </c>
      <c r="O131" s="16">
        <v>0.003779572156788707</v>
      </c>
      <c r="P131" s="16">
        <v>0</v>
      </c>
      <c r="Q131" s="17">
        <v>0</v>
      </c>
      <c r="R131" s="16">
        <v>0</v>
      </c>
      <c r="S131" s="18">
        <v>0.0017675787831746912</v>
      </c>
    </row>
    <row r="132" spans="1:20" s="3" customFormat="1" ht="12.75">
      <c r="A132" s="156"/>
      <c r="B132" s="6" t="s">
        <v>157</v>
      </c>
      <c r="C132" s="16">
        <v>0.8700278021181536</v>
      </c>
      <c r="D132" s="17">
        <v>0</v>
      </c>
      <c r="E132" s="17">
        <v>0.9232745386760237</v>
      </c>
      <c r="F132" s="17">
        <v>0.9915932746196957</v>
      </c>
      <c r="G132" s="17">
        <v>0.870740780677162</v>
      </c>
      <c r="H132" s="17">
        <v>0.9591836734693877</v>
      </c>
      <c r="I132" s="17">
        <v>0</v>
      </c>
      <c r="J132" s="16">
        <v>0.8846649767762165</v>
      </c>
      <c r="K132" s="16">
        <v>0</v>
      </c>
      <c r="L132" s="17">
        <v>0</v>
      </c>
      <c r="M132" s="17">
        <v>0</v>
      </c>
      <c r="N132" s="17">
        <v>0</v>
      </c>
      <c r="O132" s="16">
        <v>0</v>
      </c>
      <c r="P132" s="16">
        <v>0</v>
      </c>
      <c r="Q132" s="17">
        <v>0</v>
      </c>
      <c r="R132" s="16">
        <v>0</v>
      </c>
      <c r="S132" s="18">
        <v>0.8846649767762165</v>
      </c>
      <c r="T132"/>
    </row>
    <row r="133" spans="1:20" s="3" customFormat="1" ht="12.75">
      <c r="A133" s="156"/>
      <c r="B133" s="6" t="s">
        <v>159</v>
      </c>
      <c r="C133" s="16">
        <v>0.08933458821493093</v>
      </c>
      <c r="D133" s="17">
        <v>0</v>
      </c>
      <c r="E133" s="17">
        <v>0.02440552648892509</v>
      </c>
      <c r="F133" s="17">
        <v>0</v>
      </c>
      <c r="G133" s="17">
        <v>0.02552835885270649</v>
      </c>
      <c r="H133" s="17">
        <v>0</v>
      </c>
      <c r="I133" s="17">
        <v>0</v>
      </c>
      <c r="J133" s="16">
        <v>0.06682149188999106</v>
      </c>
      <c r="K133" s="16">
        <v>0</v>
      </c>
      <c r="L133" s="17">
        <v>0</v>
      </c>
      <c r="M133" s="17">
        <v>0</v>
      </c>
      <c r="N133" s="17">
        <v>0</v>
      </c>
      <c r="O133" s="16">
        <v>0</v>
      </c>
      <c r="P133" s="16">
        <v>0</v>
      </c>
      <c r="Q133" s="17">
        <v>0</v>
      </c>
      <c r="R133" s="16">
        <v>0</v>
      </c>
      <c r="S133" s="18">
        <v>0.06682149188999106</v>
      </c>
      <c r="T133"/>
    </row>
    <row r="134" spans="1:20" s="3" customFormat="1" ht="12.75">
      <c r="A134" s="156"/>
      <c r="B134" s="6" t="s">
        <v>161</v>
      </c>
      <c r="C134" s="16">
        <v>0.018606865067774425</v>
      </c>
      <c r="D134" s="17">
        <v>0</v>
      </c>
      <c r="E134" s="17">
        <v>0.013722234405839782</v>
      </c>
      <c r="F134" s="17">
        <v>0.006691067139425826</v>
      </c>
      <c r="G134" s="17">
        <v>0.026525770972611603</v>
      </c>
      <c r="H134" s="17">
        <v>0</v>
      </c>
      <c r="I134" s="17">
        <v>0</v>
      </c>
      <c r="J134" s="16">
        <v>0.01823836246684933</v>
      </c>
      <c r="K134" s="16">
        <v>0</v>
      </c>
      <c r="L134" s="17">
        <v>0</v>
      </c>
      <c r="M134" s="17">
        <v>0</v>
      </c>
      <c r="N134" s="17">
        <v>0</v>
      </c>
      <c r="O134" s="16">
        <v>0</v>
      </c>
      <c r="P134" s="16">
        <v>0</v>
      </c>
      <c r="Q134" s="17">
        <v>0</v>
      </c>
      <c r="R134" s="16">
        <v>0</v>
      </c>
      <c r="S134" s="18">
        <v>0.01823836246684933</v>
      </c>
      <c r="T134"/>
    </row>
    <row r="135" spans="1:20" s="3" customFormat="1" ht="12.75">
      <c r="A135" s="156"/>
      <c r="B135" s="6" t="s">
        <v>615</v>
      </c>
      <c r="C135" s="16">
        <v>0.01951016345914603</v>
      </c>
      <c r="D135" s="17">
        <v>0</v>
      </c>
      <c r="E135" s="17">
        <v>0.011090573012939002</v>
      </c>
      <c r="F135" s="17">
        <v>0.001715658240878417</v>
      </c>
      <c r="G135" s="17">
        <v>0.07720508949751995</v>
      </c>
      <c r="H135" s="17">
        <v>0.04081632653061224</v>
      </c>
      <c r="I135" s="17">
        <v>0</v>
      </c>
      <c r="J135" s="16">
        <v>0.025352019809814063</v>
      </c>
      <c r="K135" s="16">
        <v>0</v>
      </c>
      <c r="L135" s="17">
        <v>0</v>
      </c>
      <c r="M135" s="17">
        <v>0</v>
      </c>
      <c r="N135" s="17">
        <v>0</v>
      </c>
      <c r="O135" s="16">
        <v>0</v>
      </c>
      <c r="P135" s="16">
        <v>0</v>
      </c>
      <c r="Q135" s="17">
        <v>0</v>
      </c>
      <c r="R135" s="16">
        <v>0</v>
      </c>
      <c r="S135" s="18">
        <v>0.025352019809814063</v>
      </c>
      <c r="T135"/>
    </row>
    <row r="136" spans="1:20" s="3" customFormat="1" ht="12.75">
      <c r="A136" s="156"/>
      <c r="B136" s="6" t="s">
        <v>163</v>
      </c>
      <c r="C136" s="16">
        <v>0.002217678685403347</v>
      </c>
      <c r="D136" s="17">
        <v>0</v>
      </c>
      <c r="E136" s="17">
        <v>0.02750712741627244</v>
      </c>
      <c r="F136" s="17">
        <v>0</v>
      </c>
      <c r="G136" s="17">
        <v>0</v>
      </c>
      <c r="H136" s="17">
        <v>0</v>
      </c>
      <c r="I136" s="17">
        <v>0</v>
      </c>
      <c r="J136" s="16">
        <v>0.0047180178464153325</v>
      </c>
      <c r="K136" s="16">
        <v>0</v>
      </c>
      <c r="L136" s="17">
        <v>0</v>
      </c>
      <c r="M136" s="17">
        <v>0</v>
      </c>
      <c r="N136" s="17">
        <v>0</v>
      </c>
      <c r="O136" s="16">
        <v>0</v>
      </c>
      <c r="P136" s="16">
        <v>0</v>
      </c>
      <c r="Q136" s="17">
        <v>0</v>
      </c>
      <c r="R136" s="16">
        <v>0</v>
      </c>
      <c r="S136" s="18">
        <v>0.0047180178464153325</v>
      </c>
      <c r="T136"/>
    </row>
    <row r="137" spans="1:20" s="3" customFormat="1" ht="12.75">
      <c r="A137" s="157"/>
      <c r="B137" s="154" t="s">
        <v>165</v>
      </c>
      <c r="C137" s="138">
        <v>0.00030290245459167666</v>
      </c>
      <c r="D137" s="139">
        <v>0</v>
      </c>
      <c r="E137" s="139">
        <v>0</v>
      </c>
      <c r="F137" s="139">
        <v>0</v>
      </c>
      <c r="G137" s="139">
        <v>0</v>
      </c>
      <c r="H137" s="139">
        <v>0</v>
      </c>
      <c r="I137" s="139">
        <v>0</v>
      </c>
      <c r="J137" s="138">
        <v>0.0002051312107137101</v>
      </c>
      <c r="K137" s="138">
        <v>0</v>
      </c>
      <c r="L137" s="139">
        <v>0</v>
      </c>
      <c r="M137" s="139">
        <v>0</v>
      </c>
      <c r="N137" s="139">
        <v>0</v>
      </c>
      <c r="O137" s="138">
        <v>0</v>
      </c>
      <c r="P137" s="138">
        <v>0</v>
      </c>
      <c r="Q137" s="139">
        <v>0</v>
      </c>
      <c r="R137" s="138">
        <v>0</v>
      </c>
      <c r="S137" s="140">
        <v>0.0002051312107137101</v>
      </c>
      <c r="T137"/>
    </row>
    <row r="138" spans="1:20" s="3" customFormat="1" ht="12.75">
      <c r="A138" s="155" t="s">
        <v>518</v>
      </c>
      <c r="B138" s="4" t="s">
        <v>147</v>
      </c>
      <c r="C138" s="13">
        <v>0</v>
      </c>
      <c r="D138" s="14">
        <v>0</v>
      </c>
      <c r="E138" s="14">
        <v>0</v>
      </c>
      <c r="F138" s="14">
        <v>0</v>
      </c>
      <c r="G138" s="14">
        <v>0</v>
      </c>
      <c r="H138" s="14">
        <v>0</v>
      </c>
      <c r="I138" s="14">
        <v>0</v>
      </c>
      <c r="J138" s="13">
        <v>0</v>
      </c>
      <c r="K138" s="13">
        <v>0</v>
      </c>
      <c r="L138" s="14">
        <v>0</v>
      </c>
      <c r="M138" s="14">
        <v>0</v>
      </c>
      <c r="N138" s="14">
        <v>0</v>
      </c>
      <c r="O138" s="13">
        <v>0</v>
      </c>
      <c r="P138" s="13">
        <v>0</v>
      </c>
      <c r="Q138" s="14">
        <v>0</v>
      </c>
      <c r="R138" s="13">
        <v>0</v>
      </c>
      <c r="S138" s="15">
        <v>0</v>
      </c>
      <c r="T138"/>
    </row>
    <row r="139" spans="1:20" s="3" customFormat="1" ht="12.75">
      <c r="A139" s="156"/>
      <c r="B139" s="6" t="s">
        <v>149</v>
      </c>
      <c r="C139" s="16">
        <v>0</v>
      </c>
      <c r="D139" s="17">
        <v>0</v>
      </c>
      <c r="E139" s="17">
        <v>0</v>
      </c>
      <c r="F139" s="17">
        <v>0</v>
      </c>
      <c r="G139" s="17">
        <v>0</v>
      </c>
      <c r="H139" s="17">
        <v>0</v>
      </c>
      <c r="I139" s="17">
        <v>0</v>
      </c>
      <c r="J139" s="16">
        <v>0</v>
      </c>
      <c r="K139" s="16">
        <v>0</v>
      </c>
      <c r="L139" s="17">
        <v>0</v>
      </c>
      <c r="M139" s="17">
        <v>0</v>
      </c>
      <c r="N139" s="17">
        <v>0</v>
      </c>
      <c r="O139" s="16">
        <v>0</v>
      </c>
      <c r="P139" s="16">
        <v>0</v>
      </c>
      <c r="Q139" s="17">
        <v>0</v>
      </c>
      <c r="R139" s="16">
        <v>0</v>
      </c>
      <c r="S139" s="18">
        <v>0</v>
      </c>
      <c r="T139"/>
    </row>
    <row r="140" spans="1:20" s="3" customFormat="1" ht="12.75">
      <c r="A140" s="156"/>
      <c r="B140" s="6" t="s">
        <v>151</v>
      </c>
      <c r="C140" s="16">
        <v>0</v>
      </c>
      <c r="D140" s="17">
        <v>0</v>
      </c>
      <c r="E140" s="17">
        <v>0</v>
      </c>
      <c r="F140" s="17">
        <v>0</v>
      </c>
      <c r="G140" s="17">
        <v>0</v>
      </c>
      <c r="H140" s="17">
        <v>0</v>
      </c>
      <c r="I140" s="17">
        <v>0</v>
      </c>
      <c r="J140" s="16">
        <v>0</v>
      </c>
      <c r="K140" s="16">
        <v>0</v>
      </c>
      <c r="L140" s="17">
        <v>0</v>
      </c>
      <c r="M140" s="17">
        <v>0</v>
      </c>
      <c r="N140" s="17">
        <v>0</v>
      </c>
      <c r="O140" s="16">
        <v>0</v>
      </c>
      <c r="P140" s="16">
        <v>0</v>
      </c>
      <c r="Q140" s="17">
        <v>0</v>
      </c>
      <c r="R140" s="16">
        <v>0</v>
      </c>
      <c r="S140" s="18">
        <v>0</v>
      </c>
      <c r="T140"/>
    </row>
    <row r="141" spans="1:20" s="3" customFormat="1" ht="12.75">
      <c r="A141" s="156"/>
      <c r="B141" s="6" t="s">
        <v>613</v>
      </c>
      <c r="C141" s="16">
        <v>0</v>
      </c>
      <c r="D141" s="17">
        <v>0</v>
      </c>
      <c r="E141" s="17">
        <v>0</v>
      </c>
      <c r="F141" s="17">
        <v>0</v>
      </c>
      <c r="G141" s="17">
        <v>0</v>
      </c>
      <c r="H141" s="17">
        <v>0</v>
      </c>
      <c r="I141" s="17">
        <v>0</v>
      </c>
      <c r="J141" s="16">
        <v>0</v>
      </c>
      <c r="K141" s="16">
        <v>0</v>
      </c>
      <c r="L141" s="17">
        <v>0</v>
      </c>
      <c r="M141" s="17">
        <v>0</v>
      </c>
      <c r="N141" s="17">
        <v>0</v>
      </c>
      <c r="O141" s="16">
        <v>0</v>
      </c>
      <c r="P141" s="16">
        <v>0</v>
      </c>
      <c r="Q141" s="17">
        <v>0</v>
      </c>
      <c r="R141" s="16">
        <v>0</v>
      </c>
      <c r="S141" s="18">
        <v>0</v>
      </c>
      <c r="T141"/>
    </row>
    <row r="142" spans="1:20" s="3" customFormat="1" ht="12.75">
      <c r="A142" s="156"/>
      <c r="B142" s="6" t="s">
        <v>153</v>
      </c>
      <c r="C142" s="16">
        <v>0</v>
      </c>
      <c r="D142" s="17">
        <v>0</v>
      </c>
      <c r="E142" s="17">
        <v>0</v>
      </c>
      <c r="F142" s="17">
        <v>0</v>
      </c>
      <c r="G142" s="17">
        <v>0</v>
      </c>
      <c r="H142" s="17">
        <v>0</v>
      </c>
      <c r="I142" s="17">
        <v>0</v>
      </c>
      <c r="J142" s="16">
        <v>0</v>
      </c>
      <c r="K142" s="16">
        <v>0</v>
      </c>
      <c r="L142" s="17">
        <v>0</v>
      </c>
      <c r="M142" s="17">
        <v>0</v>
      </c>
      <c r="N142" s="17">
        <v>0</v>
      </c>
      <c r="O142" s="16">
        <v>0</v>
      </c>
      <c r="P142" s="16">
        <v>0</v>
      </c>
      <c r="Q142" s="17">
        <v>0</v>
      </c>
      <c r="R142" s="16">
        <v>0</v>
      </c>
      <c r="S142" s="18">
        <v>0</v>
      </c>
      <c r="T142"/>
    </row>
    <row r="143" spans="1:20" s="3" customFormat="1" ht="12.75">
      <c r="A143" s="156"/>
      <c r="B143" s="6" t="s">
        <v>155</v>
      </c>
      <c r="C143" s="16">
        <v>0</v>
      </c>
      <c r="D143" s="17">
        <v>0</v>
      </c>
      <c r="E143" s="17">
        <v>0</v>
      </c>
      <c r="F143" s="17">
        <v>0</v>
      </c>
      <c r="G143" s="17">
        <v>0</v>
      </c>
      <c r="H143" s="17">
        <v>0</v>
      </c>
      <c r="I143" s="17">
        <v>0</v>
      </c>
      <c r="J143" s="16">
        <v>0</v>
      </c>
      <c r="K143" s="16">
        <v>0</v>
      </c>
      <c r="L143" s="17">
        <v>0</v>
      </c>
      <c r="M143" s="17">
        <v>0</v>
      </c>
      <c r="N143" s="17">
        <v>0</v>
      </c>
      <c r="O143" s="16">
        <v>0</v>
      </c>
      <c r="P143" s="16">
        <v>0</v>
      </c>
      <c r="Q143" s="17">
        <v>0</v>
      </c>
      <c r="R143" s="16">
        <v>0</v>
      </c>
      <c r="S143" s="18">
        <v>0</v>
      </c>
      <c r="T143"/>
    </row>
    <row r="144" spans="1:20" s="3" customFormat="1" ht="12.75">
      <c r="A144" s="156"/>
      <c r="B144" s="6" t="s">
        <v>157</v>
      </c>
      <c r="C144" s="16">
        <v>0</v>
      </c>
      <c r="D144" s="17">
        <v>0</v>
      </c>
      <c r="E144" s="17">
        <v>0</v>
      </c>
      <c r="F144" s="17">
        <v>0</v>
      </c>
      <c r="G144" s="17">
        <v>0</v>
      </c>
      <c r="H144" s="17">
        <v>0</v>
      </c>
      <c r="I144" s="17">
        <v>0</v>
      </c>
      <c r="J144" s="16">
        <v>0</v>
      </c>
      <c r="K144" s="16">
        <v>0</v>
      </c>
      <c r="L144" s="17">
        <v>0</v>
      </c>
      <c r="M144" s="17">
        <v>0</v>
      </c>
      <c r="N144" s="17">
        <v>0</v>
      </c>
      <c r="O144" s="16">
        <v>0</v>
      </c>
      <c r="P144" s="16">
        <v>0</v>
      </c>
      <c r="Q144" s="17">
        <v>0</v>
      </c>
      <c r="R144" s="16">
        <v>0</v>
      </c>
      <c r="S144" s="18">
        <v>0</v>
      </c>
      <c r="T144"/>
    </row>
    <row r="145" spans="1:20" s="3" customFormat="1" ht="12.75">
      <c r="A145" s="156"/>
      <c r="B145" s="6" t="s">
        <v>159</v>
      </c>
      <c r="C145" s="16">
        <v>0</v>
      </c>
      <c r="D145" s="17">
        <v>0</v>
      </c>
      <c r="E145" s="17">
        <v>0</v>
      </c>
      <c r="F145" s="17">
        <v>0</v>
      </c>
      <c r="G145" s="17">
        <v>0</v>
      </c>
      <c r="H145" s="17">
        <v>0</v>
      </c>
      <c r="I145" s="17">
        <v>0</v>
      </c>
      <c r="J145" s="16">
        <v>0</v>
      </c>
      <c r="K145" s="16">
        <v>0</v>
      </c>
      <c r="L145" s="17">
        <v>0</v>
      </c>
      <c r="M145" s="17">
        <v>0</v>
      </c>
      <c r="N145" s="17">
        <v>0</v>
      </c>
      <c r="O145" s="16">
        <v>0</v>
      </c>
      <c r="P145" s="16">
        <v>0</v>
      </c>
      <c r="Q145" s="17">
        <v>0</v>
      </c>
      <c r="R145" s="16">
        <v>0</v>
      </c>
      <c r="S145" s="18">
        <v>0</v>
      </c>
      <c r="T145"/>
    </row>
    <row r="146" spans="1:19" ht="12.75">
      <c r="A146" s="156"/>
      <c r="B146" s="6" t="s">
        <v>161</v>
      </c>
      <c r="C146" s="16">
        <v>0</v>
      </c>
      <c r="D146" s="17">
        <v>0</v>
      </c>
      <c r="E146" s="17">
        <v>0</v>
      </c>
      <c r="F146" s="17">
        <v>0</v>
      </c>
      <c r="G146" s="17">
        <v>0</v>
      </c>
      <c r="H146" s="17">
        <v>0</v>
      </c>
      <c r="I146" s="17">
        <v>0</v>
      </c>
      <c r="J146" s="16">
        <v>0</v>
      </c>
      <c r="K146" s="16">
        <v>0</v>
      </c>
      <c r="L146" s="17">
        <v>0</v>
      </c>
      <c r="M146" s="17">
        <v>0</v>
      </c>
      <c r="N146" s="17">
        <v>0</v>
      </c>
      <c r="O146" s="16">
        <v>0</v>
      </c>
      <c r="P146" s="16">
        <v>0</v>
      </c>
      <c r="Q146" s="17">
        <v>0</v>
      </c>
      <c r="R146" s="16">
        <v>0</v>
      </c>
      <c r="S146" s="18">
        <v>0</v>
      </c>
    </row>
    <row r="147" spans="1:19" ht="12.75">
      <c r="A147" s="156"/>
      <c r="B147" s="6" t="s">
        <v>615</v>
      </c>
      <c r="C147" s="16">
        <v>0</v>
      </c>
      <c r="D147" s="17">
        <v>0</v>
      </c>
      <c r="E147" s="17">
        <v>0</v>
      </c>
      <c r="F147" s="17">
        <v>0</v>
      </c>
      <c r="G147" s="17">
        <v>0</v>
      </c>
      <c r="H147" s="17">
        <v>0</v>
      </c>
      <c r="I147" s="17">
        <v>0</v>
      </c>
      <c r="J147" s="16">
        <v>0</v>
      </c>
      <c r="K147" s="16">
        <v>0</v>
      </c>
      <c r="L147" s="17">
        <v>0</v>
      </c>
      <c r="M147" s="17">
        <v>0</v>
      </c>
      <c r="N147" s="17">
        <v>0</v>
      </c>
      <c r="O147" s="16">
        <v>0</v>
      </c>
      <c r="P147" s="16">
        <v>0</v>
      </c>
      <c r="Q147" s="17">
        <v>0</v>
      </c>
      <c r="R147" s="16">
        <v>0</v>
      </c>
      <c r="S147" s="18">
        <v>0</v>
      </c>
    </row>
    <row r="148" spans="1:19" ht="12.75">
      <c r="A148" s="156"/>
      <c r="B148" s="6" t="s">
        <v>163</v>
      </c>
      <c r="C148" s="16">
        <v>0</v>
      </c>
      <c r="D148" s="17">
        <v>0</v>
      </c>
      <c r="E148" s="17">
        <v>0</v>
      </c>
      <c r="F148" s="17">
        <v>0</v>
      </c>
      <c r="G148" s="17">
        <v>0</v>
      </c>
      <c r="H148" s="17">
        <v>0</v>
      </c>
      <c r="I148" s="17">
        <v>0</v>
      </c>
      <c r="J148" s="16">
        <v>0</v>
      </c>
      <c r="K148" s="16">
        <v>0</v>
      </c>
      <c r="L148" s="17">
        <v>0</v>
      </c>
      <c r="M148" s="17">
        <v>0</v>
      </c>
      <c r="N148" s="17">
        <v>0</v>
      </c>
      <c r="O148" s="16">
        <v>0</v>
      </c>
      <c r="P148" s="16">
        <v>0</v>
      </c>
      <c r="Q148" s="17">
        <v>0</v>
      </c>
      <c r="R148" s="16">
        <v>0</v>
      </c>
      <c r="S148" s="18">
        <v>0</v>
      </c>
    </row>
    <row r="149" spans="1:19" ht="12.75">
      <c r="A149" s="157"/>
      <c r="B149" s="154" t="s">
        <v>165</v>
      </c>
      <c r="C149" s="138">
        <v>0</v>
      </c>
      <c r="D149" s="139">
        <v>0</v>
      </c>
      <c r="E149" s="139">
        <v>0</v>
      </c>
      <c r="F149" s="139">
        <v>0</v>
      </c>
      <c r="G149" s="139">
        <v>0</v>
      </c>
      <c r="H149" s="139">
        <v>0</v>
      </c>
      <c r="I149" s="139">
        <v>0</v>
      </c>
      <c r="J149" s="138">
        <v>0</v>
      </c>
      <c r="K149" s="138">
        <v>0</v>
      </c>
      <c r="L149" s="139">
        <v>0</v>
      </c>
      <c r="M149" s="139">
        <v>0</v>
      </c>
      <c r="N149" s="139">
        <v>0</v>
      </c>
      <c r="O149" s="138">
        <v>0</v>
      </c>
      <c r="P149" s="138">
        <v>0</v>
      </c>
      <c r="Q149" s="139">
        <v>0</v>
      </c>
      <c r="R149" s="138">
        <v>0</v>
      </c>
      <c r="S149" s="140">
        <v>0</v>
      </c>
    </row>
    <row r="150" spans="1:20" s="148" customFormat="1" ht="12.75">
      <c r="A150" s="155" t="s">
        <v>519</v>
      </c>
      <c r="B150" s="4" t="s">
        <v>147</v>
      </c>
      <c r="C150" s="13">
        <v>0</v>
      </c>
      <c r="D150" s="14">
        <v>0</v>
      </c>
      <c r="E150" s="14">
        <v>0</v>
      </c>
      <c r="F150" s="14">
        <v>0</v>
      </c>
      <c r="G150" s="14">
        <v>0</v>
      </c>
      <c r="H150" s="14">
        <v>0</v>
      </c>
      <c r="I150" s="14">
        <v>0</v>
      </c>
      <c r="J150" s="13">
        <v>0</v>
      </c>
      <c r="K150" s="13">
        <v>0</v>
      </c>
      <c r="L150" s="14">
        <v>0</v>
      </c>
      <c r="M150" s="14">
        <v>0</v>
      </c>
      <c r="N150" s="14">
        <v>0</v>
      </c>
      <c r="O150" s="13">
        <v>0</v>
      </c>
      <c r="P150" s="13">
        <v>0</v>
      </c>
      <c r="Q150" s="14">
        <v>0</v>
      </c>
      <c r="R150" s="13">
        <v>0</v>
      </c>
      <c r="S150" s="15">
        <v>0</v>
      </c>
      <c r="T150"/>
    </row>
    <row r="151" spans="1:20" s="144" customFormat="1" ht="12.75">
      <c r="A151" s="156"/>
      <c r="B151" s="6" t="s">
        <v>149</v>
      </c>
      <c r="C151" s="16">
        <v>0</v>
      </c>
      <c r="D151" s="17">
        <v>0</v>
      </c>
      <c r="E151" s="17">
        <v>0</v>
      </c>
      <c r="F151" s="17">
        <v>0</v>
      </c>
      <c r="G151" s="17">
        <v>0</v>
      </c>
      <c r="H151" s="17">
        <v>0</v>
      </c>
      <c r="I151" s="17">
        <v>0</v>
      </c>
      <c r="J151" s="16">
        <v>0</v>
      </c>
      <c r="K151" s="16">
        <v>0</v>
      </c>
      <c r="L151" s="17">
        <v>0</v>
      </c>
      <c r="M151" s="17">
        <v>0</v>
      </c>
      <c r="N151" s="17">
        <v>0</v>
      </c>
      <c r="O151" s="16">
        <v>0</v>
      </c>
      <c r="P151" s="16">
        <v>0</v>
      </c>
      <c r="Q151" s="17">
        <v>0</v>
      </c>
      <c r="R151" s="16">
        <v>0</v>
      </c>
      <c r="S151" s="18">
        <v>0</v>
      </c>
      <c r="T151"/>
    </row>
    <row r="152" spans="1:19" ht="12.75">
      <c r="A152" s="156"/>
      <c r="B152" s="6" t="s">
        <v>151</v>
      </c>
      <c r="C152" s="16">
        <v>0</v>
      </c>
      <c r="D152" s="17">
        <v>0</v>
      </c>
      <c r="E152" s="17">
        <v>0</v>
      </c>
      <c r="F152" s="17">
        <v>0</v>
      </c>
      <c r="G152" s="17">
        <v>0</v>
      </c>
      <c r="H152" s="17">
        <v>0</v>
      </c>
      <c r="I152" s="17">
        <v>0</v>
      </c>
      <c r="J152" s="16">
        <v>0</v>
      </c>
      <c r="K152" s="16">
        <v>0</v>
      </c>
      <c r="L152" s="17">
        <v>0</v>
      </c>
      <c r="M152" s="17">
        <v>0</v>
      </c>
      <c r="N152" s="17">
        <v>0</v>
      </c>
      <c r="O152" s="16">
        <v>0</v>
      </c>
      <c r="P152" s="16">
        <v>0</v>
      </c>
      <c r="Q152" s="17">
        <v>0</v>
      </c>
      <c r="R152" s="16">
        <v>0</v>
      </c>
      <c r="S152" s="18">
        <v>0</v>
      </c>
    </row>
    <row r="153" spans="1:19" ht="12.75">
      <c r="A153" s="156"/>
      <c r="B153" s="6" t="s">
        <v>613</v>
      </c>
      <c r="C153" s="16">
        <v>0</v>
      </c>
      <c r="D153" s="17">
        <v>0</v>
      </c>
      <c r="E153" s="17">
        <v>0</v>
      </c>
      <c r="F153" s="17">
        <v>0</v>
      </c>
      <c r="G153" s="17">
        <v>0</v>
      </c>
      <c r="H153" s="17">
        <v>0</v>
      </c>
      <c r="I153" s="17">
        <v>0</v>
      </c>
      <c r="J153" s="16">
        <v>0</v>
      </c>
      <c r="K153" s="16">
        <v>0</v>
      </c>
      <c r="L153" s="17">
        <v>0</v>
      </c>
      <c r="M153" s="17">
        <v>0</v>
      </c>
      <c r="N153" s="17">
        <v>0</v>
      </c>
      <c r="O153" s="16">
        <v>0</v>
      </c>
      <c r="P153" s="16">
        <v>0</v>
      </c>
      <c r="Q153" s="17">
        <v>0</v>
      </c>
      <c r="R153" s="16">
        <v>0</v>
      </c>
      <c r="S153" s="18">
        <v>0</v>
      </c>
    </row>
    <row r="154" spans="1:19" ht="12.75">
      <c r="A154" s="156"/>
      <c r="B154" s="6" t="s">
        <v>153</v>
      </c>
      <c r="C154" s="16">
        <v>0</v>
      </c>
      <c r="D154" s="17">
        <v>0</v>
      </c>
      <c r="E154" s="17">
        <v>0</v>
      </c>
      <c r="F154" s="17">
        <v>0</v>
      </c>
      <c r="G154" s="17">
        <v>0</v>
      </c>
      <c r="H154" s="17">
        <v>0</v>
      </c>
      <c r="I154" s="17">
        <v>0</v>
      </c>
      <c r="J154" s="16">
        <v>0</v>
      </c>
      <c r="K154" s="16">
        <v>0</v>
      </c>
      <c r="L154" s="17">
        <v>0</v>
      </c>
      <c r="M154" s="17">
        <v>0</v>
      </c>
      <c r="N154" s="17">
        <v>0</v>
      </c>
      <c r="O154" s="16">
        <v>0</v>
      </c>
      <c r="P154" s="16">
        <v>0</v>
      </c>
      <c r="Q154" s="17">
        <v>0</v>
      </c>
      <c r="R154" s="16">
        <v>0</v>
      </c>
      <c r="S154" s="18">
        <v>0</v>
      </c>
    </row>
    <row r="155" spans="1:19" ht="12.75">
      <c r="A155" s="156"/>
      <c r="B155" s="6" t="s">
        <v>155</v>
      </c>
      <c r="C155" s="16">
        <v>0</v>
      </c>
      <c r="D155" s="17">
        <v>0</v>
      </c>
      <c r="E155" s="17">
        <v>0</v>
      </c>
      <c r="F155" s="17">
        <v>0</v>
      </c>
      <c r="G155" s="17">
        <v>0</v>
      </c>
      <c r="H155" s="17">
        <v>0</v>
      </c>
      <c r="I155" s="17">
        <v>0</v>
      </c>
      <c r="J155" s="16">
        <v>0</v>
      </c>
      <c r="K155" s="16">
        <v>0</v>
      </c>
      <c r="L155" s="17">
        <v>0</v>
      </c>
      <c r="M155" s="17">
        <v>0</v>
      </c>
      <c r="N155" s="17">
        <v>0</v>
      </c>
      <c r="O155" s="16">
        <v>0</v>
      </c>
      <c r="P155" s="16">
        <v>0</v>
      </c>
      <c r="Q155" s="17">
        <v>0</v>
      </c>
      <c r="R155" s="16">
        <v>0</v>
      </c>
      <c r="S155" s="18">
        <v>0</v>
      </c>
    </row>
    <row r="156" spans="1:19" ht="12.75">
      <c r="A156" s="156"/>
      <c r="B156" s="6" t="s">
        <v>157</v>
      </c>
      <c r="C156" s="16">
        <v>0</v>
      </c>
      <c r="D156" s="17">
        <v>0</v>
      </c>
      <c r="E156" s="17">
        <v>0</v>
      </c>
      <c r="F156" s="17">
        <v>0</v>
      </c>
      <c r="G156" s="17">
        <v>0</v>
      </c>
      <c r="H156" s="17">
        <v>0</v>
      </c>
      <c r="I156" s="17">
        <v>0</v>
      </c>
      <c r="J156" s="16">
        <v>0</v>
      </c>
      <c r="K156" s="16">
        <v>0</v>
      </c>
      <c r="L156" s="17">
        <v>0</v>
      </c>
      <c r="M156" s="17">
        <v>0</v>
      </c>
      <c r="N156" s="17">
        <v>0</v>
      </c>
      <c r="O156" s="16">
        <v>0</v>
      </c>
      <c r="P156" s="16">
        <v>0</v>
      </c>
      <c r="Q156" s="17">
        <v>0</v>
      </c>
      <c r="R156" s="16">
        <v>0</v>
      </c>
      <c r="S156" s="18">
        <v>0</v>
      </c>
    </row>
    <row r="157" spans="1:19" ht="12.75">
      <c r="A157" s="156"/>
      <c r="B157" s="6" t="s">
        <v>159</v>
      </c>
      <c r="C157" s="16">
        <v>0</v>
      </c>
      <c r="D157" s="17">
        <v>0</v>
      </c>
      <c r="E157" s="17">
        <v>0</v>
      </c>
      <c r="F157" s="17">
        <v>0</v>
      </c>
      <c r="G157" s="17">
        <v>0</v>
      </c>
      <c r="H157" s="17">
        <v>0</v>
      </c>
      <c r="I157" s="17">
        <v>0</v>
      </c>
      <c r="J157" s="16">
        <v>0</v>
      </c>
      <c r="K157" s="16">
        <v>0</v>
      </c>
      <c r="L157" s="17">
        <v>0</v>
      </c>
      <c r="M157" s="17">
        <v>0</v>
      </c>
      <c r="N157" s="17">
        <v>0</v>
      </c>
      <c r="O157" s="16">
        <v>0</v>
      </c>
      <c r="P157" s="16">
        <v>0</v>
      </c>
      <c r="Q157" s="17">
        <v>0</v>
      </c>
      <c r="R157" s="16">
        <v>0</v>
      </c>
      <c r="S157" s="18">
        <v>0</v>
      </c>
    </row>
    <row r="158" spans="1:19" ht="12.75">
      <c r="A158" s="156"/>
      <c r="B158" s="6" t="s">
        <v>161</v>
      </c>
      <c r="C158" s="16">
        <v>0</v>
      </c>
      <c r="D158" s="17">
        <v>0</v>
      </c>
      <c r="E158" s="17">
        <v>0</v>
      </c>
      <c r="F158" s="17">
        <v>0</v>
      </c>
      <c r="G158" s="17">
        <v>0</v>
      </c>
      <c r="H158" s="17">
        <v>0</v>
      </c>
      <c r="I158" s="17">
        <v>0</v>
      </c>
      <c r="J158" s="16">
        <v>0</v>
      </c>
      <c r="K158" s="16">
        <v>0</v>
      </c>
      <c r="L158" s="17">
        <v>0</v>
      </c>
      <c r="M158" s="17">
        <v>0</v>
      </c>
      <c r="N158" s="17">
        <v>0</v>
      </c>
      <c r="O158" s="16">
        <v>0</v>
      </c>
      <c r="P158" s="16">
        <v>0</v>
      </c>
      <c r="Q158" s="17">
        <v>0</v>
      </c>
      <c r="R158" s="16">
        <v>0</v>
      </c>
      <c r="S158" s="18">
        <v>0</v>
      </c>
    </row>
    <row r="159" spans="1:19" ht="12.75">
      <c r="A159" s="156"/>
      <c r="B159" s="6" t="s">
        <v>615</v>
      </c>
      <c r="C159" s="16">
        <v>0</v>
      </c>
      <c r="D159" s="17">
        <v>0</v>
      </c>
      <c r="E159" s="17">
        <v>0</v>
      </c>
      <c r="F159" s="17">
        <v>0</v>
      </c>
      <c r="G159" s="17">
        <v>0</v>
      </c>
      <c r="H159" s="17">
        <v>0</v>
      </c>
      <c r="I159" s="17">
        <v>0</v>
      </c>
      <c r="J159" s="16">
        <v>0</v>
      </c>
      <c r="K159" s="16">
        <v>0</v>
      </c>
      <c r="L159" s="17">
        <v>0</v>
      </c>
      <c r="M159" s="17">
        <v>0</v>
      </c>
      <c r="N159" s="17">
        <v>0</v>
      </c>
      <c r="O159" s="16">
        <v>0</v>
      </c>
      <c r="P159" s="16">
        <v>0</v>
      </c>
      <c r="Q159" s="17">
        <v>0</v>
      </c>
      <c r="R159" s="16">
        <v>0</v>
      </c>
      <c r="S159" s="18">
        <v>0</v>
      </c>
    </row>
    <row r="160" spans="1:20" s="3" customFormat="1" ht="12.75">
      <c r="A160" s="156"/>
      <c r="B160" s="6" t="s">
        <v>163</v>
      </c>
      <c r="C160" s="16">
        <v>0</v>
      </c>
      <c r="D160" s="17">
        <v>0</v>
      </c>
      <c r="E160" s="17">
        <v>0</v>
      </c>
      <c r="F160" s="17">
        <v>0</v>
      </c>
      <c r="G160" s="17">
        <v>0</v>
      </c>
      <c r="H160" s="17">
        <v>0</v>
      </c>
      <c r="I160" s="17">
        <v>0</v>
      </c>
      <c r="J160" s="16">
        <v>0</v>
      </c>
      <c r="K160" s="16">
        <v>0</v>
      </c>
      <c r="L160" s="17">
        <v>0</v>
      </c>
      <c r="M160" s="17">
        <v>0</v>
      </c>
      <c r="N160" s="17">
        <v>0</v>
      </c>
      <c r="O160" s="16">
        <v>0</v>
      </c>
      <c r="P160" s="16">
        <v>0</v>
      </c>
      <c r="Q160" s="17">
        <v>0</v>
      </c>
      <c r="R160" s="16">
        <v>0</v>
      </c>
      <c r="S160" s="18">
        <v>0</v>
      </c>
      <c r="T160"/>
    </row>
    <row r="161" spans="1:20" s="3" customFormat="1" ht="12.75">
      <c r="A161" s="157"/>
      <c r="B161" s="154" t="s">
        <v>165</v>
      </c>
      <c r="C161" s="138">
        <v>0</v>
      </c>
      <c r="D161" s="139">
        <v>0</v>
      </c>
      <c r="E161" s="139">
        <v>0</v>
      </c>
      <c r="F161" s="139">
        <v>0</v>
      </c>
      <c r="G161" s="139">
        <v>0</v>
      </c>
      <c r="H161" s="139">
        <v>0</v>
      </c>
      <c r="I161" s="139">
        <v>0</v>
      </c>
      <c r="J161" s="138">
        <v>0</v>
      </c>
      <c r="K161" s="138">
        <v>0</v>
      </c>
      <c r="L161" s="139">
        <v>0</v>
      </c>
      <c r="M161" s="139">
        <v>0</v>
      </c>
      <c r="N161" s="139">
        <v>0</v>
      </c>
      <c r="O161" s="138">
        <v>0</v>
      </c>
      <c r="P161" s="138">
        <v>0</v>
      </c>
      <c r="Q161" s="139">
        <v>0</v>
      </c>
      <c r="R161" s="138">
        <v>0</v>
      </c>
      <c r="S161" s="140">
        <v>0</v>
      </c>
      <c r="T161"/>
    </row>
    <row r="162" spans="1:20" s="3" customFormat="1" ht="12.75">
      <c r="A162" s="155" t="s">
        <v>177</v>
      </c>
      <c r="B162" s="4" t="s">
        <v>147</v>
      </c>
      <c r="C162" s="13">
        <v>0.9754009561570326</v>
      </c>
      <c r="D162" s="14">
        <v>0.9729259204054256</v>
      </c>
      <c r="E162" s="14">
        <v>0.9568192822650511</v>
      </c>
      <c r="F162" s="14">
        <v>0.9468365431733499</v>
      </c>
      <c r="G162" s="14">
        <v>0.6430184371820641</v>
      </c>
      <c r="H162" s="14">
        <v>0.9239443507527895</v>
      </c>
      <c r="I162" s="14">
        <v>0</v>
      </c>
      <c r="J162" s="13">
        <v>0.9633932555425715</v>
      </c>
      <c r="K162" s="13">
        <v>0</v>
      </c>
      <c r="L162" s="14">
        <v>0.8367229770235732</v>
      </c>
      <c r="M162" s="14">
        <v>0.7545949733399436</v>
      </c>
      <c r="N162" s="14">
        <v>0.6132595473666101</v>
      </c>
      <c r="O162" s="13">
        <v>0.8017677434381413</v>
      </c>
      <c r="P162" s="13">
        <v>0</v>
      </c>
      <c r="Q162" s="14">
        <v>0</v>
      </c>
      <c r="R162" s="13">
        <v>0</v>
      </c>
      <c r="S162" s="15">
        <v>0.8780218087163036</v>
      </c>
      <c r="T162"/>
    </row>
    <row r="163" spans="1:20" s="3" customFormat="1" ht="12.75">
      <c r="A163" s="156"/>
      <c r="B163" s="6" t="s">
        <v>149</v>
      </c>
      <c r="C163" s="16">
        <v>0.005401954464839229</v>
      </c>
      <c r="D163" s="17">
        <v>0.006208973021314652</v>
      </c>
      <c r="E163" s="17">
        <v>0.023922999699231624</v>
      </c>
      <c r="F163" s="17">
        <v>0.007919043612526235</v>
      </c>
      <c r="G163" s="17">
        <v>0.1029802228343135</v>
      </c>
      <c r="H163" s="17">
        <v>0.031006943570455126</v>
      </c>
      <c r="I163" s="17">
        <v>0</v>
      </c>
      <c r="J163" s="16">
        <v>0.01498480383463268</v>
      </c>
      <c r="K163" s="16">
        <v>0</v>
      </c>
      <c r="L163" s="17">
        <v>0.08590566487109362</v>
      </c>
      <c r="M163" s="17">
        <v>0.17749185396145362</v>
      </c>
      <c r="N163" s="17">
        <v>0.30799175558201747</v>
      </c>
      <c r="O163" s="16">
        <v>0.12343308882406255</v>
      </c>
      <c r="P163" s="16">
        <v>0</v>
      </c>
      <c r="Q163" s="17">
        <v>0</v>
      </c>
      <c r="R163" s="16">
        <v>0</v>
      </c>
      <c r="S163" s="18">
        <v>0.07226775919747776</v>
      </c>
      <c r="T163"/>
    </row>
    <row r="164" spans="1:20" s="3" customFormat="1" ht="12.75">
      <c r="A164" s="156"/>
      <c r="B164" s="6" t="s">
        <v>151</v>
      </c>
      <c r="C164" s="16">
        <v>0.013812636111874563</v>
      </c>
      <c r="D164" s="17">
        <v>0.01912654643016843</v>
      </c>
      <c r="E164" s="17">
        <v>0.014549726363719331</v>
      </c>
      <c r="F164" s="17">
        <v>0.038994239855025564</v>
      </c>
      <c r="G164" s="17">
        <v>0.22779721581180676</v>
      </c>
      <c r="H164" s="17">
        <v>0.027972053117774606</v>
      </c>
      <c r="I164" s="17">
        <v>0</v>
      </c>
      <c r="J164" s="16">
        <v>0.016418580055407493</v>
      </c>
      <c r="K164" s="16">
        <v>0</v>
      </c>
      <c r="L164" s="17">
        <v>0.05738925596654147</v>
      </c>
      <c r="M164" s="17">
        <v>0.051369652717942485</v>
      </c>
      <c r="N164" s="17">
        <v>0.04404556693866949</v>
      </c>
      <c r="O164" s="16">
        <v>0.05498990232890198</v>
      </c>
      <c r="P164" s="16">
        <v>0</v>
      </c>
      <c r="Q164" s="17">
        <v>0</v>
      </c>
      <c r="R164" s="16">
        <v>0</v>
      </c>
      <c r="S164" s="18">
        <v>0.036792155647625</v>
      </c>
      <c r="T164"/>
    </row>
    <row r="165" spans="1:20" s="3" customFormat="1" ht="12.75">
      <c r="A165" s="156"/>
      <c r="B165" s="6" t="s">
        <v>613</v>
      </c>
      <c r="C165" s="16">
        <v>0.0008215703505046384</v>
      </c>
      <c r="D165" s="17">
        <v>0.0006904158592934864</v>
      </c>
      <c r="E165" s="17">
        <v>0.0031344650436563723</v>
      </c>
      <c r="F165" s="17">
        <v>0.0041421267231894375</v>
      </c>
      <c r="G165" s="17">
        <v>0.02471525348023524</v>
      </c>
      <c r="H165" s="17">
        <v>0.016159712907993198</v>
      </c>
      <c r="I165" s="17">
        <v>0</v>
      </c>
      <c r="J165" s="16">
        <v>0.0024539397870674278</v>
      </c>
      <c r="K165" s="16">
        <v>0</v>
      </c>
      <c r="L165" s="17">
        <v>0.0006862926471202564</v>
      </c>
      <c r="M165" s="17">
        <v>0.008417842490745415</v>
      </c>
      <c r="N165" s="17">
        <v>0.02879980299754084</v>
      </c>
      <c r="O165" s="16">
        <v>0.004356338567099965</v>
      </c>
      <c r="P165" s="16">
        <v>0</v>
      </c>
      <c r="Q165" s="17">
        <v>0</v>
      </c>
      <c r="R165" s="16">
        <v>0</v>
      </c>
      <c r="S165" s="18">
        <v>0.0034587968432168745</v>
      </c>
      <c r="T165"/>
    </row>
    <row r="166" spans="1:20" s="3" customFormat="1" ht="12.75">
      <c r="A166" s="156"/>
      <c r="B166" s="6" t="s">
        <v>153</v>
      </c>
      <c r="C166" s="16">
        <v>0.0045628829157489835</v>
      </c>
      <c r="D166" s="17">
        <v>0.0010481442837978834</v>
      </c>
      <c r="E166" s="17">
        <v>0.0015735266283415524</v>
      </c>
      <c r="F166" s="17">
        <v>0.0021080466359089103</v>
      </c>
      <c r="G166" s="17">
        <v>0.0014888706915804361</v>
      </c>
      <c r="H166" s="17">
        <v>0.0009169396509875979</v>
      </c>
      <c r="I166" s="17">
        <v>0</v>
      </c>
      <c r="J166" s="16">
        <v>0.0027494207803208646</v>
      </c>
      <c r="K166" s="16">
        <v>0</v>
      </c>
      <c r="L166" s="17">
        <v>0.019295809491671444</v>
      </c>
      <c r="M166" s="17">
        <v>0.008125677489914813</v>
      </c>
      <c r="N166" s="17">
        <v>0.005903327115162105</v>
      </c>
      <c r="O166" s="16">
        <v>0.015452926841794232</v>
      </c>
      <c r="P166" s="16">
        <v>0</v>
      </c>
      <c r="Q166" s="17">
        <v>0</v>
      </c>
      <c r="R166" s="16">
        <v>0</v>
      </c>
      <c r="S166" s="18">
        <v>0.009459479595376694</v>
      </c>
      <c r="T166"/>
    </row>
    <row r="167" spans="1:20" s="3" customFormat="1" ht="12.75">
      <c r="A167" s="156"/>
      <c r="B167" s="6" t="s">
        <v>155</v>
      </c>
      <c r="C167" s="16">
        <v>0</v>
      </c>
      <c r="D167" s="17">
        <v>0</v>
      </c>
      <c r="E167" s="17">
        <v>0</v>
      </c>
      <c r="F167" s="17">
        <v>0</v>
      </c>
      <c r="G167" s="17">
        <v>0</v>
      </c>
      <c r="H167" s="17">
        <v>0</v>
      </c>
      <c r="I167" s="17">
        <v>0</v>
      </c>
      <c r="J167" s="16">
        <v>0</v>
      </c>
      <c r="K167" s="16">
        <v>0</v>
      </c>
      <c r="L167" s="17">
        <v>0</v>
      </c>
      <c r="M167" s="17">
        <v>0</v>
      </c>
      <c r="N167" s="17">
        <v>0</v>
      </c>
      <c r="O167" s="16">
        <v>0</v>
      </c>
      <c r="P167" s="16">
        <v>0</v>
      </c>
      <c r="Q167" s="17">
        <v>0</v>
      </c>
      <c r="R167" s="16">
        <v>0</v>
      </c>
      <c r="S167" s="18">
        <v>0</v>
      </c>
      <c r="T167"/>
    </row>
    <row r="168" spans="1:20" s="3" customFormat="1" ht="12.75">
      <c r="A168" s="156"/>
      <c r="B168" s="6" t="s">
        <v>157</v>
      </c>
      <c r="C168" s="16">
        <v>0.9291588365036862</v>
      </c>
      <c r="D168" s="17">
        <v>0.8581636694921968</v>
      </c>
      <c r="E168" s="17">
        <v>0.7899832094692355</v>
      </c>
      <c r="F168" s="17">
        <v>0.8316202965325772</v>
      </c>
      <c r="G168" s="17">
        <v>0.22587225362288046</v>
      </c>
      <c r="H168" s="17">
        <v>0.873380693689929</v>
      </c>
      <c r="I168" s="17">
        <v>0</v>
      </c>
      <c r="J168" s="16">
        <v>0.8590333532627263</v>
      </c>
      <c r="K168" s="16">
        <v>0</v>
      </c>
      <c r="L168" s="17">
        <v>0</v>
      </c>
      <c r="M168" s="17">
        <v>0</v>
      </c>
      <c r="N168" s="17">
        <v>0</v>
      </c>
      <c r="O168" s="16">
        <v>0</v>
      </c>
      <c r="P168" s="16">
        <v>0</v>
      </c>
      <c r="Q168" s="17">
        <v>0</v>
      </c>
      <c r="R168" s="16">
        <v>0</v>
      </c>
      <c r="S168" s="18">
        <v>0.8590333532627263</v>
      </c>
      <c r="T168"/>
    </row>
    <row r="169" spans="1:20" s="3" customFormat="1" ht="12.75">
      <c r="A169" s="156"/>
      <c r="B169" s="6" t="s">
        <v>159</v>
      </c>
      <c r="C169" s="16">
        <v>0.018545089813067805</v>
      </c>
      <c r="D169" s="17">
        <v>0.02729541313475402</v>
      </c>
      <c r="E169" s="17">
        <v>0.1404374548397102</v>
      </c>
      <c r="F169" s="17">
        <v>0.03455608718766613</v>
      </c>
      <c r="G169" s="17">
        <v>0.2486082189452212</v>
      </c>
      <c r="H169" s="17">
        <v>0.12160468031759299</v>
      </c>
      <c r="I169" s="17">
        <v>0</v>
      </c>
      <c r="J169" s="16">
        <v>0.06525867877614547</v>
      </c>
      <c r="K169" s="16">
        <v>0</v>
      </c>
      <c r="L169" s="17">
        <v>0</v>
      </c>
      <c r="M169" s="17">
        <v>0</v>
      </c>
      <c r="N169" s="17">
        <v>0</v>
      </c>
      <c r="O169" s="16">
        <v>0</v>
      </c>
      <c r="P169" s="16">
        <v>0</v>
      </c>
      <c r="Q169" s="17">
        <v>0</v>
      </c>
      <c r="R169" s="16">
        <v>0</v>
      </c>
      <c r="S169" s="18">
        <v>0.06525867877614547</v>
      </c>
      <c r="T169"/>
    </row>
    <row r="170" spans="1:20" s="3" customFormat="1" ht="12.75">
      <c r="A170" s="156"/>
      <c r="B170" s="6" t="s">
        <v>161</v>
      </c>
      <c r="C170" s="16">
        <v>0.0445820293522839</v>
      </c>
      <c r="D170" s="17">
        <v>0.10071298423512635</v>
      </c>
      <c r="E170" s="17">
        <v>0.054603013978246816</v>
      </c>
      <c r="F170" s="17">
        <v>0.130722428968043</v>
      </c>
      <c r="G170" s="17">
        <v>0.4699332795036335</v>
      </c>
      <c r="H170" s="17">
        <v>0</v>
      </c>
      <c r="I170" s="17">
        <v>0</v>
      </c>
      <c r="J170" s="16">
        <v>0.06402080249022511</v>
      </c>
      <c r="K170" s="16">
        <v>0</v>
      </c>
      <c r="L170" s="17">
        <v>0</v>
      </c>
      <c r="M170" s="17">
        <v>0</v>
      </c>
      <c r="N170" s="17">
        <v>0</v>
      </c>
      <c r="O170" s="16">
        <v>0</v>
      </c>
      <c r="P170" s="16">
        <v>0</v>
      </c>
      <c r="Q170" s="17">
        <v>0</v>
      </c>
      <c r="R170" s="16">
        <v>0</v>
      </c>
      <c r="S170" s="18">
        <v>0.06402080249022511</v>
      </c>
      <c r="T170"/>
    </row>
    <row r="171" spans="1:20" s="3" customFormat="1" ht="12.75">
      <c r="A171" s="156"/>
      <c r="B171" s="6" t="s">
        <v>615</v>
      </c>
      <c r="C171" s="16">
        <v>0.005121773941468668</v>
      </c>
      <c r="D171" s="17">
        <v>0.007066465974807891</v>
      </c>
      <c r="E171" s="17">
        <v>0.012600695533441574</v>
      </c>
      <c r="F171" s="17">
        <v>0.0031011873117136276</v>
      </c>
      <c r="G171" s="17">
        <v>0.03773745272194127</v>
      </c>
      <c r="H171" s="17">
        <v>0.005014625992478061</v>
      </c>
      <c r="I171" s="17">
        <v>0</v>
      </c>
      <c r="J171" s="16">
        <v>0.00838754602740766</v>
      </c>
      <c r="K171" s="16">
        <v>0</v>
      </c>
      <c r="L171" s="17">
        <v>0</v>
      </c>
      <c r="M171" s="17">
        <v>0</v>
      </c>
      <c r="N171" s="17">
        <v>0</v>
      </c>
      <c r="O171" s="16">
        <v>0</v>
      </c>
      <c r="P171" s="16">
        <v>0</v>
      </c>
      <c r="Q171" s="17">
        <v>0</v>
      </c>
      <c r="R171" s="16">
        <v>0</v>
      </c>
      <c r="S171" s="18">
        <v>0.00838754602740766</v>
      </c>
      <c r="T171"/>
    </row>
    <row r="172" spans="1:20" s="3" customFormat="1" ht="12.75">
      <c r="A172" s="156"/>
      <c r="B172" s="6" t="s">
        <v>163</v>
      </c>
      <c r="C172" s="16">
        <v>0.0025922703894933337</v>
      </c>
      <c r="D172" s="17">
        <v>0.006761467163114949</v>
      </c>
      <c r="E172" s="17">
        <v>0.0023756261793658412</v>
      </c>
      <c r="F172" s="17">
        <v>0</v>
      </c>
      <c r="G172" s="17">
        <v>0.017848795206323573</v>
      </c>
      <c r="H172" s="17">
        <v>0</v>
      </c>
      <c r="I172" s="17">
        <v>0</v>
      </c>
      <c r="J172" s="16">
        <v>0.003299619443495426</v>
      </c>
      <c r="K172" s="16">
        <v>0</v>
      </c>
      <c r="L172" s="17">
        <v>0</v>
      </c>
      <c r="M172" s="17">
        <v>0</v>
      </c>
      <c r="N172" s="17">
        <v>0</v>
      </c>
      <c r="O172" s="16">
        <v>0</v>
      </c>
      <c r="P172" s="16">
        <v>0</v>
      </c>
      <c r="Q172" s="17">
        <v>0</v>
      </c>
      <c r="R172" s="16">
        <v>0</v>
      </c>
      <c r="S172" s="18">
        <v>0.003299619443495426</v>
      </c>
      <c r="T172"/>
    </row>
    <row r="173" spans="1:20" s="3" customFormat="1" ht="12.75">
      <c r="A173" s="157"/>
      <c r="B173" s="154" t="s">
        <v>165</v>
      </c>
      <c r="C173" s="138">
        <v>0</v>
      </c>
      <c r="D173" s="139">
        <v>0</v>
      </c>
      <c r="E173" s="139">
        <v>0</v>
      </c>
      <c r="F173" s="139">
        <v>0</v>
      </c>
      <c r="G173" s="139">
        <v>0</v>
      </c>
      <c r="H173" s="139">
        <v>0</v>
      </c>
      <c r="I173" s="139">
        <v>0</v>
      </c>
      <c r="J173" s="138">
        <v>0</v>
      </c>
      <c r="K173" s="138">
        <v>0</v>
      </c>
      <c r="L173" s="139">
        <v>0</v>
      </c>
      <c r="M173" s="139">
        <v>0</v>
      </c>
      <c r="N173" s="139">
        <v>0</v>
      </c>
      <c r="O173" s="138">
        <v>0</v>
      </c>
      <c r="P173" s="138">
        <v>0</v>
      </c>
      <c r="Q173" s="139">
        <v>0</v>
      </c>
      <c r="R173" s="138">
        <v>0</v>
      </c>
      <c r="S173" s="140">
        <v>0</v>
      </c>
      <c r="T173"/>
    </row>
    <row r="174" spans="1:19" ht="12.75">
      <c r="A174" s="155" t="s">
        <v>524</v>
      </c>
      <c r="B174" s="4" t="s">
        <v>147</v>
      </c>
      <c r="C174" s="13">
        <v>0</v>
      </c>
      <c r="D174" s="14">
        <v>0</v>
      </c>
      <c r="E174" s="14">
        <v>0</v>
      </c>
      <c r="F174" s="14">
        <v>0</v>
      </c>
      <c r="G174" s="14">
        <v>0</v>
      </c>
      <c r="H174" s="14">
        <v>0</v>
      </c>
      <c r="I174" s="14">
        <v>0</v>
      </c>
      <c r="J174" s="13">
        <v>0</v>
      </c>
      <c r="K174" s="13">
        <v>0</v>
      </c>
      <c r="L174" s="14">
        <v>0</v>
      </c>
      <c r="M174" s="14">
        <v>0</v>
      </c>
      <c r="N174" s="14">
        <v>0</v>
      </c>
      <c r="O174" s="13">
        <v>0</v>
      </c>
      <c r="P174" s="13">
        <v>0</v>
      </c>
      <c r="Q174" s="14">
        <v>0</v>
      </c>
      <c r="R174" s="13">
        <v>0</v>
      </c>
      <c r="S174" s="15">
        <v>0</v>
      </c>
    </row>
    <row r="175" spans="1:19" ht="12.75">
      <c r="A175" s="156"/>
      <c r="B175" s="6" t="s">
        <v>149</v>
      </c>
      <c r="C175" s="16">
        <v>0</v>
      </c>
      <c r="D175" s="17">
        <v>0</v>
      </c>
      <c r="E175" s="17">
        <v>0</v>
      </c>
      <c r="F175" s="17">
        <v>0</v>
      </c>
      <c r="G175" s="17">
        <v>0</v>
      </c>
      <c r="H175" s="17">
        <v>0</v>
      </c>
      <c r="I175" s="17">
        <v>0</v>
      </c>
      <c r="J175" s="16">
        <v>0</v>
      </c>
      <c r="K175" s="16">
        <v>0</v>
      </c>
      <c r="L175" s="17">
        <v>0</v>
      </c>
      <c r="M175" s="17">
        <v>0</v>
      </c>
      <c r="N175" s="17">
        <v>0</v>
      </c>
      <c r="O175" s="16">
        <v>0</v>
      </c>
      <c r="P175" s="16">
        <v>0</v>
      </c>
      <c r="Q175" s="17">
        <v>0</v>
      </c>
      <c r="R175" s="16">
        <v>0</v>
      </c>
      <c r="S175" s="18">
        <v>0</v>
      </c>
    </row>
    <row r="176" spans="1:19" ht="12.75">
      <c r="A176" s="156"/>
      <c r="B176" s="6" t="s">
        <v>151</v>
      </c>
      <c r="C176" s="16">
        <v>0</v>
      </c>
      <c r="D176" s="17">
        <v>0</v>
      </c>
      <c r="E176" s="17">
        <v>0</v>
      </c>
      <c r="F176" s="17">
        <v>0</v>
      </c>
      <c r="G176" s="17">
        <v>0</v>
      </c>
      <c r="H176" s="17">
        <v>0</v>
      </c>
      <c r="I176" s="17">
        <v>0</v>
      </c>
      <c r="J176" s="16">
        <v>0</v>
      </c>
      <c r="K176" s="16">
        <v>0</v>
      </c>
      <c r="L176" s="17">
        <v>0</v>
      </c>
      <c r="M176" s="17">
        <v>0</v>
      </c>
      <c r="N176" s="17">
        <v>0</v>
      </c>
      <c r="O176" s="16">
        <v>0</v>
      </c>
      <c r="P176" s="16">
        <v>0</v>
      </c>
      <c r="Q176" s="17">
        <v>0</v>
      </c>
      <c r="R176" s="16">
        <v>0</v>
      </c>
      <c r="S176" s="18">
        <v>0</v>
      </c>
    </row>
    <row r="177" spans="1:19" ht="12.75">
      <c r="A177" s="156"/>
      <c r="B177" s="6" t="s">
        <v>613</v>
      </c>
      <c r="C177" s="16">
        <v>0</v>
      </c>
      <c r="D177" s="17">
        <v>0</v>
      </c>
      <c r="E177" s="17">
        <v>0</v>
      </c>
      <c r="F177" s="17">
        <v>0</v>
      </c>
      <c r="G177" s="17">
        <v>0</v>
      </c>
      <c r="H177" s="17">
        <v>0</v>
      </c>
      <c r="I177" s="17">
        <v>0</v>
      </c>
      <c r="J177" s="16">
        <v>0</v>
      </c>
      <c r="K177" s="16">
        <v>0</v>
      </c>
      <c r="L177" s="17">
        <v>0</v>
      </c>
      <c r="M177" s="17">
        <v>0</v>
      </c>
      <c r="N177" s="17">
        <v>0</v>
      </c>
      <c r="O177" s="16">
        <v>0</v>
      </c>
      <c r="P177" s="16">
        <v>0</v>
      </c>
      <c r="Q177" s="17">
        <v>0</v>
      </c>
      <c r="R177" s="16">
        <v>0</v>
      </c>
      <c r="S177" s="18">
        <v>0</v>
      </c>
    </row>
    <row r="178" spans="1:19" ht="12.75">
      <c r="A178" s="156"/>
      <c r="B178" s="6" t="s">
        <v>153</v>
      </c>
      <c r="C178" s="16">
        <v>0</v>
      </c>
      <c r="D178" s="17">
        <v>0</v>
      </c>
      <c r="E178" s="17">
        <v>0</v>
      </c>
      <c r="F178" s="17">
        <v>0</v>
      </c>
      <c r="G178" s="17">
        <v>0</v>
      </c>
      <c r="H178" s="17">
        <v>0</v>
      </c>
      <c r="I178" s="17">
        <v>0</v>
      </c>
      <c r="J178" s="16">
        <v>0</v>
      </c>
      <c r="K178" s="16">
        <v>0</v>
      </c>
      <c r="L178" s="17">
        <v>0</v>
      </c>
      <c r="M178" s="17">
        <v>0</v>
      </c>
      <c r="N178" s="17">
        <v>0</v>
      </c>
      <c r="O178" s="16">
        <v>0</v>
      </c>
      <c r="P178" s="16">
        <v>0</v>
      </c>
      <c r="Q178" s="17">
        <v>0</v>
      </c>
      <c r="R178" s="16">
        <v>0</v>
      </c>
      <c r="S178" s="18">
        <v>0</v>
      </c>
    </row>
    <row r="179" spans="1:20" s="148" customFormat="1" ht="12.75">
      <c r="A179" s="156"/>
      <c r="B179" s="6" t="s">
        <v>155</v>
      </c>
      <c r="C179" s="16">
        <v>0</v>
      </c>
      <c r="D179" s="17">
        <v>0</v>
      </c>
      <c r="E179" s="17">
        <v>0</v>
      </c>
      <c r="F179" s="17">
        <v>0</v>
      </c>
      <c r="G179" s="17">
        <v>0</v>
      </c>
      <c r="H179" s="17">
        <v>0</v>
      </c>
      <c r="I179" s="17">
        <v>0</v>
      </c>
      <c r="J179" s="16">
        <v>0</v>
      </c>
      <c r="K179" s="16">
        <v>0</v>
      </c>
      <c r="L179" s="17">
        <v>0</v>
      </c>
      <c r="M179" s="17">
        <v>0</v>
      </c>
      <c r="N179" s="17">
        <v>0</v>
      </c>
      <c r="O179" s="16">
        <v>0</v>
      </c>
      <c r="P179" s="16">
        <v>0</v>
      </c>
      <c r="Q179" s="17">
        <v>0</v>
      </c>
      <c r="R179" s="16">
        <v>0</v>
      </c>
      <c r="S179" s="18">
        <v>0</v>
      </c>
      <c r="T179"/>
    </row>
    <row r="180" spans="1:20" s="144" customFormat="1" ht="12.75">
      <c r="A180" s="156"/>
      <c r="B180" s="6" t="s">
        <v>157</v>
      </c>
      <c r="C180" s="16">
        <v>0</v>
      </c>
      <c r="D180" s="17">
        <v>0</v>
      </c>
      <c r="E180" s="17">
        <v>0</v>
      </c>
      <c r="F180" s="17">
        <v>0</v>
      </c>
      <c r="G180" s="17">
        <v>0</v>
      </c>
      <c r="H180" s="17">
        <v>0</v>
      </c>
      <c r="I180" s="17">
        <v>0</v>
      </c>
      <c r="J180" s="16">
        <v>0</v>
      </c>
      <c r="K180" s="16">
        <v>0</v>
      </c>
      <c r="L180" s="17">
        <v>0</v>
      </c>
      <c r="M180" s="17">
        <v>0</v>
      </c>
      <c r="N180" s="17">
        <v>0</v>
      </c>
      <c r="O180" s="16">
        <v>0</v>
      </c>
      <c r="P180" s="16">
        <v>0</v>
      </c>
      <c r="Q180" s="17">
        <v>0</v>
      </c>
      <c r="R180" s="16">
        <v>0</v>
      </c>
      <c r="S180" s="18">
        <v>0</v>
      </c>
      <c r="T180"/>
    </row>
    <row r="181" spans="1:19" ht="12.75">
      <c r="A181" s="156"/>
      <c r="B181" s="6" t="s">
        <v>159</v>
      </c>
      <c r="C181" s="16">
        <v>0</v>
      </c>
      <c r="D181" s="17">
        <v>0</v>
      </c>
      <c r="E181" s="17">
        <v>0</v>
      </c>
      <c r="F181" s="17">
        <v>0</v>
      </c>
      <c r="G181" s="17">
        <v>0</v>
      </c>
      <c r="H181" s="17">
        <v>0</v>
      </c>
      <c r="I181" s="17">
        <v>0</v>
      </c>
      <c r="J181" s="16">
        <v>0</v>
      </c>
      <c r="K181" s="16">
        <v>0</v>
      </c>
      <c r="L181" s="17">
        <v>0</v>
      </c>
      <c r="M181" s="17">
        <v>0</v>
      </c>
      <c r="N181" s="17">
        <v>0</v>
      </c>
      <c r="O181" s="16">
        <v>0</v>
      </c>
      <c r="P181" s="16">
        <v>0</v>
      </c>
      <c r="Q181" s="17">
        <v>0</v>
      </c>
      <c r="R181" s="16">
        <v>0</v>
      </c>
      <c r="S181" s="18">
        <v>0</v>
      </c>
    </row>
    <row r="182" spans="1:19" ht="12.75">
      <c r="A182" s="156"/>
      <c r="B182" s="6" t="s">
        <v>161</v>
      </c>
      <c r="C182" s="16">
        <v>0</v>
      </c>
      <c r="D182" s="17">
        <v>0</v>
      </c>
      <c r="E182" s="17">
        <v>0</v>
      </c>
      <c r="F182" s="17">
        <v>0</v>
      </c>
      <c r="G182" s="17">
        <v>0</v>
      </c>
      <c r="H182" s="17">
        <v>0</v>
      </c>
      <c r="I182" s="17">
        <v>0</v>
      </c>
      <c r="J182" s="16">
        <v>0</v>
      </c>
      <c r="K182" s="16">
        <v>0</v>
      </c>
      <c r="L182" s="17">
        <v>0</v>
      </c>
      <c r="M182" s="17">
        <v>0</v>
      </c>
      <c r="N182" s="17">
        <v>0</v>
      </c>
      <c r="O182" s="16">
        <v>0</v>
      </c>
      <c r="P182" s="16">
        <v>0</v>
      </c>
      <c r="Q182" s="17">
        <v>0</v>
      </c>
      <c r="R182" s="16">
        <v>0</v>
      </c>
      <c r="S182" s="18">
        <v>0</v>
      </c>
    </row>
    <row r="183" spans="1:19" ht="12.75">
      <c r="A183" s="156"/>
      <c r="B183" s="6" t="s">
        <v>615</v>
      </c>
      <c r="C183" s="16">
        <v>0</v>
      </c>
      <c r="D183" s="17">
        <v>0</v>
      </c>
      <c r="E183" s="17">
        <v>0</v>
      </c>
      <c r="F183" s="17">
        <v>0</v>
      </c>
      <c r="G183" s="17">
        <v>0</v>
      </c>
      <c r="H183" s="17">
        <v>0</v>
      </c>
      <c r="I183" s="17">
        <v>0</v>
      </c>
      <c r="J183" s="16">
        <v>0</v>
      </c>
      <c r="K183" s="16">
        <v>0</v>
      </c>
      <c r="L183" s="17">
        <v>0</v>
      </c>
      <c r="M183" s="17">
        <v>0</v>
      </c>
      <c r="N183" s="17">
        <v>0</v>
      </c>
      <c r="O183" s="16">
        <v>0</v>
      </c>
      <c r="P183" s="16">
        <v>0</v>
      </c>
      <c r="Q183" s="17">
        <v>0</v>
      </c>
      <c r="R183" s="16">
        <v>0</v>
      </c>
      <c r="S183" s="18">
        <v>0</v>
      </c>
    </row>
    <row r="184" spans="1:19" ht="12.75">
      <c r="A184" s="156"/>
      <c r="B184" s="6" t="s">
        <v>163</v>
      </c>
      <c r="C184" s="16">
        <v>0</v>
      </c>
      <c r="D184" s="17">
        <v>0</v>
      </c>
      <c r="E184" s="17">
        <v>0</v>
      </c>
      <c r="F184" s="17">
        <v>0</v>
      </c>
      <c r="G184" s="17">
        <v>0</v>
      </c>
      <c r="H184" s="17">
        <v>0</v>
      </c>
      <c r="I184" s="17">
        <v>0</v>
      </c>
      <c r="J184" s="16">
        <v>0</v>
      </c>
      <c r="K184" s="16">
        <v>0</v>
      </c>
      <c r="L184" s="17">
        <v>0</v>
      </c>
      <c r="M184" s="17">
        <v>0</v>
      </c>
      <c r="N184" s="17">
        <v>0</v>
      </c>
      <c r="O184" s="16">
        <v>0</v>
      </c>
      <c r="P184" s="16">
        <v>0</v>
      </c>
      <c r="Q184" s="17">
        <v>0</v>
      </c>
      <c r="R184" s="16">
        <v>0</v>
      </c>
      <c r="S184" s="18">
        <v>0</v>
      </c>
    </row>
    <row r="185" spans="1:19" ht="12.75">
      <c r="A185" s="157"/>
      <c r="B185" s="154" t="s">
        <v>165</v>
      </c>
      <c r="C185" s="138">
        <v>0</v>
      </c>
      <c r="D185" s="139">
        <v>0</v>
      </c>
      <c r="E185" s="139">
        <v>0</v>
      </c>
      <c r="F185" s="139">
        <v>0</v>
      </c>
      <c r="G185" s="139">
        <v>0</v>
      </c>
      <c r="H185" s="139">
        <v>0</v>
      </c>
      <c r="I185" s="139">
        <v>0</v>
      </c>
      <c r="J185" s="138">
        <v>0</v>
      </c>
      <c r="K185" s="138">
        <v>0</v>
      </c>
      <c r="L185" s="139">
        <v>0</v>
      </c>
      <c r="M185" s="139">
        <v>0</v>
      </c>
      <c r="N185" s="139">
        <v>0</v>
      </c>
      <c r="O185" s="138">
        <v>0</v>
      </c>
      <c r="P185" s="138">
        <v>0</v>
      </c>
      <c r="Q185" s="139">
        <v>0</v>
      </c>
      <c r="R185" s="138">
        <v>0</v>
      </c>
      <c r="S185" s="140">
        <v>0</v>
      </c>
    </row>
    <row r="186" spans="1:19" ht="12.75">
      <c r="A186" s="155" t="s">
        <v>7</v>
      </c>
      <c r="B186" s="4" t="s">
        <v>147</v>
      </c>
      <c r="C186" s="13">
        <v>0.9898163743009992</v>
      </c>
      <c r="D186" s="14">
        <v>0</v>
      </c>
      <c r="E186" s="14">
        <v>0.9272339547868618</v>
      </c>
      <c r="F186" s="14">
        <v>0</v>
      </c>
      <c r="G186" s="14">
        <v>0</v>
      </c>
      <c r="H186" s="14">
        <v>0.8513489239853824</v>
      </c>
      <c r="I186" s="14">
        <v>0</v>
      </c>
      <c r="J186" s="13">
        <v>0.9146158512166561</v>
      </c>
      <c r="K186" s="13">
        <v>0.6866170380213911</v>
      </c>
      <c r="L186" s="14">
        <v>0</v>
      </c>
      <c r="M186" s="14">
        <v>0.7321914906493978</v>
      </c>
      <c r="N186" s="14">
        <v>0.8577652674091298</v>
      </c>
      <c r="O186" s="13">
        <v>0.7957749312973589</v>
      </c>
      <c r="P186" s="13">
        <v>0</v>
      </c>
      <c r="Q186" s="14">
        <v>0</v>
      </c>
      <c r="R186" s="13">
        <v>0</v>
      </c>
      <c r="S186" s="15">
        <v>0.8915672390271859</v>
      </c>
    </row>
    <row r="187" spans="1:19" ht="12.75">
      <c r="A187" s="156"/>
      <c r="B187" s="6" t="s">
        <v>149</v>
      </c>
      <c r="C187" s="16">
        <v>0.00151816522795925</v>
      </c>
      <c r="D187" s="17">
        <v>0</v>
      </c>
      <c r="E187" s="17">
        <v>0.030937631208703787</v>
      </c>
      <c r="F187" s="17">
        <v>0</v>
      </c>
      <c r="G187" s="17">
        <v>0</v>
      </c>
      <c r="H187" s="17">
        <v>0.12868854067451482</v>
      </c>
      <c r="I187" s="17">
        <v>0</v>
      </c>
      <c r="J187" s="16">
        <v>0.06531438843497092</v>
      </c>
      <c r="K187" s="16">
        <v>0.22749616173605647</v>
      </c>
      <c r="L187" s="17">
        <v>0</v>
      </c>
      <c r="M187" s="17">
        <v>0.25611269139986687</v>
      </c>
      <c r="N187" s="17">
        <v>0.08470444254069269</v>
      </c>
      <c r="O187" s="16">
        <v>0.14908473134105255</v>
      </c>
      <c r="P187" s="16">
        <v>0</v>
      </c>
      <c r="Q187" s="17">
        <v>0</v>
      </c>
      <c r="R187" s="16">
        <v>0</v>
      </c>
      <c r="S187" s="18">
        <v>0.08156123462172524</v>
      </c>
    </row>
    <row r="188" spans="1:20" s="3" customFormat="1" ht="12.75">
      <c r="A188" s="156"/>
      <c r="B188" s="6" t="s">
        <v>151</v>
      </c>
      <c r="C188" s="16">
        <v>0.0075478407665464375</v>
      </c>
      <c r="D188" s="17">
        <v>0</v>
      </c>
      <c r="E188" s="17">
        <v>0.038075384694711875</v>
      </c>
      <c r="F188" s="17">
        <v>0</v>
      </c>
      <c r="G188" s="17">
        <v>0</v>
      </c>
      <c r="H188" s="17">
        <v>0.010152590752176257</v>
      </c>
      <c r="I188" s="17">
        <v>0</v>
      </c>
      <c r="J188" s="16">
        <v>0.014474269387269532</v>
      </c>
      <c r="K188" s="16">
        <v>0.07861022590924925</v>
      </c>
      <c r="L188" s="17">
        <v>0</v>
      </c>
      <c r="M188" s="17">
        <v>0.008291472492888701</v>
      </c>
      <c r="N188" s="17">
        <v>0.03026312568841023</v>
      </c>
      <c r="O188" s="16">
        <v>0.036860835470110036</v>
      </c>
      <c r="P188" s="16">
        <v>0</v>
      </c>
      <c r="Q188" s="17">
        <v>0</v>
      </c>
      <c r="R188" s="16">
        <v>0</v>
      </c>
      <c r="S188" s="18">
        <v>0.01881603382537494</v>
      </c>
      <c r="T188"/>
    </row>
    <row r="189" spans="1:20" s="3" customFormat="1" ht="12.75">
      <c r="A189" s="156"/>
      <c r="B189" s="6" t="s">
        <v>613</v>
      </c>
      <c r="C189" s="16">
        <v>0</v>
      </c>
      <c r="D189" s="17">
        <v>0</v>
      </c>
      <c r="E189" s="17">
        <v>0.002629698652739822</v>
      </c>
      <c r="F189" s="17">
        <v>0</v>
      </c>
      <c r="G189" s="17">
        <v>0</v>
      </c>
      <c r="H189" s="17">
        <v>0.006807639650953749</v>
      </c>
      <c r="I189" s="17">
        <v>0</v>
      </c>
      <c r="J189" s="16">
        <v>0.0036132070186408005</v>
      </c>
      <c r="K189" s="16">
        <v>0</v>
      </c>
      <c r="L189" s="17">
        <v>0</v>
      </c>
      <c r="M189" s="17">
        <v>0</v>
      </c>
      <c r="N189" s="17">
        <v>0.026190184799902094</v>
      </c>
      <c r="O189" s="16">
        <v>0.0153790431073141</v>
      </c>
      <c r="P189" s="16">
        <v>0</v>
      </c>
      <c r="Q189" s="17">
        <v>0</v>
      </c>
      <c r="R189" s="16">
        <v>0</v>
      </c>
      <c r="S189" s="18">
        <v>0.005895133086504137</v>
      </c>
      <c r="T189"/>
    </row>
    <row r="190" spans="1:20" s="3" customFormat="1" ht="12.75">
      <c r="A190" s="156"/>
      <c r="B190" s="6" t="s">
        <v>153</v>
      </c>
      <c r="C190" s="16">
        <v>0.0011176197044950977</v>
      </c>
      <c r="D190" s="17">
        <v>0</v>
      </c>
      <c r="E190" s="17">
        <v>0.001123330656982697</v>
      </c>
      <c r="F190" s="17">
        <v>0</v>
      </c>
      <c r="G190" s="17">
        <v>0</v>
      </c>
      <c r="H190" s="17">
        <v>0.0030023049369727285</v>
      </c>
      <c r="I190" s="17">
        <v>0</v>
      </c>
      <c r="J190" s="16">
        <v>0.0019822839424625833</v>
      </c>
      <c r="K190" s="16">
        <v>0.00727657433330323</v>
      </c>
      <c r="L190" s="17">
        <v>0</v>
      </c>
      <c r="M190" s="17">
        <v>0.0034043454578466382</v>
      </c>
      <c r="N190" s="17">
        <v>0.0010769795618651328</v>
      </c>
      <c r="O190" s="16">
        <v>0.0029004587841644724</v>
      </c>
      <c r="P190" s="16">
        <v>0</v>
      </c>
      <c r="Q190" s="17">
        <v>0</v>
      </c>
      <c r="R190" s="16">
        <v>0</v>
      </c>
      <c r="S190" s="18">
        <v>0.0021603594392097156</v>
      </c>
      <c r="T190"/>
    </row>
    <row r="191" spans="1:20" s="3" customFormat="1" ht="12.75">
      <c r="A191" s="156"/>
      <c r="B191" s="6" t="s">
        <v>155</v>
      </c>
      <c r="C191" s="16">
        <v>0</v>
      </c>
      <c r="D191" s="17">
        <v>0</v>
      </c>
      <c r="E191" s="17">
        <v>0</v>
      </c>
      <c r="F191" s="17">
        <v>0</v>
      </c>
      <c r="G191" s="17">
        <v>0</v>
      </c>
      <c r="H191" s="17">
        <v>0</v>
      </c>
      <c r="I191" s="17">
        <v>0</v>
      </c>
      <c r="J191" s="16">
        <v>0</v>
      </c>
      <c r="K191" s="16">
        <v>0</v>
      </c>
      <c r="L191" s="17">
        <v>0</v>
      </c>
      <c r="M191" s="17">
        <v>0</v>
      </c>
      <c r="N191" s="17">
        <v>0</v>
      </c>
      <c r="O191" s="16">
        <v>0</v>
      </c>
      <c r="P191" s="16">
        <v>0</v>
      </c>
      <c r="Q191" s="17">
        <v>0</v>
      </c>
      <c r="R191" s="16">
        <v>0</v>
      </c>
      <c r="S191" s="18">
        <v>0</v>
      </c>
      <c r="T191"/>
    </row>
    <row r="192" spans="1:20" s="3" customFormat="1" ht="12.75">
      <c r="A192" s="156"/>
      <c r="B192" s="6" t="s">
        <v>157</v>
      </c>
      <c r="C192" s="16">
        <v>0.7281135630684494</v>
      </c>
      <c r="D192" s="17">
        <v>0</v>
      </c>
      <c r="E192" s="17">
        <v>0.2793957614770275</v>
      </c>
      <c r="F192" s="17">
        <v>0</v>
      </c>
      <c r="G192" s="17">
        <v>0</v>
      </c>
      <c r="H192" s="17">
        <v>0.9140811455847255</v>
      </c>
      <c r="I192" s="17">
        <v>0</v>
      </c>
      <c r="J192" s="16">
        <v>0.5836806369940041</v>
      </c>
      <c r="K192" s="16">
        <v>0</v>
      </c>
      <c r="L192" s="17">
        <v>0</v>
      </c>
      <c r="M192" s="17">
        <v>1</v>
      </c>
      <c r="N192" s="17">
        <v>0</v>
      </c>
      <c r="O192" s="16">
        <v>1</v>
      </c>
      <c r="P192" s="16">
        <v>0</v>
      </c>
      <c r="Q192" s="17">
        <v>0</v>
      </c>
      <c r="R192" s="16">
        <v>0</v>
      </c>
      <c r="S192" s="18">
        <v>0.5836881479877799</v>
      </c>
      <c r="T192"/>
    </row>
    <row r="193" spans="1:20" s="3" customFormat="1" ht="12.75">
      <c r="A193" s="156"/>
      <c r="B193" s="6" t="s">
        <v>159</v>
      </c>
      <c r="C193" s="16">
        <v>0.20168858933942097</v>
      </c>
      <c r="D193" s="17">
        <v>0</v>
      </c>
      <c r="E193" s="17">
        <v>0.5030525480937713</v>
      </c>
      <c r="F193" s="17">
        <v>0</v>
      </c>
      <c r="G193" s="17">
        <v>0</v>
      </c>
      <c r="H193" s="17">
        <v>0.08591885441527446</v>
      </c>
      <c r="I193" s="17">
        <v>0</v>
      </c>
      <c r="J193" s="16">
        <v>0.29878338475231686</v>
      </c>
      <c r="K193" s="16">
        <v>0</v>
      </c>
      <c r="L193" s="17">
        <v>0</v>
      </c>
      <c r="M193" s="17">
        <v>0</v>
      </c>
      <c r="N193" s="17">
        <v>0</v>
      </c>
      <c r="O193" s="16">
        <v>0</v>
      </c>
      <c r="P193" s="16">
        <v>0</v>
      </c>
      <c r="Q193" s="17">
        <v>0</v>
      </c>
      <c r="R193" s="16">
        <v>0</v>
      </c>
      <c r="S193" s="18">
        <v>0.2987779942748551</v>
      </c>
      <c r="T193"/>
    </row>
    <row r="194" spans="1:20" s="3" customFormat="1" ht="12.75">
      <c r="A194" s="156"/>
      <c r="B194" s="6" t="s">
        <v>161</v>
      </c>
      <c r="C194" s="16">
        <v>0.016913070261260283</v>
      </c>
      <c r="D194" s="17">
        <v>0</v>
      </c>
      <c r="E194" s="17">
        <v>0.18247044285002859</v>
      </c>
      <c r="F194" s="17">
        <v>0</v>
      </c>
      <c r="G194" s="17">
        <v>0</v>
      </c>
      <c r="H194" s="17">
        <v>0</v>
      </c>
      <c r="I194" s="17">
        <v>0</v>
      </c>
      <c r="J194" s="16">
        <v>0.0707236545365977</v>
      </c>
      <c r="K194" s="16">
        <v>0</v>
      </c>
      <c r="L194" s="17">
        <v>0</v>
      </c>
      <c r="M194" s="17">
        <v>0</v>
      </c>
      <c r="N194" s="17">
        <v>0</v>
      </c>
      <c r="O194" s="16">
        <v>0</v>
      </c>
      <c r="P194" s="16">
        <v>0</v>
      </c>
      <c r="Q194" s="17">
        <v>0</v>
      </c>
      <c r="R194" s="16">
        <v>0</v>
      </c>
      <c r="S194" s="18">
        <v>0.07072237858122249</v>
      </c>
      <c r="T194"/>
    </row>
    <row r="195" spans="1:20" s="3" customFormat="1" ht="12.75">
      <c r="A195" s="156"/>
      <c r="B195" s="6" t="s">
        <v>615</v>
      </c>
      <c r="C195" s="16">
        <v>0.03061927021053013</v>
      </c>
      <c r="D195" s="17">
        <v>0</v>
      </c>
      <c r="E195" s="17">
        <v>0.03253592046774997</v>
      </c>
      <c r="F195" s="17">
        <v>0</v>
      </c>
      <c r="G195" s="17">
        <v>0</v>
      </c>
      <c r="H195" s="17">
        <v>0</v>
      </c>
      <c r="I195" s="17">
        <v>0</v>
      </c>
      <c r="J195" s="16">
        <v>0.030935584943559396</v>
      </c>
      <c r="K195" s="16">
        <v>0</v>
      </c>
      <c r="L195" s="17">
        <v>0</v>
      </c>
      <c r="M195" s="17">
        <v>0</v>
      </c>
      <c r="N195" s="17">
        <v>0</v>
      </c>
      <c r="O195" s="16">
        <v>0</v>
      </c>
      <c r="P195" s="16">
        <v>0</v>
      </c>
      <c r="Q195" s="17">
        <v>0</v>
      </c>
      <c r="R195" s="16">
        <v>0</v>
      </c>
      <c r="S195" s="18">
        <v>0.03093502682158235</v>
      </c>
      <c r="T195"/>
    </row>
    <row r="196" spans="1:20" s="3" customFormat="1" ht="12.75">
      <c r="A196" s="156"/>
      <c r="B196" s="6" t="s">
        <v>163</v>
      </c>
      <c r="C196" s="16">
        <v>0.022665507120339167</v>
      </c>
      <c r="D196" s="17">
        <v>0</v>
      </c>
      <c r="E196" s="17">
        <v>0.0025453271114226164</v>
      </c>
      <c r="F196" s="17">
        <v>0</v>
      </c>
      <c r="G196" s="17">
        <v>0</v>
      </c>
      <c r="H196" s="17">
        <v>0</v>
      </c>
      <c r="I196" s="17">
        <v>0</v>
      </c>
      <c r="J196" s="16">
        <v>0.01587673877352193</v>
      </c>
      <c r="K196" s="16">
        <v>0</v>
      </c>
      <c r="L196" s="17">
        <v>0</v>
      </c>
      <c r="M196" s="17">
        <v>0</v>
      </c>
      <c r="N196" s="17">
        <v>0</v>
      </c>
      <c r="O196" s="16">
        <v>0</v>
      </c>
      <c r="P196" s="16">
        <v>0</v>
      </c>
      <c r="Q196" s="17">
        <v>0</v>
      </c>
      <c r="R196" s="16">
        <v>0</v>
      </c>
      <c r="S196" s="18">
        <v>0.01587645233456015</v>
      </c>
      <c r="T196"/>
    </row>
    <row r="197" spans="1:20" s="3" customFormat="1" ht="12.75">
      <c r="A197" s="157"/>
      <c r="B197" s="154" t="s">
        <v>165</v>
      </c>
      <c r="C197" s="138">
        <v>0</v>
      </c>
      <c r="D197" s="139">
        <v>0</v>
      </c>
      <c r="E197" s="139">
        <v>0</v>
      </c>
      <c r="F197" s="139">
        <v>0</v>
      </c>
      <c r="G197" s="139">
        <v>0</v>
      </c>
      <c r="H197" s="139">
        <v>0</v>
      </c>
      <c r="I197" s="139">
        <v>0</v>
      </c>
      <c r="J197" s="138">
        <v>0</v>
      </c>
      <c r="K197" s="138">
        <v>0</v>
      </c>
      <c r="L197" s="139">
        <v>0</v>
      </c>
      <c r="M197" s="139">
        <v>0</v>
      </c>
      <c r="N197" s="139">
        <v>0</v>
      </c>
      <c r="O197" s="138">
        <v>0</v>
      </c>
      <c r="P197" s="138">
        <v>0</v>
      </c>
      <c r="Q197" s="139">
        <v>0</v>
      </c>
      <c r="R197" s="138">
        <v>0</v>
      </c>
      <c r="S197" s="140">
        <v>0</v>
      </c>
      <c r="T197"/>
    </row>
    <row r="198" spans="1:20" s="3" customFormat="1" ht="12.75">
      <c r="A198" s="4" t="s">
        <v>148</v>
      </c>
      <c r="B198" s="5"/>
      <c r="C198" s="13">
        <v>0.9328171051137457</v>
      </c>
      <c r="D198" s="14">
        <v>0.8836791267957707</v>
      </c>
      <c r="E198" s="14">
        <v>0.9497616471760395</v>
      </c>
      <c r="F198" s="14">
        <v>0.9572338130229316</v>
      </c>
      <c r="G198" s="14">
        <v>0.9320819594549127</v>
      </c>
      <c r="H198" s="14">
        <v>0.9066644024346697</v>
      </c>
      <c r="I198" s="14">
        <v>0</v>
      </c>
      <c r="J198" s="13">
        <v>0.923480852759981</v>
      </c>
      <c r="K198" s="13">
        <v>0.8162054971218344</v>
      </c>
      <c r="L198" s="14">
        <v>0.8717556626206208</v>
      </c>
      <c r="M198" s="14">
        <v>0.8044882627774119</v>
      </c>
      <c r="N198" s="14">
        <v>0.7772701429605875</v>
      </c>
      <c r="O198" s="13">
        <v>0.8394483260994842</v>
      </c>
      <c r="P198" s="13">
        <v>0.9226257333926945</v>
      </c>
      <c r="Q198" s="14">
        <v>0.9054011492371595</v>
      </c>
      <c r="R198" s="13">
        <v>0.9211008296222173</v>
      </c>
      <c r="S198" s="15">
        <v>0.8831564290027816</v>
      </c>
      <c r="T198"/>
    </row>
    <row r="199" spans="1:20" s="3" customFormat="1" ht="12.75">
      <c r="A199" s="4" t="s">
        <v>150</v>
      </c>
      <c r="B199" s="5"/>
      <c r="C199" s="13">
        <v>0.02252295412007171</v>
      </c>
      <c r="D199" s="14">
        <v>0.07189618629613843</v>
      </c>
      <c r="E199" s="14">
        <v>0.027026736688307722</v>
      </c>
      <c r="F199" s="14">
        <v>0.019951255107945036</v>
      </c>
      <c r="G199" s="14">
        <v>0.025199752453676075</v>
      </c>
      <c r="H199" s="14">
        <v>0.061174392001367844</v>
      </c>
      <c r="I199" s="14">
        <v>0.29951611264309014</v>
      </c>
      <c r="J199" s="13">
        <v>0.035735320840098714</v>
      </c>
      <c r="K199" s="13">
        <v>0.10552726720900998</v>
      </c>
      <c r="L199" s="14">
        <v>0.05361007516379734</v>
      </c>
      <c r="M199" s="14">
        <v>0.12908945077555453</v>
      </c>
      <c r="N199" s="14">
        <v>0.15020229180040662</v>
      </c>
      <c r="O199" s="13">
        <v>0.08853380131325915</v>
      </c>
      <c r="P199" s="13">
        <v>0.004739849841667008</v>
      </c>
      <c r="Q199" s="14">
        <v>0.06476424713464832</v>
      </c>
      <c r="R199" s="13">
        <v>0.010053849234987151</v>
      </c>
      <c r="S199" s="15">
        <v>0.0600853794802389</v>
      </c>
      <c r="T199"/>
    </row>
    <row r="200" spans="1:20" s="3" customFormat="1" ht="12.75">
      <c r="A200" s="4" t="s">
        <v>152</v>
      </c>
      <c r="B200" s="5"/>
      <c r="C200" s="13">
        <v>0.017881907147690317</v>
      </c>
      <c r="D200" s="14">
        <v>0.035851913511988916</v>
      </c>
      <c r="E200" s="14">
        <v>0.017287731820280657</v>
      </c>
      <c r="F200" s="14">
        <v>0.015885472402987585</v>
      </c>
      <c r="G200" s="14">
        <v>0.027512584156373383</v>
      </c>
      <c r="H200" s="14">
        <v>0.022133168246007254</v>
      </c>
      <c r="I200" s="14">
        <v>0.7004838873569098</v>
      </c>
      <c r="J200" s="13">
        <v>0.02672631580489921</v>
      </c>
      <c r="K200" s="13">
        <v>0.06796243927347596</v>
      </c>
      <c r="L200" s="14">
        <v>0.05563249600854963</v>
      </c>
      <c r="M200" s="14">
        <v>0.047457904694899064</v>
      </c>
      <c r="N200" s="14">
        <v>0.04495859378936747</v>
      </c>
      <c r="O200" s="13">
        <v>0.05208342944624642</v>
      </c>
      <c r="P200" s="13">
        <v>0.07220261123331992</v>
      </c>
      <c r="Q200" s="14">
        <v>0.02983460362819215</v>
      </c>
      <c r="R200" s="13">
        <v>0.06845174363841684</v>
      </c>
      <c r="S200" s="15">
        <v>0.04038240654209071</v>
      </c>
      <c r="T200"/>
    </row>
    <row r="201" spans="1:20" s="3" customFormat="1" ht="12.75">
      <c r="A201" s="4" t="s">
        <v>614</v>
      </c>
      <c r="B201" s="5"/>
      <c r="C201" s="13">
        <v>0.0010253435226299755</v>
      </c>
      <c r="D201" s="14">
        <v>0.00291592230021233</v>
      </c>
      <c r="E201" s="14">
        <v>0.0030151937678557146</v>
      </c>
      <c r="F201" s="14">
        <v>0.004247877350538233</v>
      </c>
      <c r="G201" s="14">
        <v>0.012539478895131479</v>
      </c>
      <c r="H201" s="14">
        <v>0.007708081563529736</v>
      </c>
      <c r="I201" s="14">
        <v>0</v>
      </c>
      <c r="J201" s="13">
        <v>0.003150088804740942</v>
      </c>
      <c r="K201" s="13">
        <v>0.008625268386115081</v>
      </c>
      <c r="L201" s="14">
        <v>0.0019250832510942907</v>
      </c>
      <c r="M201" s="14">
        <v>0.0074128823517001915</v>
      </c>
      <c r="N201" s="14">
        <v>0.015306110368146103</v>
      </c>
      <c r="O201" s="13">
        <v>0.005300313375704876</v>
      </c>
      <c r="P201" s="13">
        <v>0.0004202047866738882</v>
      </c>
      <c r="Q201" s="14">
        <v>0</v>
      </c>
      <c r="R201" s="13">
        <v>0.0003830037803804629</v>
      </c>
      <c r="S201" s="15">
        <v>0.00407928964544836</v>
      </c>
      <c r="T201"/>
    </row>
    <row r="202" spans="1:19" ht="12.75">
      <c r="A202" s="4" t="s">
        <v>154</v>
      </c>
      <c r="B202" s="5"/>
      <c r="C202" s="13">
        <v>0.024764484036767138</v>
      </c>
      <c r="D202" s="14">
        <v>0.004646010753990143</v>
      </c>
      <c r="E202" s="14">
        <v>0.0029086905475164578</v>
      </c>
      <c r="F202" s="14">
        <v>0.002431925470116662</v>
      </c>
      <c r="G202" s="14">
        <v>0.0017781912129880186</v>
      </c>
      <c r="H202" s="14">
        <v>0.0019207685516785752</v>
      </c>
      <c r="I202" s="14">
        <v>0</v>
      </c>
      <c r="J202" s="13">
        <v>0.010333130616240423</v>
      </c>
      <c r="K202" s="13">
        <v>0.0016795280095644916</v>
      </c>
      <c r="L202" s="14">
        <v>0.015660407180278755</v>
      </c>
      <c r="M202" s="14">
        <v>0.010388428177545603</v>
      </c>
      <c r="N202" s="14">
        <v>0.011736990647769957</v>
      </c>
      <c r="O202" s="13">
        <v>0.013423689487909656</v>
      </c>
      <c r="P202" s="13">
        <v>1.1600745644371148E-05</v>
      </c>
      <c r="Q202" s="14">
        <v>0</v>
      </c>
      <c r="R202" s="13">
        <v>1.0573723998233639E-05</v>
      </c>
      <c r="S202" s="15">
        <v>0.011438430717438391</v>
      </c>
    </row>
    <row r="203" spans="1:19" ht="12.75">
      <c r="A203" s="4" t="s">
        <v>156</v>
      </c>
      <c r="B203" s="5"/>
      <c r="C203" s="13">
        <v>0.0009882060590951417</v>
      </c>
      <c r="D203" s="14">
        <v>0.001010840341899523</v>
      </c>
      <c r="E203" s="14">
        <v>0</v>
      </c>
      <c r="F203" s="14">
        <v>0.00024965664548089195</v>
      </c>
      <c r="G203" s="14">
        <v>0.0008880338269183461</v>
      </c>
      <c r="H203" s="14">
        <v>0.0003991872027468546</v>
      </c>
      <c r="I203" s="14">
        <v>0</v>
      </c>
      <c r="J203" s="13">
        <v>0.0005742911740397071</v>
      </c>
      <c r="K203" s="13">
        <v>0</v>
      </c>
      <c r="L203" s="14">
        <v>0.0014162757756591045</v>
      </c>
      <c r="M203" s="14">
        <v>0.0011630712228887497</v>
      </c>
      <c r="N203" s="14">
        <v>0.0005258704337222431</v>
      </c>
      <c r="O203" s="13">
        <v>0.0012104402773957786</v>
      </c>
      <c r="P203" s="13">
        <v>0</v>
      </c>
      <c r="Q203" s="14">
        <v>0</v>
      </c>
      <c r="R203" s="13">
        <v>0</v>
      </c>
      <c r="S203" s="15">
        <v>0.0008580646120022399</v>
      </c>
    </row>
    <row r="204" spans="1:19" ht="12.75">
      <c r="A204" s="4" t="s">
        <v>158</v>
      </c>
      <c r="B204" s="5"/>
      <c r="C204" s="13">
        <v>0.8778365367370244</v>
      </c>
      <c r="D204" s="14">
        <v>0.8169343400348764</v>
      </c>
      <c r="E204" s="14">
        <v>0.7457159077692319</v>
      </c>
      <c r="F204" s="14">
        <v>0.7835849390188641</v>
      </c>
      <c r="G204" s="14">
        <v>0.7140328935025952</v>
      </c>
      <c r="H204" s="14">
        <v>0.8840360534752888</v>
      </c>
      <c r="I204" s="14">
        <v>0</v>
      </c>
      <c r="J204" s="13">
        <v>0.8094638451690301</v>
      </c>
      <c r="K204" s="13">
        <v>0</v>
      </c>
      <c r="L204" s="14">
        <v>0</v>
      </c>
      <c r="M204" s="14">
        <v>1</v>
      </c>
      <c r="N204" s="14">
        <v>0</v>
      </c>
      <c r="O204" s="13">
        <v>1</v>
      </c>
      <c r="P204" s="13">
        <v>0</v>
      </c>
      <c r="Q204" s="14">
        <v>0</v>
      </c>
      <c r="R204" s="13">
        <v>0</v>
      </c>
      <c r="S204" s="15">
        <v>0.809463951916529</v>
      </c>
    </row>
    <row r="205" spans="1:19" ht="12.75">
      <c r="A205" s="4" t="s">
        <v>160</v>
      </c>
      <c r="B205" s="5"/>
      <c r="C205" s="13">
        <v>0.06278503007648628</v>
      </c>
      <c r="D205" s="14">
        <v>0.08736973829501915</v>
      </c>
      <c r="E205" s="14">
        <v>0.1561987915526142</v>
      </c>
      <c r="F205" s="14">
        <v>0.12373621443014693</v>
      </c>
      <c r="G205" s="14">
        <v>0.1299856169095116</v>
      </c>
      <c r="H205" s="14">
        <v>0.03175851430645454</v>
      </c>
      <c r="I205" s="14">
        <v>0.2001102603369066</v>
      </c>
      <c r="J205" s="13">
        <v>0.09821031478765142</v>
      </c>
      <c r="K205" s="13">
        <v>0</v>
      </c>
      <c r="L205" s="14">
        <v>0</v>
      </c>
      <c r="M205" s="14">
        <v>0</v>
      </c>
      <c r="N205" s="14">
        <v>0</v>
      </c>
      <c r="O205" s="13">
        <v>0</v>
      </c>
      <c r="P205" s="13">
        <v>0</v>
      </c>
      <c r="Q205" s="14">
        <v>0</v>
      </c>
      <c r="R205" s="13">
        <v>0</v>
      </c>
      <c r="S205" s="15">
        <v>0.0982102597655194</v>
      </c>
    </row>
    <row r="206" spans="1:19" ht="12.75">
      <c r="A206" s="4" t="s">
        <v>162</v>
      </c>
      <c r="B206" s="5"/>
      <c r="C206" s="13">
        <v>0.03718895173998166</v>
      </c>
      <c r="D206" s="14">
        <v>0.07262297888879507</v>
      </c>
      <c r="E206" s="14">
        <v>0.07947604006047995</v>
      </c>
      <c r="F206" s="14">
        <v>0.0789175681237065</v>
      </c>
      <c r="G206" s="14">
        <v>0.12370083171784128</v>
      </c>
      <c r="H206" s="14">
        <v>0.07894259270461557</v>
      </c>
      <c r="I206" s="14">
        <v>0.7998897396630934</v>
      </c>
      <c r="J206" s="13">
        <v>0.07145122333486499</v>
      </c>
      <c r="K206" s="13">
        <v>0</v>
      </c>
      <c r="L206" s="14">
        <v>0</v>
      </c>
      <c r="M206" s="14">
        <v>0</v>
      </c>
      <c r="N206" s="14">
        <v>0</v>
      </c>
      <c r="O206" s="13">
        <v>0</v>
      </c>
      <c r="P206" s="13">
        <v>0</v>
      </c>
      <c r="Q206" s="14">
        <v>0</v>
      </c>
      <c r="R206" s="13">
        <v>0</v>
      </c>
      <c r="S206" s="15">
        <v>0.07145118330446033</v>
      </c>
    </row>
    <row r="207" spans="1:19" ht="12.75">
      <c r="A207" s="4" t="s">
        <v>616</v>
      </c>
      <c r="B207" s="5"/>
      <c r="C207" s="13">
        <v>0.006677930924600656</v>
      </c>
      <c r="D207" s="14">
        <v>0.008816245208270146</v>
      </c>
      <c r="E207" s="14">
        <v>0.013537405173806914</v>
      </c>
      <c r="F207" s="14">
        <v>0.011555884393613212</v>
      </c>
      <c r="G207" s="14">
        <v>0.029654180476518043</v>
      </c>
      <c r="H207" s="14">
        <v>0.005081362289032726</v>
      </c>
      <c r="I207" s="14">
        <v>0</v>
      </c>
      <c r="J207" s="13">
        <v>0.009655831059736756</v>
      </c>
      <c r="K207" s="13">
        <v>0</v>
      </c>
      <c r="L207" s="14">
        <v>0</v>
      </c>
      <c r="M207" s="14">
        <v>0</v>
      </c>
      <c r="N207" s="14">
        <v>0</v>
      </c>
      <c r="O207" s="13">
        <v>0</v>
      </c>
      <c r="P207" s="13">
        <v>0</v>
      </c>
      <c r="Q207" s="14">
        <v>0</v>
      </c>
      <c r="R207" s="13">
        <v>0</v>
      </c>
      <c r="S207" s="15">
        <v>0.009655825650076758</v>
      </c>
    </row>
    <row r="208" spans="1:20" s="148" customFormat="1" ht="12.75">
      <c r="A208" s="4" t="s">
        <v>164</v>
      </c>
      <c r="B208" s="5"/>
      <c r="C208" s="13">
        <v>0.015477766089939997</v>
      </c>
      <c r="D208" s="14">
        <v>0.014256697573039242</v>
      </c>
      <c r="E208" s="14">
        <v>0.0050718554438670006</v>
      </c>
      <c r="F208" s="14">
        <v>0.0016727655231125117</v>
      </c>
      <c r="G208" s="14">
        <v>0.002626477393533863</v>
      </c>
      <c r="H208" s="14">
        <v>0.00018147722460831167</v>
      </c>
      <c r="I208" s="14">
        <v>0</v>
      </c>
      <c r="J208" s="13">
        <v>0.011170184107865728</v>
      </c>
      <c r="K208" s="13">
        <v>0</v>
      </c>
      <c r="L208" s="14">
        <v>0</v>
      </c>
      <c r="M208" s="14">
        <v>0</v>
      </c>
      <c r="N208" s="14">
        <v>0</v>
      </c>
      <c r="O208" s="13">
        <v>0</v>
      </c>
      <c r="P208" s="13">
        <v>0</v>
      </c>
      <c r="Q208" s="14">
        <v>0</v>
      </c>
      <c r="R208" s="13">
        <v>0</v>
      </c>
      <c r="S208" s="15">
        <v>0.01117017784979247</v>
      </c>
      <c r="T208"/>
    </row>
    <row r="209" spans="1:20" s="144" customFormat="1" ht="12.75">
      <c r="A209" s="152" t="s">
        <v>166</v>
      </c>
      <c r="B209" s="153"/>
      <c r="C209" s="180">
        <v>3.3784431966912944E-05</v>
      </c>
      <c r="D209" s="181">
        <v>0</v>
      </c>
      <c r="E209" s="181">
        <v>0</v>
      </c>
      <c r="F209" s="181">
        <v>0.0005326285105567417</v>
      </c>
      <c r="G209" s="181">
        <v>0</v>
      </c>
      <c r="H209" s="181">
        <v>0</v>
      </c>
      <c r="I209" s="181">
        <v>0</v>
      </c>
      <c r="J209" s="180">
        <v>4.8601540850925675E-05</v>
      </c>
      <c r="K209" s="180">
        <v>0</v>
      </c>
      <c r="L209" s="181">
        <v>0</v>
      </c>
      <c r="M209" s="181">
        <v>0</v>
      </c>
      <c r="N209" s="181">
        <v>0</v>
      </c>
      <c r="O209" s="180">
        <v>0</v>
      </c>
      <c r="P209" s="180">
        <v>0</v>
      </c>
      <c r="Q209" s="181">
        <v>0</v>
      </c>
      <c r="R209" s="180">
        <v>0</v>
      </c>
      <c r="S209" s="182">
        <v>4.860151362200983E-05</v>
      </c>
      <c r="T209"/>
    </row>
    <row r="210" spans="1:19" ht="12.75">
      <c r="A210"/>
      <c r="C210"/>
      <c r="D210"/>
      <c r="E210"/>
      <c r="F210"/>
      <c r="G210"/>
      <c r="H210"/>
      <c r="I210"/>
      <c r="J210"/>
      <c r="K210"/>
      <c r="L210"/>
      <c r="M210"/>
      <c r="R210"/>
      <c r="S210"/>
    </row>
    <row r="211" spans="1:19" ht="12.75">
      <c r="A211"/>
      <c r="C211"/>
      <c r="D211"/>
      <c r="E211"/>
      <c r="F211"/>
      <c r="G211"/>
      <c r="H211"/>
      <c r="I211"/>
      <c r="J211"/>
      <c r="K211"/>
      <c r="L211"/>
      <c r="M211"/>
      <c r="R211"/>
      <c r="S211"/>
    </row>
    <row r="212" spans="1:19" ht="12.75">
      <c r="A212"/>
      <c r="C212"/>
      <c r="D212"/>
      <c r="E212"/>
      <c r="F212"/>
      <c r="G212"/>
      <c r="H212"/>
      <c r="I212"/>
      <c r="J212"/>
      <c r="K212"/>
      <c r="L212"/>
      <c r="M212"/>
      <c r="R212"/>
      <c r="S212"/>
    </row>
    <row r="213" spans="1:19" ht="12.75">
      <c r="A213"/>
      <c r="C213"/>
      <c r="D213"/>
      <c r="E213"/>
      <c r="F213"/>
      <c r="G213"/>
      <c r="H213"/>
      <c r="I213"/>
      <c r="J213"/>
      <c r="K213"/>
      <c r="L213"/>
      <c r="M213"/>
      <c r="R213"/>
      <c r="S213"/>
    </row>
    <row r="214" spans="1:19" ht="12.75">
      <c r="A214"/>
      <c r="C214"/>
      <c r="D214"/>
      <c r="E214"/>
      <c r="F214"/>
      <c r="G214"/>
      <c r="H214"/>
      <c r="I214"/>
      <c r="J214"/>
      <c r="K214"/>
      <c r="L214"/>
      <c r="M214"/>
      <c r="R214"/>
      <c r="S214"/>
    </row>
    <row r="215" spans="1:19" ht="12.75">
      <c r="A215"/>
      <c r="C215"/>
      <c r="D215"/>
      <c r="E215"/>
      <c r="F215"/>
      <c r="G215"/>
      <c r="H215"/>
      <c r="I215"/>
      <c r="J215"/>
      <c r="K215"/>
      <c r="L215"/>
      <c r="M215"/>
      <c r="R215"/>
      <c r="S215"/>
    </row>
    <row r="216" spans="1:20" s="3" customFormat="1" ht="12.75">
      <c r="A216"/>
      <c r="B216"/>
      <c r="C216"/>
      <c r="D216"/>
      <c r="E216"/>
      <c r="F216"/>
      <c r="G216"/>
      <c r="H216"/>
      <c r="I216"/>
      <c r="J216"/>
      <c r="K216"/>
      <c r="L216"/>
      <c r="M216"/>
      <c r="N216"/>
      <c r="O216"/>
      <c r="P216"/>
      <c r="Q216"/>
      <c r="R216"/>
      <c r="S216"/>
      <c r="T216"/>
    </row>
    <row r="217" spans="1:20" s="3" customFormat="1" ht="12.75">
      <c r="A217"/>
      <c r="B217"/>
      <c r="C217"/>
      <c r="D217"/>
      <c r="E217"/>
      <c r="F217"/>
      <c r="G217"/>
      <c r="H217"/>
      <c r="I217"/>
      <c r="J217"/>
      <c r="K217"/>
      <c r="L217"/>
      <c r="M217"/>
      <c r="N217"/>
      <c r="O217"/>
      <c r="P217"/>
      <c r="Q217"/>
      <c r="R217"/>
      <c r="S217"/>
      <c r="T217"/>
    </row>
    <row r="218" spans="1:20" s="3" customFormat="1" ht="12.75">
      <c r="A218"/>
      <c r="B218"/>
      <c r="C218"/>
      <c r="D218"/>
      <c r="E218"/>
      <c r="F218"/>
      <c r="G218"/>
      <c r="H218"/>
      <c r="I218"/>
      <c r="J218"/>
      <c r="K218"/>
      <c r="L218"/>
      <c r="M218"/>
      <c r="N218"/>
      <c r="O218"/>
      <c r="P218"/>
      <c r="Q218"/>
      <c r="R218"/>
      <c r="S218"/>
      <c r="T218"/>
    </row>
    <row r="219" spans="1:20" s="3" customFormat="1" ht="12.75">
      <c r="A219"/>
      <c r="B219"/>
      <c r="C219"/>
      <c r="D219"/>
      <c r="E219"/>
      <c r="F219"/>
      <c r="G219"/>
      <c r="H219"/>
      <c r="I219"/>
      <c r="J219"/>
      <c r="K219"/>
      <c r="L219"/>
      <c r="M219"/>
      <c r="N219"/>
      <c r="O219"/>
      <c r="P219"/>
      <c r="Q219"/>
      <c r="R219"/>
      <c r="S219"/>
      <c r="T219"/>
    </row>
    <row r="220" spans="1:20" s="3" customFormat="1" ht="12.75">
      <c r="A220"/>
      <c r="B220"/>
      <c r="C220"/>
      <c r="D220"/>
      <c r="E220"/>
      <c r="F220"/>
      <c r="G220"/>
      <c r="H220"/>
      <c r="I220"/>
      <c r="J220"/>
      <c r="K220"/>
      <c r="L220"/>
      <c r="M220"/>
      <c r="N220"/>
      <c r="O220"/>
      <c r="P220"/>
      <c r="Q220"/>
      <c r="R220"/>
      <c r="S220"/>
      <c r="T220"/>
    </row>
    <row r="221" spans="1:20" s="3" customFormat="1" ht="12.75">
      <c r="A221"/>
      <c r="B221"/>
      <c r="C221"/>
      <c r="D221"/>
      <c r="E221"/>
      <c r="F221"/>
      <c r="G221"/>
      <c r="H221"/>
      <c r="I221"/>
      <c r="J221"/>
      <c r="K221"/>
      <c r="L221"/>
      <c r="M221"/>
      <c r="N221"/>
      <c r="O221"/>
      <c r="P221"/>
      <c r="Q221"/>
      <c r="R221"/>
      <c r="S221"/>
      <c r="T221"/>
    </row>
    <row r="222" spans="1:20" s="3" customFormat="1" ht="12.75">
      <c r="A222"/>
      <c r="B222"/>
      <c r="C222"/>
      <c r="D222"/>
      <c r="E222"/>
      <c r="F222"/>
      <c r="G222"/>
      <c r="H222"/>
      <c r="I222"/>
      <c r="J222"/>
      <c r="K222"/>
      <c r="L222"/>
      <c r="M222"/>
      <c r="N222"/>
      <c r="O222"/>
      <c r="P222"/>
      <c r="Q222"/>
      <c r="R222"/>
      <c r="S222"/>
      <c r="T222"/>
    </row>
    <row r="223" spans="1:20" s="3" customFormat="1" ht="12.75">
      <c r="A223"/>
      <c r="B223"/>
      <c r="C223"/>
      <c r="D223"/>
      <c r="E223"/>
      <c r="F223"/>
      <c r="G223"/>
      <c r="H223"/>
      <c r="I223"/>
      <c r="J223"/>
      <c r="K223"/>
      <c r="L223"/>
      <c r="M223"/>
      <c r="N223"/>
      <c r="O223"/>
      <c r="P223"/>
      <c r="Q223"/>
      <c r="R223"/>
      <c r="S223"/>
      <c r="T223"/>
    </row>
    <row r="224" spans="1:20" s="3" customFormat="1" ht="12.75">
      <c r="A224"/>
      <c r="B224"/>
      <c r="C224"/>
      <c r="D224"/>
      <c r="E224"/>
      <c r="F224"/>
      <c r="G224"/>
      <c r="H224"/>
      <c r="I224"/>
      <c r="J224"/>
      <c r="K224"/>
      <c r="L224"/>
      <c r="M224"/>
      <c r="N224"/>
      <c r="O224"/>
      <c r="P224"/>
      <c r="Q224"/>
      <c r="R224"/>
      <c r="S224"/>
      <c r="T224"/>
    </row>
    <row r="225" spans="1:20" s="3" customFormat="1" ht="12.75">
      <c r="A225"/>
      <c r="B225"/>
      <c r="C225"/>
      <c r="D225"/>
      <c r="E225"/>
      <c r="F225"/>
      <c r="G225"/>
      <c r="H225"/>
      <c r="I225"/>
      <c r="J225"/>
      <c r="K225"/>
      <c r="L225"/>
      <c r="M225"/>
      <c r="N225"/>
      <c r="O225"/>
      <c r="P225"/>
      <c r="Q225"/>
      <c r="R225"/>
      <c r="S225"/>
      <c r="T225"/>
    </row>
    <row r="226" spans="1:20" s="3" customFormat="1" ht="12.75">
      <c r="A226"/>
      <c r="B226"/>
      <c r="C226"/>
      <c r="D226"/>
      <c r="E226"/>
      <c r="F226"/>
      <c r="G226"/>
      <c r="H226"/>
      <c r="I226"/>
      <c r="J226"/>
      <c r="K226"/>
      <c r="L226"/>
      <c r="M226"/>
      <c r="N226"/>
      <c r="O226"/>
      <c r="P226"/>
      <c r="Q226"/>
      <c r="R226"/>
      <c r="S226"/>
      <c r="T226"/>
    </row>
    <row r="227" spans="1:20" s="3" customFormat="1" ht="12.75">
      <c r="A227"/>
      <c r="B227"/>
      <c r="C227"/>
      <c r="D227"/>
      <c r="E227"/>
      <c r="F227"/>
      <c r="G227"/>
      <c r="H227"/>
      <c r="I227"/>
      <c r="J227"/>
      <c r="K227"/>
      <c r="L227"/>
      <c r="M227"/>
      <c r="N227"/>
      <c r="O227"/>
      <c r="P227"/>
      <c r="Q227"/>
      <c r="R227"/>
      <c r="S227"/>
      <c r="T227"/>
    </row>
    <row r="228" spans="1:20" s="3" customFormat="1" ht="12.75">
      <c r="A228"/>
      <c r="B228"/>
      <c r="C228"/>
      <c r="D228"/>
      <c r="E228"/>
      <c r="F228"/>
      <c r="G228"/>
      <c r="H228"/>
      <c r="I228"/>
      <c r="J228"/>
      <c r="K228"/>
      <c r="L228"/>
      <c r="M228"/>
      <c r="N228"/>
      <c r="O228"/>
      <c r="P228"/>
      <c r="Q228"/>
      <c r="R228"/>
      <c r="S228"/>
      <c r="T228"/>
    </row>
    <row r="229" spans="1:20" s="3" customFormat="1" ht="12.75">
      <c r="A229"/>
      <c r="B229"/>
      <c r="C229"/>
      <c r="D229"/>
      <c r="E229"/>
      <c r="F229"/>
      <c r="G229"/>
      <c r="H229"/>
      <c r="I229"/>
      <c r="J229"/>
      <c r="K229"/>
      <c r="L229"/>
      <c r="M229"/>
      <c r="N229"/>
      <c r="O229"/>
      <c r="P229"/>
      <c r="Q229"/>
      <c r="R229"/>
      <c r="S229"/>
      <c r="T229"/>
    </row>
    <row r="230" spans="1:19" ht="12.75">
      <c r="A230"/>
      <c r="C230"/>
      <c r="D230"/>
      <c r="E230"/>
      <c r="F230"/>
      <c r="G230"/>
      <c r="H230"/>
      <c r="I230"/>
      <c r="J230"/>
      <c r="K230"/>
      <c r="L230"/>
      <c r="M230"/>
      <c r="R230"/>
      <c r="S230"/>
    </row>
    <row r="231" spans="1:19" ht="12.75">
      <c r="A231"/>
      <c r="C231"/>
      <c r="D231"/>
      <c r="E231"/>
      <c r="F231"/>
      <c r="G231"/>
      <c r="H231"/>
      <c r="I231"/>
      <c r="J231"/>
      <c r="K231"/>
      <c r="L231"/>
      <c r="M231"/>
      <c r="R231"/>
      <c r="S231"/>
    </row>
    <row r="232" spans="1:19" ht="12.75">
      <c r="A232"/>
      <c r="C232"/>
      <c r="D232"/>
      <c r="E232"/>
      <c r="F232"/>
      <c r="G232"/>
      <c r="H232"/>
      <c r="I232"/>
      <c r="J232"/>
      <c r="K232"/>
      <c r="L232"/>
      <c r="M232"/>
      <c r="R232"/>
      <c r="S232"/>
    </row>
    <row r="233" spans="1:19" ht="12.75">
      <c r="A233"/>
      <c r="C233"/>
      <c r="D233"/>
      <c r="E233"/>
      <c r="F233"/>
      <c r="G233"/>
      <c r="H233"/>
      <c r="I233"/>
      <c r="J233"/>
      <c r="K233"/>
      <c r="L233"/>
      <c r="M233"/>
      <c r="R233"/>
      <c r="S233"/>
    </row>
    <row r="234" spans="1:19" ht="12.75">
      <c r="A234"/>
      <c r="C234"/>
      <c r="D234"/>
      <c r="E234"/>
      <c r="F234"/>
      <c r="G234"/>
      <c r="H234"/>
      <c r="I234"/>
      <c r="J234"/>
      <c r="K234"/>
      <c r="L234"/>
      <c r="M234"/>
      <c r="R234"/>
      <c r="S234"/>
    </row>
    <row r="235" spans="1:19" ht="12.75">
      <c r="A235"/>
      <c r="C235"/>
      <c r="D235"/>
      <c r="E235"/>
      <c r="F235"/>
      <c r="G235"/>
      <c r="H235"/>
      <c r="I235"/>
      <c r="J235"/>
      <c r="K235"/>
      <c r="L235"/>
      <c r="M235"/>
      <c r="R235"/>
      <c r="S235"/>
    </row>
    <row r="236" spans="1:19" ht="12.75">
      <c r="A236"/>
      <c r="C236"/>
      <c r="D236"/>
      <c r="E236"/>
      <c r="F236"/>
      <c r="G236"/>
      <c r="H236"/>
      <c r="I236"/>
      <c r="J236"/>
      <c r="K236"/>
      <c r="L236"/>
      <c r="M236"/>
      <c r="R236"/>
      <c r="S236"/>
    </row>
    <row r="237" spans="1:20" s="148" customFormat="1" ht="12.75">
      <c r="A237"/>
      <c r="B237"/>
      <c r="C237"/>
      <c r="D237"/>
      <c r="E237"/>
      <c r="F237"/>
      <c r="G237"/>
      <c r="H237"/>
      <c r="I237"/>
      <c r="J237"/>
      <c r="K237"/>
      <c r="L237"/>
      <c r="M237"/>
      <c r="N237"/>
      <c r="O237"/>
      <c r="P237"/>
      <c r="Q237"/>
      <c r="R237"/>
      <c r="S237"/>
      <c r="T237"/>
    </row>
    <row r="238" spans="1:20" s="144" customFormat="1" ht="12.75">
      <c r="A238"/>
      <c r="B238"/>
      <c r="C238"/>
      <c r="D238"/>
      <c r="E238"/>
      <c r="F238"/>
      <c r="G238"/>
      <c r="H238"/>
      <c r="I238"/>
      <c r="J238"/>
      <c r="K238"/>
      <c r="L238"/>
      <c r="M238"/>
      <c r="N238"/>
      <c r="O238"/>
      <c r="P238"/>
      <c r="Q238"/>
      <c r="R238"/>
      <c r="S238"/>
      <c r="T238"/>
    </row>
    <row r="239" spans="1:19" ht="12.75">
      <c r="A239"/>
      <c r="C239"/>
      <c r="D239"/>
      <c r="E239"/>
      <c r="F239"/>
      <c r="G239"/>
      <c r="H239"/>
      <c r="I239"/>
      <c r="J239"/>
      <c r="K239"/>
      <c r="L239"/>
      <c r="M239"/>
      <c r="R239"/>
      <c r="S239"/>
    </row>
    <row r="240" spans="1:19" ht="12.75">
      <c r="A240"/>
      <c r="C240"/>
      <c r="D240"/>
      <c r="E240"/>
      <c r="F240"/>
      <c r="G240"/>
      <c r="H240"/>
      <c r="I240"/>
      <c r="J240"/>
      <c r="K240"/>
      <c r="L240"/>
      <c r="M240"/>
      <c r="R240"/>
      <c r="S240"/>
    </row>
    <row r="241" spans="1:19" ht="12.75">
      <c r="A241"/>
      <c r="C241"/>
      <c r="D241"/>
      <c r="E241"/>
      <c r="F241"/>
      <c r="G241"/>
      <c r="H241"/>
      <c r="I241"/>
      <c r="J241"/>
      <c r="K241"/>
      <c r="L241"/>
      <c r="M241"/>
      <c r="R241"/>
      <c r="S241"/>
    </row>
    <row r="242" spans="1:19" ht="12.75">
      <c r="A242"/>
      <c r="C242"/>
      <c r="D242"/>
      <c r="E242"/>
      <c r="F242"/>
      <c r="G242"/>
      <c r="H242"/>
      <c r="I242"/>
      <c r="J242"/>
      <c r="K242"/>
      <c r="L242"/>
      <c r="M242"/>
      <c r="R242"/>
      <c r="S242"/>
    </row>
    <row r="243" spans="1:19" ht="12.75">
      <c r="A243"/>
      <c r="C243"/>
      <c r="D243"/>
      <c r="E243"/>
      <c r="F243"/>
      <c r="G243"/>
      <c r="H243"/>
      <c r="I243"/>
      <c r="J243"/>
      <c r="K243"/>
      <c r="L243"/>
      <c r="M243"/>
      <c r="R243"/>
      <c r="S243"/>
    </row>
    <row r="244" spans="1:20" s="3" customFormat="1" ht="12.75">
      <c r="A244"/>
      <c r="B244"/>
      <c r="C244"/>
      <c r="D244"/>
      <c r="E244"/>
      <c r="F244"/>
      <c r="G244"/>
      <c r="H244"/>
      <c r="I244"/>
      <c r="J244"/>
      <c r="K244"/>
      <c r="L244"/>
      <c r="M244"/>
      <c r="N244"/>
      <c r="O244"/>
      <c r="P244"/>
      <c r="Q244"/>
      <c r="R244"/>
      <c r="S244"/>
      <c r="T244"/>
    </row>
    <row r="245" spans="1:20" s="3" customFormat="1" ht="12.75">
      <c r="A245"/>
      <c r="B245"/>
      <c r="C245"/>
      <c r="D245"/>
      <c r="E245"/>
      <c r="F245"/>
      <c r="G245"/>
      <c r="H245"/>
      <c r="I245"/>
      <c r="J245"/>
      <c r="K245"/>
      <c r="L245"/>
      <c r="M245"/>
      <c r="N245"/>
      <c r="O245"/>
      <c r="P245"/>
      <c r="Q245"/>
      <c r="R245"/>
      <c r="S245"/>
      <c r="T245"/>
    </row>
    <row r="246" spans="1:20" s="3" customFormat="1" ht="12.75">
      <c r="A246"/>
      <c r="B246"/>
      <c r="C246"/>
      <c r="D246"/>
      <c r="E246"/>
      <c r="F246"/>
      <c r="G246"/>
      <c r="H246"/>
      <c r="I246"/>
      <c r="J246"/>
      <c r="K246"/>
      <c r="L246"/>
      <c r="M246"/>
      <c r="N246"/>
      <c r="O246"/>
      <c r="P246"/>
      <c r="Q246"/>
      <c r="R246"/>
      <c r="S246"/>
      <c r="T246"/>
    </row>
    <row r="247" spans="1:20" s="3" customFormat="1" ht="12.75">
      <c r="A247"/>
      <c r="B247"/>
      <c r="C247"/>
      <c r="D247"/>
      <c r="E247"/>
      <c r="F247"/>
      <c r="G247"/>
      <c r="H247"/>
      <c r="I247"/>
      <c r="J247"/>
      <c r="K247"/>
      <c r="L247"/>
      <c r="M247"/>
      <c r="N247"/>
      <c r="O247"/>
      <c r="P247"/>
      <c r="Q247"/>
      <c r="R247"/>
      <c r="S247"/>
      <c r="T247"/>
    </row>
    <row r="248" spans="1:20" s="3" customFormat="1" ht="12.75">
      <c r="A248"/>
      <c r="B248"/>
      <c r="C248"/>
      <c r="D248"/>
      <c r="E248"/>
      <c r="F248"/>
      <c r="G248"/>
      <c r="H248"/>
      <c r="I248"/>
      <c r="J248"/>
      <c r="K248"/>
      <c r="L248"/>
      <c r="M248"/>
      <c r="N248"/>
      <c r="O248"/>
      <c r="P248"/>
      <c r="Q248"/>
      <c r="R248"/>
      <c r="S248"/>
      <c r="T248"/>
    </row>
    <row r="249" spans="1:20" s="3" customFormat="1" ht="12.75">
      <c r="A249"/>
      <c r="B249"/>
      <c r="C249"/>
      <c r="D249"/>
      <c r="E249"/>
      <c r="F249"/>
      <c r="G249"/>
      <c r="H249"/>
      <c r="I249"/>
      <c r="J249"/>
      <c r="K249"/>
      <c r="L249"/>
      <c r="M249"/>
      <c r="N249"/>
      <c r="O249"/>
      <c r="P249"/>
      <c r="Q249"/>
      <c r="R249"/>
      <c r="S249"/>
      <c r="T249"/>
    </row>
    <row r="250" spans="1:20" s="3" customFormat="1" ht="12.75">
      <c r="A250"/>
      <c r="B250"/>
      <c r="C250"/>
      <c r="D250"/>
      <c r="E250"/>
      <c r="F250"/>
      <c r="G250"/>
      <c r="H250"/>
      <c r="I250"/>
      <c r="J250"/>
      <c r="K250"/>
      <c r="L250"/>
      <c r="M250"/>
      <c r="N250"/>
      <c r="O250"/>
      <c r="P250"/>
      <c r="Q250"/>
      <c r="R250"/>
      <c r="S250"/>
      <c r="T250"/>
    </row>
    <row r="251" spans="1:20" s="3" customFormat="1" ht="12.75">
      <c r="A251"/>
      <c r="B251"/>
      <c r="C251"/>
      <c r="D251"/>
      <c r="E251"/>
      <c r="F251"/>
      <c r="G251"/>
      <c r="H251"/>
      <c r="I251"/>
      <c r="J251"/>
      <c r="K251"/>
      <c r="L251"/>
      <c r="M251"/>
      <c r="N251"/>
      <c r="O251"/>
      <c r="P251"/>
      <c r="Q251"/>
      <c r="R251"/>
      <c r="S251"/>
      <c r="T251"/>
    </row>
    <row r="252" spans="1:20" s="3" customFormat="1" ht="12.75">
      <c r="A252"/>
      <c r="B252"/>
      <c r="C252"/>
      <c r="D252"/>
      <c r="E252"/>
      <c r="F252"/>
      <c r="G252"/>
      <c r="H252"/>
      <c r="I252"/>
      <c r="J252"/>
      <c r="K252"/>
      <c r="L252"/>
      <c r="M252"/>
      <c r="N252"/>
      <c r="O252"/>
      <c r="P252"/>
      <c r="Q252"/>
      <c r="R252"/>
      <c r="S252"/>
      <c r="T252"/>
    </row>
    <row r="253" spans="1:20" s="3" customFormat="1" ht="12.75">
      <c r="A253"/>
      <c r="B253"/>
      <c r="C253"/>
      <c r="D253"/>
      <c r="E253"/>
      <c r="F253"/>
      <c r="G253"/>
      <c r="H253"/>
      <c r="I253"/>
      <c r="J253"/>
      <c r="K253"/>
      <c r="L253"/>
      <c r="M253"/>
      <c r="N253"/>
      <c r="O253"/>
      <c r="P253"/>
      <c r="Q253"/>
      <c r="R253"/>
      <c r="S253"/>
      <c r="T253"/>
    </row>
    <row r="254" spans="1:20" s="3" customFormat="1" ht="12.75">
      <c r="A254"/>
      <c r="B254"/>
      <c r="C254"/>
      <c r="D254"/>
      <c r="E254"/>
      <c r="F254"/>
      <c r="G254"/>
      <c r="H254"/>
      <c r="I254"/>
      <c r="J254"/>
      <c r="K254"/>
      <c r="L254"/>
      <c r="M254"/>
      <c r="N254"/>
      <c r="O254"/>
      <c r="P254"/>
      <c r="Q254"/>
      <c r="R254"/>
      <c r="S254"/>
      <c r="T254"/>
    </row>
    <row r="255" spans="1:20" s="3" customFormat="1" ht="12.75">
      <c r="A255"/>
      <c r="B255"/>
      <c r="C255"/>
      <c r="D255"/>
      <c r="E255"/>
      <c r="F255"/>
      <c r="G255"/>
      <c r="H255"/>
      <c r="I255"/>
      <c r="J255"/>
      <c r="K255"/>
      <c r="L255"/>
      <c r="M255"/>
      <c r="N255"/>
      <c r="O255"/>
      <c r="P255"/>
      <c r="Q255"/>
      <c r="R255"/>
      <c r="S255"/>
      <c r="T255"/>
    </row>
    <row r="256" spans="1:20" s="3" customFormat="1" ht="12.75">
      <c r="A256"/>
      <c r="B256"/>
      <c r="C256"/>
      <c r="D256"/>
      <c r="E256"/>
      <c r="F256"/>
      <c r="G256"/>
      <c r="H256"/>
      <c r="I256"/>
      <c r="J256"/>
      <c r="K256"/>
      <c r="L256"/>
      <c r="M256"/>
      <c r="N256"/>
      <c r="O256"/>
      <c r="P256"/>
      <c r="Q256"/>
      <c r="R256"/>
      <c r="S256"/>
      <c r="T256"/>
    </row>
    <row r="257" spans="1:20" s="3" customFormat="1" ht="12.75">
      <c r="A257"/>
      <c r="B257"/>
      <c r="C257"/>
      <c r="D257"/>
      <c r="E257"/>
      <c r="F257"/>
      <c r="G257"/>
      <c r="H257"/>
      <c r="I257"/>
      <c r="J257"/>
      <c r="K257"/>
      <c r="L257"/>
      <c r="M257"/>
      <c r="N257"/>
      <c r="O257"/>
      <c r="P257"/>
      <c r="Q257"/>
      <c r="R257"/>
      <c r="S257"/>
      <c r="T257"/>
    </row>
    <row r="258" spans="1:19" ht="12.75">
      <c r="A258"/>
      <c r="C258"/>
      <c r="D258"/>
      <c r="E258"/>
      <c r="F258"/>
      <c r="G258"/>
      <c r="H258"/>
      <c r="I258"/>
      <c r="J258"/>
      <c r="K258"/>
      <c r="L258"/>
      <c r="M258"/>
      <c r="R258"/>
      <c r="S258"/>
    </row>
    <row r="259" spans="1:19" ht="12.75">
      <c r="A259"/>
      <c r="C259"/>
      <c r="D259"/>
      <c r="E259"/>
      <c r="F259"/>
      <c r="G259"/>
      <c r="H259"/>
      <c r="I259"/>
      <c r="J259"/>
      <c r="K259"/>
      <c r="L259"/>
      <c r="M259"/>
      <c r="R259"/>
      <c r="S259"/>
    </row>
    <row r="260" spans="1:19" ht="12.75">
      <c r="A260"/>
      <c r="C260"/>
      <c r="D260"/>
      <c r="E260"/>
      <c r="F260"/>
      <c r="G260"/>
      <c r="H260"/>
      <c r="I260"/>
      <c r="J260"/>
      <c r="K260"/>
      <c r="L260"/>
      <c r="M260"/>
      <c r="R260"/>
      <c r="S260"/>
    </row>
    <row r="261" spans="1:19" ht="12.75">
      <c r="A261"/>
      <c r="C261"/>
      <c r="D261"/>
      <c r="E261"/>
      <c r="F261"/>
      <c r="G261"/>
      <c r="H261"/>
      <c r="I261"/>
      <c r="J261"/>
      <c r="K261"/>
      <c r="L261"/>
      <c r="M261"/>
      <c r="R261"/>
      <c r="S261"/>
    </row>
    <row r="262" spans="1:19" ht="12.75">
      <c r="A262"/>
      <c r="C262"/>
      <c r="D262"/>
      <c r="E262"/>
      <c r="F262"/>
      <c r="G262"/>
      <c r="H262"/>
      <c r="I262"/>
      <c r="J262"/>
      <c r="K262"/>
      <c r="L262"/>
      <c r="M262"/>
      <c r="R262"/>
      <c r="S262"/>
    </row>
    <row r="263" spans="1:19" ht="12.75">
      <c r="A263"/>
      <c r="C263"/>
      <c r="D263"/>
      <c r="E263"/>
      <c r="F263"/>
      <c r="G263"/>
      <c r="H263"/>
      <c r="I263"/>
      <c r="J263"/>
      <c r="K263"/>
      <c r="L263"/>
      <c r="M263"/>
      <c r="R263"/>
      <c r="S263"/>
    </row>
    <row r="264" spans="1:19" ht="12.75">
      <c r="A264"/>
      <c r="C264"/>
      <c r="D264"/>
      <c r="E264"/>
      <c r="F264"/>
      <c r="G264"/>
      <c r="H264"/>
      <c r="I264"/>
      <c r="J264"/>
      <c r="K264"/>
      <c r="L264"/>
      <c r="M264"/>
      <c r="R264"/>
      <c r="S264"/>
    </row>
    <row r="265" spans="1:19" ht="12.75">
      <c r="A265"/>
      <c r="C265"/>
      <c r="D265"/>
      <c r="E265"/>
      <c r="F265"/>
      <c r="G265"/>
      <c r="H265"/>
      <c r="I265"/>
      <c r="J265"/>
      <c r="K265"/>
      <c r="L265"/>
      <c r="M265"/>
      <c r="R265"/>
      <c r="S265"/>
    </row>
    <row r="266" spans="1:20" s="148" customFormat="1" ht="12.75">
      <c r="A266"/>
      <c r="B266"/>
      <c r="C266"/>
      <c r="D266"/>
      <c r="E266"/>
      <c r="F266"/>
      <c r="G266"/>
      <c r="H266"/>
      <c r="I266"/>
      <c r="J266"/>
      <c r="K266"/>
      <c r="L266"/>
      <c r="M266"/>
      <c r="N266"/>
      <c r="O266"/>
      <c r="P266"/>
      <c r="Q266"/>
      <c r="R266"/>
      <c r="S266"/>
      <c r="T266"/>
    </row>
    <row r="267" spans="1:20" s="144" customFormat="1" ht="12.75">
      <c r="A267"/>
      <c r="B267"/>
      <c r="C267"/>
      <c r="D267"/>
      <c r="E267"/>
      <c r="F267"/>
      <c r="G267"/>
      <c r="H267"/>
      <c r="I267"/>
      <c r="J267"/>
      <c r="K267"/>
      <c r="L267"/>
      <c r="M267"/>
      <c r="N267"/>
      <c r="O267"/>
      <c r="P267"/>
      <c r="Q267"/>
      <c r="R267"/>
      <c r="S267"/>
      <c r="T267"/>
    </row>
    <row r="268" spans="1:19" ht="12.75">
      <c r="A268"/>
      <c r="C268"/>
      <c r="D268"/>
      <c r="E268"/>
      <c r="F268"/>
      <c r="G268"/>
      <c r="H268"/>
      <c r="I268"/>
      <c r="J268"/>
      <c r="K268"/>
      <c r="L268"/>
      <c r="M268"/>
      <c r="R268"/>
      <c r="S268"/>
    </row>
    <row r="269" spans="1:19" ht="12.75">
      <c r="A269"/>
      <c r="C269"/>
      <c r="D269"/>
      <c r="E269"/>
      <c r="F269"/>
      <c r="G269"/>
      <c r="H269"/>
      <c r="I269"/>
      <c r="J269"/>
      <c r="K269"/>
      <c r="L269"/>
      <c r="M269"/>
      <c r="R269"/>
      <c r="S269"/>
    </row>
    <row r="270" spans="1:19" ht="12.75">
      <c r="A270"/>
      <c r="C270"/>
      <c r="D270"/>
      <c r="E270"/>
      <c r="F270"/>
      <c r="G270"/>
      <c r="H270"/>
      <c r="I270"/>
      <c r="J270"/>
      <c r="K270"/>
      <c r="L270"/>
      <c r="M270"/>
      <c r="R270"/>
      <c r="S270"/>
    </row>
    <row r="271" spans="1:19" ht="12.75">
      <c r="A271"/>
      <c r="C271"/>
      <c r="D271"/>
      <c r="E271"/>
      <c r="F271"/>
      <c r="G271"/>
      <c r="H271"/>
      <c r="I271"/>
      <c r="J271"/>
      <c r="K271"/>
      <c r="L271"/>
      <c r="M271"/>
      <c r="R271"/>
      <c r="S271"/>
    </row>
    <row r="272" spans="1:20" s="3" customFormat="1" ht="12.75">
      <c r="A272"/>
      <c r="B272"/>
      <c r="C272"/>
      <c r="D272"/>
      <c r="E272"/>
      <c r="F272"/>
      <c r="G272"/>
      <c r="H272"/>
      <c r="I272"/>
      <c r="J272"/>
      <c r="K272"/>
      <c r="L272"/>
      <c r="M272"/>
      <c r="N272"/>
      <c r="O272"/>
      <c r="P272"/>
      <c r="Q272"/>
      <c r="R272"/>
      <c r="S272"/>
      <c r="T272"/>
    </row>
    <row r="273" spans="1:20" s="3" customFormat="1" ht="12.75">
      <c r="A273"/>
      <c r="B273"/>
      <c r="C273"/>
      <c r="D273"/>
      <c r="E273"/>
      <c r="F273"/>
      <c r="G273"/>
      <c r="H273"/>
      <c r="I273"/>
      <c r="J273"/>
      <c r="K273"/>
      <c r="L273"/>
      <c r="M273"/>
      <c r="N273"/>
      <c r="O273"/>
      <c r="P273"/>
      <c r="Q273"/>
      <c r="R273"/>
      <c r="S273"/>
      <c r="T273"/>
    </row>
    <row r="274" spans="1:20" s="3" customFormat="1" ht="12.75">
      <c r="A274"/>
      <c r="B274"/>
      <c r="C274"/>
      <c r="D274"/>
      <c r="E274"/>
      <c r="F274"/>
      <c r="G274"/>
      <c r="H274"/>
      <c r="I274"/>
      <c r="J274"/>
      <c r="K274"/>
      <c r="L274"/>
      <c r="M274"/>
      <c r="N274"/>
      <c r="O274"/>
      <c r="P274"/>
      <c r="Q274"/>
      <c r="R274"/>
      <c r="S274"/>
      <c r="T274"/>
    </row>
    <row r="275" spans="1:20" s="3" customFormat="1" ht="12.75">
      <c r="A275"/>
      <c r="B275"/>
      <c r="C275"/>
      <c r="D275"/>
      <c r="E275"/>
      <c r="F275"/>
      <c r="G275"/>
      <c r="H275"/>
      <c r="I275"/>
      <c r="J275"/>
      <c r="K275"/>
      <c r="L275"/>
      <c r="M275"/>
      <c r="N275"/>
      <c r="O275"/>
      <c r="P275"/>
      <c r="Q275"/>
      <c r="R275"/>
      <c r="S275"/>
      <c r="T275"/>
    </row>
    <row r="276" spans="1:20" s="3" customFormat="1" ht="12.75">
      <c r="A276"/>
      <c r="B276"/>
      <c r="C276"/>
      <c r="D276"/>
      <c r="E276"/>
      <c r="F276"/>
      <c r="G276"/>
      <c r="H276"/>
      <c r="I276"/>
      <c r="J276"/>
      <c r="K276"/>
      <c r="L276"/>
      <c r="M276"/>
      <c r="N276"/>
      <c r="O276"/>
      <c r="P276"/>
      <c r="Q276"/>
      <c r="R276"/>
      <c r="S276"/>
      <c r="T276"/>
    </row>
    <row r="277" spans="1:20" s="3" customFormat="1" ht="12.75">
      <c r="A277"/>
      <c r="B277"/>
      <c r="C277"/>
      <c r="D277"/>
      <c r="E277"/>
      <c r="F277"/>
      <c r="G277"/>
      <c r="H277"/>
      <c r="I277"/>
      <c r="J277"/>
      <c r="K277"/>
      <c r="L277"/>
      <c r="M277"/>
      <c r="N277"/>
      <c r="O277"/>
      <c r="P277"/>
      <c r="Q277"/>
      <c r="R277"/>
      <c r="S277"/>
      <c r="T277"/>
    </row>
    <row r="278" spans="1:20" s="3" customFormat="1" ht="12.75">
      <c r="A278"/>
      <c r="B278"/>
      <c r="C278"/>
      <c r="D278"/>
      <c r="E278"/>
      <c r="F278"/>
      <c r="G278"/>
      <c r="H278"/>
      <c r="I278"/>
      <c r="J278"/>
      <c r="K278"/>
      <c r="L278"/>
      <c r="M278"/>
      <c r="N278"/>
      <c r="O278"/>
      <c r="P278"/>
      <c r="Q278"/>
      <c r="R278"/>
      <c r="S278"/>
      <c r="T278"/>
    </row>
    <row r="279" spans="1:20" s="3" customFormat="1" ht="12.75">
      <c r="A279"/>
      <c r="B279"/>
      <c r="C279"/>
      <c r="D279"/>
      <c r="E279"/>
      <c r="F279"/>
      <c r="G279"/>
      <c r="H279"/>
      <c r="I279"/>
      <c r="J279"/>
      <c r="K279"/>
      <c r="L279"/>
      <c r="M279"/>
      <c r="N279"/>
      <c r="O279"/>
      <c r="P279"/>
      <c r="Q279"/>
      <c r="R279"/>
      <c r="S279"/>
      <c r="T279"/>
    </row>
    <row r="280" spans="1:20" s="3" customFormat="1" ht="12.75">
      <c r="A280"/>
      <c r="B280"/>
      <c r="C280"/>
      <c r="D280"/>
      <c r="E280"/>
      <c r="F280"/>
      <c r="G280"/>
      <c r="H280"/>
      <c r="I280"/>
      <c r="J280"/>
      <c r="K280"/>
      <c r="L280"/>
      <c r="M280"/>
      <c r="N280"/>
      <c r="O280"/>
      <c r="P280"/>
      <c r="Q280"/>
      <c r="R280"/>
      <c r="S280"/>
      <c r="T280"/>
    </row>
    <row r="281" spans="1:20" s="3" customFormat="1" ht="12.75">
      <c r="A281"/>
      <c r="B281"/>
      <c r="C281"/>
      <c r="D281"/>
      <c r="E281"/>
      <c r="F281"/>
      <c r="G281"/>
      <c r="H281"/>
      <c r="I281"/>
      <c r="J281"/>
      <c r="K281"/>
      <c r="L281"/>
      <c r="M281"/>
      <c r="N281"/>
      <c r="O281"/>
      <c r="P281"/>
      <c r="Q281"/>
      <c r="R281"/>
      <c r="S281"/>
      <c r="T281"/>
    </row>
    <row r="282" spans="1:20" s="3" customFormat="1" ht="12.75">
      <c r="A282"/>
      <c r="B282"/>
      <c r="C282"/>
      <c r="D282"/>
      <c r="E282"/>
      <c r="F282"/>
      <c r="G282"/>
      <c r="H282"/>
      <c r="I282"/>
      <c r="J282"/>
      <c r="K282"/>
      <c r="L282"/>
      <c r="M282"/>
      <c r="N282"/>
      <c r="O282"/>
      <c r="P282"/>
      <c r="Q282"/>
      <c r="R282"/>
      <c r="S282"/>
      <c r="T282"/>
    </row>
    <row r="283" spans="1:20" s="3" customFormat="1" ht="12.75">
      <c r="A283"/>
      <c r="B283"/>
      <c r="C283"/>
      <c r="D283"/>
      <c r="E283"/>
      <c r="F283"/>
      <c r="G283"/>
      <c r="H283"/>
      <c r="I283"/>
      <c r="J283"/>
      <c r="K283"/>
      <c r="L283"/>
      <c r="M283"/>
      <c r="N283"/>
      <c r="O283"/>
      <c r="P283"/>
      <c r="Q283"/>
      <c r="R283"/>
      <c r="S283"/>
      <c r="T283"/>
    </row>
    <row r="284" spans="1:20" s="3" customFormat="1" ht="12.75">
      <c r="A284"/>
      <c r="B284"/>
      <c r="C284"/>
      <c r="D284"/>
      <c r="E284"/>
      <c r="F284"/>
      <c r="G284"/>
      <c r="H284"/>
      <c r="I284"/>
      <c r="J284"/>
      <c r="K284"/>
      <c r="L284"/>
      <c r="M284"/>
      <c r="N284"/>
      <c r="O284"/>
      <c r="P284"/>
      <c r="Q284"/>
      <c r="R284"/>
      <c r="S284"/>
      <c r="T284"/>
    </row>
    <row r="285" spans="1:20" s="3" customFormat="1" ht="12.75">
      <c r="A285"/>
      <c r="B285"/>
      <c r="C285"/>
      <c r="D285"/>
      <c r="E285"/>
      <c r="F285"/>
      <c r="G285"/>
      <c r="H285"/>
      <c r="I285"/>
      <c r="J285"/>
      <c r="K285"/>
      <c r="L285"/>
      <c r="M285"/>
      <c r="N285"/>
      <c r="O285"/>
      <c r="P285"/>
      <c r="Q285"/>
      <c r="R285"/>
      <c r="S285"/>
      <c r="T285"/>
    </row>
    <row r="286" spans="1:19" ht="12.75">
      <c r="A286"/>
      <c r="C286"/>
      <c r="D286"/>
      <c r="E286"/>
      <c r="F286"/>
      <c r="G286"/>
      <c r="H286"/>
      <c r="I286"/>
      <c r="J286"/>
      <c r="K286"/>
      <c r="L286"/>
      <c r="M286"/>
      <c r="R286"/>
      <c r="S286"/>
    </row>
    <row r="287" spans="1:19" ht="12.75">
      <c r="A287"/>
      <c r="C287"/>
      <c r="D287"/>
      <c r="E287"/>
      <c r="F287"/>
      <c r="G287"/>
      <c r="H287"/>
      <c r="I287"/>
      <c r="J287"/>
      <c r="K287"/>
      <c r="L287"/>
      <c r="M287"/>
      <c r="R287"/>
      <c r="S287"/>
    </row>
    <row r="288" spans="1:19" ht="12.75">
      <c r="A288"/>
      <c r="C288"/>
      <c r="D288"/>
      <c r="E288"/>
      <c r="F288"/>
      <c r="G288"/>
      <c r="H288"/>
      <c r="I288"/>
      <c r="J288"/>
      <c r="K288"/>
      <c r="L288"/>
      <c r="M288"/>
      <c r="R288"/>
      <c r="S288"/>
    </row>
    <row r="289" spans="1:19" ht="12.75">
      <c r="A289"/>
      <c r="C289"/>
      <c r="D289"/>
      <c r="E289"/>
      <c r="F289"/>
      <c r="G289"/>
      <c r="H289"/>
      <c r="I289"/>
      <c r="J289"/>
      <c r="K289"/>
      <c r="L289"/>
      <c r="M289"/>
      <c r="R289"/>
      <c r="S289"/>
    </row>
    <row r="290" spans="1:19" ht="12.75">
      <c r="A290"/>
      <c r="C290"/>
      <c r="D290"/>
      <c r="E290"/>
      <c r="F290"/>
      <c r="G290"/>
      <c r="H290"/>
      <c r="I290"/>
      <c r="J290"/>
      <c r="K290"/>
      <c r="L290"/>
      <c r="M290"/>
      <c r="R290"/>
      <c r="S290"/>
    </row>
    <row r="291" spans="1:19" ht="12.75">
      <c r="A291"/>
      <c r="C291"/>
      <c r="D291"/>
      <c r="E291"/>
      <c r="F291"/>
      <c r="G291"/>
      <c r="H291"/>
      <c r="I291"/>
      <c r="J291"/>
      <c r="K291"/>
      <c r="L291"/>
      <c r="M291"/>
      <c r="R291"/>
      <c r="S291"/>
    </row>
    <row r="292" spans="1:19" ht="12.75">
      <c r="A292"/>
      <c r="C292"/>
      <c r="D292"/>
      <c r="E292"/>
      <c r="F292"/>
      <c r="G292"/>
      <c r="H292"/>
      <c r="I292"/>
      <c r="J292"/>
      <c r="K292"/>
      <c r="L292"/>
      <c r="M292"/>
      <c r="R292"/>
      <c r="S292"/>
    </row>
    <row r="293" spans="1:19" ht="12.75">
      <c r="A293"/>
      <c r="C293"/>
      <c r="D293"/>
      <c r="E293"/>
      <c r="F293"/>
      <c r="G293"/>
      <c r="H293"/>
      <c r="I293"/>
      <c r="J293"/>
      <c r="K293"/>
      <c r="L293"/>
      <c r="M293"/>
      <c r="R293"/>
      <c r="S293"/>
    </row>
    <row r="294" spans="1:19" ht="12.75">
      <c r="A294"/>
      <c r="C294"/>
      <c r="D294"/>
      <c r="E294"/>
      <c r="F294"/>
      <c r="G294"/>
      <c r="H294"/>
      <c r="I294"/>
      <c r="J294"/>
      <c r="K294"/>
      <c r="L294"/>
      <c r="M294"/>
      <c r="R294"/>
      <c r="S294"/>
    </row>
    <row r="295" spans="1:20" s="148" customFormat="1" ht="12.75">
      <c r="A295"/>
      <c r="B295"/>
      <c r="C295"/>
      <c r="D295"/>
      <c r="E295"/>
      <c r="F295"/>
      <c r="G295"/>
      <c r="H295"/>
      <c r="I295"/>
      <c r="J295"/>
      <c r="K295"/>
      <c r="L295"/>
      <c r="M295"/>
      <c r="N295"/>
      <c r="O295"/>
      <c r="P295"/>
      <c r="Q295"/>
      <c r="R295"/>
      <c r="S295"/>
      <c r="T295"/>
    </row>
    <row r="296" spans="1:20" s="144" customFormat="1" ht="12.75">
      <c r="A296"/>
      <c r="B296"/>
      <c r="C296"/>
      <c r="D296"/>
      <c r="E296"/>
      <c r="F296"/>
      <c r="G296"/>
      <c r="H296"/>
      <c r="I296"/>
      <c r="J296"/>
      <c r="K296"/>
      <c r="L296"/>
      <c r="M296"/>
      <c r="N296"/>
      <c r="O296"/>
      <c r="P296"/>
      <c r="Q296"/>
      <c r="R296"/>
      <c r="S296"/>
      <c r="T296"/>
    </row>
    <row r="297" spans="1:19" ht="12.75">
      <c r="A297"/>
      <c r="C297"/>
      <c r="D297"/>
      <c r="E297"/>
      <c r="F297"/>
      <c r="G297"/>
      <c r="H297"/>
      <c r="I297"/>
      <c r="J297"/>
      <c r="K297"/>
      <c r="L297"/>
      <c r="M297"/>
      <c r="R297"/>
      <c r="S297"/>
    </row>
    <row r="298" spans="1:19" ht="12.75">
      <c r="A298"/>
      <c r="C298"/>
      <c r="D298"/>
      <c r="E298"/>
      <c r="F298"/>
      <c r="G298"/>
      <c r="H298"/>
      <c r="I298"/>
      <c r="J298"/>
      <c r="K298"/>
      <c r="L298"/>
      <c r="M298"/>
      <c r="R298"/>
      <c r="S298"/>
    </row>
    <row r="299" spans="1:19" ht="12.75">
      <c r="A299"/>
      <c r="C299"/>
      <c r="D299"/>
      <c r="E299"/>
      <c r="F299"/>
      <c r="G299"/>
      <c r="H299"/>
      <c r="I299"/>
      <c r="J299"/>
      <c r="K299"/>
      <c r="L299"/>
      <c r="M299"/>
      <c r="R299"/>
      <c r="S299"/>
    </row>
    <row r="300" spans="1:20" s="3" customFormat="1" ht="12.75">
      <c r="A300"/>
      <c r="B300"/>
      <c r="C300"/>
      <c r="D300"/>
      <c r="E300"/>
      <c r="F300"/>
      <c r="G300"/>
      <c r="H300"/>
      <c r="I300"/>
      <c r="J300"/>
      <c r="K300"/>
      <c r="L300"/>
      <c r="M300"/>
      <c r="N300"/>
      <c r="O300"/>
      <c r="P300"/>
      <c r="Q300"/>
      <c r="R300"/>
      <c r="S300"/>
      <c r="T300"/>
    </row>
    <row r="301" spans="1:20" s="3" customFormat="1" ht="12.75">
      <c r="A301"/>
      <c r="B301"/>
      <c r="C301"/>
      <c r="D301"/>
      <c r="E301"/>
      <c r="F301"/>
      <c r="G301"/>
      <c r="H301"/>
      <c r="I301"/>
      <c r="J301"/>
      <c r="K301"/>
      <c r="L301"/>
      <c r="M301"/>
      <c r="N301"/>
      <c r="O301"/>
      <c r="P301"/>
      <c r="Q301"/>
      <c r="R301"/>
      <c r="S301"/>
      <c r="T301"/>
    </row>
    <row r="302" spans="1:20" s="3" customFormat="1" ht="12.75">
      <c r="A302"/>
      <c r="B302"/>
      <c r="C302"/>
      <c r="D302"/>
      <c r="E302"/>
      <c r="F302"/>
      <c r="G302"/>
      <c r="H302"/>
      <c r="I302"/>
      <c r="J302"/>
      <c r="K302"/>
      <c r="L302"/>
      <c r="M302"/>
      <c r="N302"/>
      <c r="O302"/>
      <c r="P302"/>
      <c r="Q302"/>
      <c r="R302"/>
      <c r="S302"/>
      <c r="T302"/>
    </row>
    <row r="303" spans="1:20" s="3" customFormat="1" ht="12.75">
      <c r="A303"/>
      <c r="B303"/>
      <c r="C303"/>
      <c r="D303"/>
      <c r="E303"/>
      <c r="F303"/>
      <c r="G303"/>
      <c r="H303"/>
      <c r="I303"/>
      <c r="J303"/>
      <c r="K303"/>
      <c r="L303"/>
      <c r="M303"/>
      <c r="N303"/>
      <c r="O303"/>
      <c r="P303"/>
      <c r="Q303"/>
      <c r="R303"/>
      <c r="S303"/>
      <c r="T303"/>
    </row>
    <row r="304" spans="1:20" s="3" customFormat="1" ht="12.75">
      <c r="A304"/>
      <c r="B304"/>
      <c r="C304"/>
      <c r="D304"/>
      <c r="E304"/>
      <c r="F304"/>
      <c r="G304"/>
      <c r="H304"/>
      <c r="I304"/>
      <c r="J304"/>
      <c r="K304"/>
      <c r="L304"/>
      <c r="M304"/>
      <c r="N304"/>
      <c r="O304"/>
      <c r="P304"/>
      <c r="Q304"/>
      <c r="R304"/>
      <c r="S304"/>
      <c r="T304"/>
    </row>
    <row r="305" spans="1:20" s="3" customFormat="1" ht="12.75">
      <c r="A305"/>
      <c r="B305"/>
      <c r="C305"/>
      <c r="D305"/>
      <c r="E305"/>
      <c r="F305"/>
      <c r="G305"/>
      <c r="H305"/>
      <c r="I305"/>
      <c r="J305"/>
      <c r="K305"/>
      <c r="L305"/>
      <c r="M305"/>
      <c r="N305"/>
      <c r="O305"/>
      <c r="P305"/>
      <c r="Q305"/>
      <c r="R305"/>
      <c r="S305"/>
      <c r="T305"/>
    </row>
    <row r="306" spans="1:20" s="3" customFormat="1" ht="12.75">
      <c r="A306"/>
      <c r="B306"/>
      <c r="C306"/>
      <c r="D306"/>
      <c r="E306"/>
      <c r="F306"/>
      <c r="G306"/>
      <c r="H306"/>
      <c r="I306"/>
      <c r="J306"/>
      <c r="K306"/>
      <c r="L306"/>
      <c r="M306"/>
      <c r="N306"/>
      <c r="O306"/>
      <c r="P306"/>
      <c r="Q306"/>
      <c r="R306"/>
      <c r="S306"/>
      <c r="T306"/>
    </row>
    <row r="307" spans="1:20" s="3" customFormat="1" ht="12.75">
      <c r="A307"/>
      <c r="B307"/>
      <c r="C307"/>
      <c r="D307"/>
      <c r="E307"/>
      <c r="F307"/>
      <c r="G307"/>
      <c r="H307"/>
      <c r="I307"/>
      <c r="J307"/>
      <c r="K307"/>
      <c r="L307"/>
      <c r="M307"/>
      <c r="N307"/>
      <c r="O307"/>
      <c r="P307"/>
      <c r="Q307"/>
      <c r="R307"/>
      <c r="S307"/>
      <c r="T307"/>
    </row>
    <row r="308" spans="1:20" s="3" customFormat="1" ht="12.75">
      <c r="A308"/>
      <c r="B308"/>
      <c r="C308"/>
      <c r="D308"/>
      <c r="E308"/>
      <c r="F308"/>
      <c r="G308"/>
      <c r="H308"/>
      <c r="I308"/>
      <c r="J308"/>
      <c r="K308"/>
      <c r="L308"/>
      <c r="M308"/>
      <c r="N308"/>
      <c r="O308"/>
      <c r="P308"/>
      <c r="Q308"/>
      <c r="R308"/>
      <c r="S308"/>
      <c r="T308"/>
    </row>
    <row r="309" spans="1:20" s="3" customFormat="1" ht="12.75">
      <c r="A309"/>
      <c r="B309"/>
      <c r="C309"/>
      <c r="D309"/>
      <c r="E309"/>
      <c r="F309"/>
      <c r="G309"/>
      <c r="H309"/>
      <c r="I309"/>
      <c r="J309"/>
      <c r="K309"/>
      <c r="L309"/>
      <c r="M309"/>
      <c r="N309"/>
      <c r="O309"/>
      <c r="P309"/>
      <c r="Q309"/>
      <c r="R309"/>
      <c r="S309"/>
      <c r="T309"/>
    </row>
    <row r="310" spans="1:20" s="3" customFormat="1" ht="12.75">
      <c r="A310"/>
      <c r="B310"/>
      <c r="C310"/>
      <c r="D310"/>
      <c r="E310"/>
      <c r="F310"/>
      <c r="G310"/>
      <c r="H310"/>
      <c r="I310"/>
      <c r="J310"/>
      <c r="K310"/>
      <c r="L310"/>
      <c r="M310"/>
      <c r="N310"/>
      <c r="O310"/>
      <c r="P310"/>
      <c r="Q310"/>
      <c r="R310"/>
      <c r="S310"/>
      <c r="T310"/>
    </row>
    <row r="311" spans="1:20" s="3" customFormat="1" ht="12.75">
      <c r="A311"/>
      <c r="B311"/>
      <c r="C311"/>
      <c r="D311"/>
      <c r="E311"/>
      <c r="F311"/>
      <c r="G311"/>
      <c r="H311"/>
      <c r="I311"/>
      <c r="J311"/>
      <c r="K311"/>
      <c r="L311"/>
      <c r="M311"/>
      <c r="N311"/>
      <c r="O311"/>
      <c r="P311"/>
      <c r="Q311"/>
      <c r="R311"/>
      <c r="S311"/>
      <c r="T311"/>
    </row>
    <row r="312" spans="1:20" s="3" customFormat="1" ht="12.75">
      <c r="A312"/>
      <c r="B312"/>
      <c r="C312"/>
      <c r="D312"/>
      <c r="E312"/>
      <c r="F312"/>
      <c r="G312"/>
      <c r="H312"/>
      <c r="I312"/>
      <c r="J312"/>
      <c r="K312"/>
      <c r="L312"/>
      <c r="M312"/>
      <c r="N312"/>
      <c r="O312"/>
      <c r="P312"/>
      <c r="Q312"/>
      <c r="R312"/>
      <c r="S312"/>
      <c r="T312"/>
    </row>
    <row r="313" spans="1:20" s="3" customFormat="1" ht="12.75">
      <c r="A313"/>
      <c r="B313"/>
      <c r="C313"/>
      <c r="D313"/>
      <c r="E313"/>
      <c r="F313"/>
      <c r="G313"/>
      <c r="H313"/>
      <c r="I313"/>
      <c r="J313"/>
      <c r="K313"/>
      <c r="L313"/>
      <c r="M313"/>
      <c r="N313"/>
      <c r="O313"/>
      <c r="P313"/>
      <c r="Q313"/>
      <c r="R313"/>
      <c r="S313"/>
      <c r="T313"/>
    </row>
    <row r="314" spans="1:19" ht="12.75">
      <c r="A314"/>
      <c r="C314"/>
      <c r="D314"/>
      <c r="E314"/>
      <c r="F314"/>
      <c r="G314"/>
      <c r="H314"/>
      <c r="I314"/>
      <c r="J314"/>
      <c r="K314"/>
      <c r="L314"/>
      <c r="M314"/>
      <c r="R314"/>
      <c r="S314"/>
    </row>
    <row r="315" spans="1:19" ht="12.75">
      <c r="A315"/>
      <c r="C315"/>
      <c r="D315"/>
      <c r="E315"/>
      <c r="F315"/>
      <c r="G315"/>
      <c r="H315"/>
      <c r="I315"/>
      <c r="J315"/>
      <c r="K315"/>
      <c r="L315"/>
      <c r="M315"/>
      <c r="R315"/>
      <c r="S315"/>
    </row>
    <row r="316" spans="1:19" ht="12.75">
      <c r="A316"/>
      <c r="C316"/>
      <c r="D316"/>
      <c r="E316"/>
      <c r="F316"/>
      <c r="G316"/>
      <c r="H316"/>
      <c r="I316"/>
      <c r="J316"/>
      <c r="K316"/>
      <c r="L316"/>
      <c r="M316"/>
      <c r="R316"/>
      <c r="S316"/>
    </row>
    <row r="317" spans="1:19" ht="12.75">
      <c r="A317"/>
      <c r="C317"/>
      <c r="D317"/>
      <c r="E317"/>
      <c r="F317"/>
      <c r="G317"/>
      <c r="H317"/>
      <c r="I317"/>
      <c r="J317"/>
      <c r="K317"/>
      <c r="L317"/>
      <c r="M317"/>
      <c r="R317"/>
      <c r="S317"/>
    </row>
    <row r="318" spans="1:19" ht="12.75">
      <c r="A318"/>
      <c r="C318"/>
      <c r="D318"/>
      <c r="E318"/>
      <c r="F318"/>
      <c r="G318"/>
      <c r="H318"/>
      <c r="I318"/>
      <c r="J318"/>
      <c r="K318"/>
      <c r="L318"/>
      <c r="M318"/>
      <c r="R318"/>
      <c r="S318"/>
    </row>
    <row r="319" spans="1:19" ht="12.75">
      <c r="A319"/>
      <c r="C319"/>
      <c r="D319"/>
      <c r="E319"/>
      <c r="F319"/>
      <c r="G319"/>
      <c r="H319"/>
      <c r="I319"/>
      <c r="J319"/>
      <c r="K319"/>
      <c r="L319"/>
      <c r="M319"/>
      <c r="R319"/>
      <c r="S319"/>
    </row>
    <row r="320" spans="1:19" ht="12.75">
      <c r="A320"/>
      <c r="C320"/>
      <c r="D320"/>
      <c r="E320"/>
      <c r="F320"/>
      <c r="G320"/>
      <c r="H320"/>
      <c r="I320"/>
      <c r="J320"/>
      <c r="K320"/>
      <c r="L320"/>
      <c r="M320"/>
      <c r="R320"/>
      <c r="S320"/>
    </row>
    <row r="321" spans="1:19" ht="12.75">
      <c r="A321"/>
      <c r="C321"/>
      <c r="D321"/>
      <c r="E321"/>
      <c r="F321"/>
      <c r="G321"/>
      <c r="H321"/>
      <c r="I321"/>
      <c r="J321"/>
      <c r="K321"/>
      <c r="L321"/>
      <c r="M321"/>
      <c r="R321"/>
      <c r="S321"/>
    </row>
    <row r="322" spans="1:19" ht="12.75">
      <c r="A322"/>
      <c r="C322"/>
      <c r="D322"/>
      <c r="E322"/>
      <c r="F322"/>
      <c r="G322"/>
      <c r="H322"/>
      <c r="I322"/>
      <c r="J322"/>
      <c r="K322"/>
      <c r="L322"/>
      <c r="M322"/>
      <c r="R322"/>
      <c r="S322"/>
    </row>
    <row r="323" spans="1:19" ht="12.75">
      <c r="A323"/>
      <c r="C323"/>
      <c r="D323"/>
      <c r="E323"/>
      <c r="F323"/>
      <c r="G323"/>
      <c r="H323"/>
      <c r="I323"/>
      <c r="J323"/>
      <c r="K323"/>
      <c r="L323"/>
      <c r="M323"/>
      <c r="R323"/>
      <c r="S323"/>
    </row>
    <row r="324" spans="1:20" s="148" customFormat="1" ht="12.75">
      <c r="A324"/>
      <c r="B324"/>
      <c r="C324"/>
      <c r="D324"/>
      <c r="E324"/>
      <c r="F324"/>
      <c r="G324"/>
      <c r="H324"/>
      <c r="I324"/>
      <c r="J324"/>
      <c r="K324"/>
      <c r="L324"/>
      <c r="M324"/>
      <c r="N324"/>
      <c r="O324"/>
      <c r="P324"/>
      <c r="Q324"/>
      <c r="R324"/>
      <c r="S324"/>
      <c r="T324"/>
    </row>
    <row r="325" spans="1:20" s="144" customFormat="1" ht="12.75">
      <c r="A325"/>
      <c r="B325"/>
      <c r="C325"/>
      <c r="D325"/>
      <c r="E325"/>
      <c r="F325"/>
      <c r="G325"/>
      <c r="H325"/>
      <c r="I325"/>
      <c r="J325"/>
      <c r="K325"/>
      <c r="L325"/>
      <c r="M325"/>
      <c r="N325"/>
      <c r="O325"/>
      <c r="P325"/>
      <c r="Q325"/>
      <c r="R325"/>
      <c r="S325"/>
      <c r="T325"/>
    </row>
    <row r="326" spans="1:19" ht="12.75">
      <c r="A326"/>
      <c r="C326"/>
      <c r="D326"/>
      <c r="E326"/>
      <c r="F326"/>
      <c r="G326"/>
      <c r="H326"/>
      <c r="I326"/>
      <c r="J326"/>
      <c r="K326"/>
      <c r="L326"/>
      <c r="M326"/>
      <c r="R326"/>
      <c r="S326"/>
    </row>
    <row r="327" spans="1:19" ht="12.75">
      <c r="A327"/>
      <c r="C327"/>
      <c r="D327"/>
      <c r="E327"/>
      <c r="F327"/>
      <c r="G327"/>
      <c r="H327"/>
      <c r="I327"/>
      <c r="J327"/>
      <c r="K327"/>
      <c r="L327"/>
      <c r="M327"/>
      <c r="R327"/>
      <c r="S327"/>
    </row>
    <row r="328" spans="1:20" s="3" customFormat="1" ht="12.75">
      <c r="A328"/>
      <c r="B328"/>
      <c r="C328"/>
      <c r="D328"/>
      <c r="E328"/>
      <c r="F328"/>
      <c r="G328"/>
      <c r="H328"/>
      <c r="I328"/>
      <c r="J328"/>
      <c r="K328"/>
      <c r="L328"/>
      <c r="M328"/>
      <c r="N328"/>
      <c r="O328"/>
      <c r="P328"/>
      <c r="Q328"/>
      <c r="R328"/>
      <c r="S328"/>
      <c r="T328"/>
    </row>
    <row r="329" spans="1:20" s="3" customFormat="1" ht="12.75">
      <c r="A329"/>
      <c r="B329"/>
      <c r="C329"/>
      <c r="D329"/>
      <c r="E329"/>
      <c r="F329"/>
      <c r="G329"/>
      <c r="H329"/>
      <c r="I329"/>
      <c r="J329"/>
      <c r="K329"/>
      <c r="L329"/>
      <c r="M329"/>
      <c r="N329"/>
      <c r="O329"/>
      <c r="P329"/>
      <c r="Q329"/>
      <c r="R329"/>
      <c r="S329"/>
      <c r="T329"/>
    </row>
    <row r="330" spans="1:20" s="3" customFormat="1" ht="12.75">
      <c r="A330"/>
      <c r="B330"/>
      <c r="C330"/>
      <c r="D330"/>
      <c r="E330"/>
      <c r="F330"/>
      <c r="G330"/>
      <c r="H330"/>
      <c r="I330"/>
      <c r="J330"/>
      <c r="K330"/>
      <c r="L330"/>
      <c r="M330"/>
      <c r="N330"/>
      <c r="O330"/>
      <c r="P330"/>
      <c r="Q330"/>
      <c r="R330"/>
      <c r="S330"/>
      <c r="T330"/>
    </row>
    <row r="331" spans="1:20" s="3" customFormat="1" ht="12.75">
      <c r="A331"/>
      <c r="B331"/>
      <c r="C331"/>
      <c r="D331"/>
      <c r="E331"/>
      <c r="F331"/>
      <c r="G331"/>
      <c r="H331"/>
      <c r="I331"/>
      <c r="J331"/>
      <c r="K331"/>
      <c r="L331"/>
      <c r="M331"/>
      <c r="N331"/>
      <c r="O331"/>
      <c r="P331"/>
      <c r="Q331"/>
      <c r="R331"/>
      <c r="S331"/>
      <c r="T331"/>
    </row>
    <row r="332" spans="1:20" s="3" customFormat="1" ht="12.75">
      <c r="A332"/>
      <c r="B332"/>
      <c r="C332"/>
      <c r="D332"/>
      <c r="E332"/>
      <c r="F332"/>
      <c r="G332"/>
      <c r="H332"/>
      <c r="I332"/>
      <c r="J332"/>
      <c r="K332"/>
      <c r="L332"/>
      <c r="M332"/>
      <c r="N332"/>
      <c r="O332"/>
      <c r="P332"/>
      <c r="Q332"/>
      <c r="R332"/>
      <c r="S332"/>
      <c r="T332"/>
    </row>
    <row r="333" spans="1:20" s="3" customFormat="1" ht="12.75">
      <c r="A333"/>
      <c r="B333"/>
      <c r="C333"/>
      <c r="D333"/>
      <c r="E333"/>
      <c r="F333"/>
      <c r="G333"/>
      <c r="H333"/>
      <c r="I333"/>
      <c r="J333"/>
      <c r="K333"/>
      <c r="L333"/>
      <c r="M333"/>
      <c r="N333"/>
      <c r="O333"/>
      <c r="P333"/>
      <c r="Q333"/>
      <c r="R333"/>
      <c r="S333"/>
      <c r="T333"/>
    </row>
    <row r="334" spans="1:20" s="3" customFormat="1" ht="12.75">
      <c r="A334"/>
      <c r="B334"/>
      <c r="C334"/>
      <c r="D334"/>
      <c r="E334"/>
      <c r="F334"/>
      <c r="G334"/>
      <c r="H334"/>
      <c r="I334"/>
      <c r="J334"/>
      <c r="K334"/>
      <c r="L334"/>
      <c r="M334"/>
      <c r="N334"/>
      <c r="O334"/>
      <c r="P334"/>
      <c r="Q334"/>
      <c r="R334"/>
      <c r="S334"/>
      <c r="T334"/>
    </row>
    <row r="335" spans="1:20" s="3" customFormat="1" ht="12.75">
      <c r="A335"/>
      <c r="B335"/>
      <c r="C335"/>
      <c r="D335"/>
      <c r="E335"/>
      <c r="F335"/>
      <c r="G335"/>
      <c r="H335"/>
      <c r="I335"/>
      <c r="J335"/>
      <c r="K335"/>
      <c r="L335"/>
      <c r="M335"/>
      <c r="N335"/>
      <c r="O335"/>
      <c r="P335"/>
      <c r="Q335"/>
      <c r="R335"/>
      <c r="S335"/>
      <c r="T335"/>
    </row>
    <row r="336" spans="1:20" s="3" customFormat="1" ht="12.75">
      <c r="A336"/>
      <c r="B336"/>
      <c r="C336"/>
      <c r="D336"/>
      <c r="E336"/>
      <c r="F336"/>
      <c r="G336"/>
      <c r="H336"/>
      <c r="I336"/>
      <c r="J336"/>
      <c r="K336"/>
      <c r="L336"/>
      <c r="M336"/>
      <c r="N336"/>
      <c r="O336"/>
      <c r="P336"/>
      <c r="Q336"/>
      <c r="R336"/>
      <c r="S336"/>
      <c r="T336"/>
    </row>
    <row r="337" spans="1:20" s="3" customFormat="1" ht="12.75">
      <c r="A337"/>
      <c r="B337"/>
      <c r="C337"/>
      <c r="D337"/>
      <c r="E337"/>
      <c r="F337"/>
      <c r="G337"/>
      <c r="H337"/>
      <c r="I337"/>
      <c r="J337"/>
      <c r="K337"/>
      <c r="L337"/>
      <c r="M337"/>
      <c r="N337"/>
      <c r="O337"/>
      <c r="P337"/>
      <c r="Q337"/>
      <c r="R337"/>
      <c r="S337"/>
      <c r="T337"/>
    </row>
    <row r="338" spans="1:20" s="3" customFormat="1" ht="12.75">
      <c r="A338"/>
      <c r="B338"/>
      <c r="C338"/>
      <c r="D338"/>
      <c r="E338"/>
      <c r="F338"/>
      <c r="G338"/>
      <c r="H338"/>
      <c r="I338"/>
      <c r="J338"/>
      <c r="K338"/>
      <c r="L338"/>
      <c r="M338"/>
      <c r="N338"/>
      <c r="O338"/>
      <c r="P338"/>
      <c r="Q338"/>
      <c r="R338"/>
      <c r="S338"/>
      <c r="T338"/>
    </row>
    <row r="339" spans="1:20" s="3" customFormat="1" ht="12.75">
      <c r="A339"/>
      <c r="B339"/>
      <c r="C339"/>
      <c r="D339"/>
      <c r="E339"/>
      <c r="F339"/>
      <c r="G339"/>
      <c r="H339"/>
      <c r="I339"/>
      <c r="J339"/>
      <c r="K339"/>
      <c r="L339"/>
      <c r="M339"/>
      <c r="N339"/>
      <c r="O339"/>
      <c r="P339"/>
      <c r="Q339"/>
      <c r="R339"/>
      <c r="S339"/>
      <c r="T339"/>
    </row>
    <row r="340" spans="1:20" s="3" customFormat="1" ht="12.75">
      <c r="A340"/>
      <c r="B340"/>
      <c r="C340"/>
      <c r="D340"/>
      <c r="E340"/>
      <c r="F340"/>
      <c r="G340"/>
      <c r="H340"/>
      <c r="I340"/>
      <c r="J340"/>
      <c r="K340"/>
      <c r="L340"/>
      <c r="M340"/>
      <c r="N340"/>
      <c r="O340"/>
      <c r="P340"/>
      <c r="Q340"/>
      <c r="R340"/>
      <c r="S340"/>
      <c r="T340"/>
    </row>
    <row r="341" spans="1:20" s="3" customFormat="1" ht="12.75">
      <c r="A341"/>
      <c r="B341"/>
      <c r="C341"/>
      <c r="D341"/>
      <c r="E341"/>
      <c r="F341"/>
      <c r="G341"/>
      <c r="H341"/>
      <c r="I341"/>
      <c r="J341"/>
      <c r="K341"/>
      <c r="L341"/>
      <c r="M341"/>
      <c r="N341"/>
      <c r="O341"/>
      <c r="P341"/>
      <c r="Q341"/>
      <c r="R341"/>
      <c r="S341"/>
      <c r="T341"/>
    </row>
    <row r="342" spans="1:19" ht="12.75">
      <c r="A342"/>
      <c r="C342"/>
      <c r="D342"/>
      <c r="E342"/>
      <c r="F342"/>
      <c r="G342"/>
      <c r="H342"/>
      <c r="I342"/>
      <c r="J342"/>
      <c r="K342"/>
      <c r="L342"/>
      <c r="M342"/>
      <c r="R342"/>
      <c r="S342"/>
    </row>
    <row r="343" spans="1:19" ht="12.75">
      <c r="A343"/>
      <c r="C343"/>
      <c r="D343"/>
      <c r="E343"/>
      <c r="F343"/>
      <c r="G343"/>
      <c r="H343"/>
      <c r="I343"/>
      <c r="J343"/>
      <c r="K343"/>
      <c r="L343"/>
      <c r="M343"/>
      <c r="R343"/>
      <c r="S343"/>
    </row>
    <row r="344" spans="1:19" ht="12.75">
      <c r="A344"/>
      <c r="C344"/>
      <c r="D344"/>
      <c r="E344"/>
      <c r="F344"/>
      <c r="G344"/>
      <c r="H344"/>
      <c r="I344"/>
      <c r="J344"/>
      <c r="K344"/>
      <c r="L344"/>
      <c r="M344"/>
      <c r="R344"/>
      <c r="S344"/>
    </row>
    <row r="345" spans="1:19" ht="12.75">
      <c r="A345"/>
      <c r="C345"/>
      <c r="D345"/>
      <c r="E345"/>
      <c r="F345"/>
      <c r="G345"/>
      <c r="H345"/>
      <c r="I345"/>
      <c r="J345"/>
      <c r="K345"/>
      <c r="L345"/>
      <c r="M345"/>
      <c r="R345"/>
      <c r="S345"/>
    </row>
    <row r="346" spans="1:19" ht="12.75">
      <c r="A346"/>
      <c r="C346"/>
      <c r="D346"/>
      <c r="E346"/>
      <c r="F346"/>
      <c r="G346"/>
      <c r="H346"/>
      <c r="I346"/>
      <c r="J346"/>
      <c r="K346"/>
      <c r="L346"/>
      <c r="M346"/>
      <c r="R346"/>
      <c r="S346"/>
    </row>
    <row r="347" spans="1:19" ht="12.75">
      <c r="A347"/>
      <c r="C347"/>
      <c r="D347"/>
      <c r="E347"/>
      <c r="F347"/>
      <c r="G347"/>
      <c r="H347"/>
      <c r="I347"/>
      <c r="J347"/>
      <c r="K347"/>
      <c r="L347"/>
      <c r="M347"/>
      <c r="R347"/>
      <c r="S347"/>
    </row>
    <row r="348" spans="1:19" ht="12.75">
      <c r="A348"/>
      <c r="C348"/>
      <c r="D348"/>
      <c r="E348"/>
      <c r="F348"/>
      <c r="G348"/>
      <c r="H348"/>
      <c r="I348"/>
      <c r="J348"/>
      <c r="K348"/>
      <c r="L348"/>
      <c r="M348"/>
      <c r="R348"/>
      <c r="S348"/>
    </row>
    <row r="349" spans="1:19" ht="12.75">
      <c r="A349"/>
      <c r="C349"/>
      <c r="D349"/>
      <c r="E349"/>
      <c r="F349"/>
      <c r="G349"/>
      <c r="H349"/>
      <c r="I349"/>
      <c r="J349"/>
      <c r="K349"/>
      <c r="L349"/>
      <c r="M349"/>
      <c r="R349"/>
      <c r="S349"/>
    </row>
    <row r="350" spans="1:19" ht="12.75">
      <c r="A350"/>
      <c r="C350"/>
      <c r="D350"/>
      <c r="E350"/>
      <c r="F350"/>
      <c r="G350"/>
      <c r="H350"/>
      <c r="I350"/>
      <c r="J350"/>
      <c r="K350"/>
      <c r="L350"/>
      <c r="M350"/>
      <c r="R350"/>
      <c r="S350"/>
    </row>
    <row r="351" spans="1:19" ht="12.75">
      <c r="A351"/>
      <c r="C351"/>
      <c r="D351"/>
      <c r="E351"/>
      <c r="F351"/>
      <c r="G351"/>
      <c r="H351"/>
      <c r="I351"/>
      <c r="J351"/>
      <c r="K351"/>
      <c r="L351"/>
      <c r="M351"/>
      <c r="R351"/>
      <c r="S351"/>
    </row>
    <row r="352" spans="1:19" ht="12.75">
      <c r="A352"/>
      <c r="C352"/>
      <c r="D352"/>
      <c r="E352"/>
      <c r="F352"/>
      <c r="G352"/>
      <c r="H352"/>
      <c r="I352"/>
      <c r="J352"/>
      <c r="K352"/>
      <c r="L352"/>
      <c r="M352"/>
      <c r="R352"/>
      <c r="S352"/>
    </row>
    <row r="353" spans="1:20" s="148" customFormat="1" ht="12.75">
      <c r="A353"/>
      <c r="B353"/>
      <c r="C353"/>
      <c r="D353"/>
      <c r="E353"/>
      <c r="F353"/>
      <c r="G353"/>
      <c r="H353"/>
      <c r="I353"/>
      <c r="J353"/>
      <c r="K353"/>
      <c r="L353"/>
      <c r="M353"/>
      <c r="N353"/>
      <c r="O353"/>
      <c r="P353"/>
      <c r="Q353"/>
      <c r="R353"/>
      <c r="S353"/>
      <c r="T353"/>
    </row>
    <row r="354" spans="1:20" s="144" customFormat="1" ht="12.75">
      <c r="A354"/>
      <c r="B354"/>
      <c r="C354"/>
      <c r="D354"/>
      <c r="E354"/>
      <c r="F354"/>
      <c r="G354"/>
      <c r="H354"/>
      <c r="I354"/>
      <c r="J354"/>
      <c r="K354"/>
      <c r="L354"/>
      <c r="M354"/>
      <c r="N354"/>
      <c r="O354"/>
      <c r="P354"/>
      <c r="Q354"/>
      <c r="R354"/>
      <c r="S354"/>
      <c r="T354"/>
    </row>
    <row r="355" spans="1:19" ht="12.75">
      <c r="A355"/>
      <c r="C355"/>
      <c r="D355"/>
      <c r="E355"/>
      <c r="F355"/>
      <c r="G355"/>
      <c r="H355"/>
      <c r="I355"/>
      <c r="J355"/>
      <c r="K355"/>
      <c r="L355"/>
      <c r="M355"/>
      <c r="R355"/>
      <c r="S355"/>
    </row>
    <row r="356" spans="1:20" s="3" customFormat="1" ht="12.75">
      <c r="A356"/>
      <c r="B356"/>
      <c r="C356"/>
      <c r="D356"/>
      <c r="E356"/>
      <c r="F356"/>
      <c r="G356"/>
      <c r="H356"/>
      <c r="I356"/>
      <c r="J356"/>
      <c r="K356"/>
      <c r="L356"/>
      <c r="M356"/>
      <c r="N356"/>
      <c r="O356"/>
      <c r="P356"/>
      <c r="Q356"/>
      <c r="R356"/>
      <c r="S356"/>
      <c r="T356"/>
    </row>
    <row r="357" spans="1:20" s="3" customFormat="1" ht="12.75">
      <c r="A357"/>
      <c r="B357"/>
      <c r="C357"/>
      <c r="D357"/>
      <c r="E357"/>
      <c r="F357"/>
      <c r="G357"/>
      <c r="H357"/>
      <c r="I357"/>
      <c r="J357"/>
      <c r="K357"/>
      <c r="L357"/>
      <c r="M357"/>
      <c r="N357"/>
      <c r="O357"/>
      <c r="P357"/>
      <c r="Q357"/>
      <c r="R357"/>
      <c r="S357"/>
      <c r="T357"/>
    </row>
    <row r="358" spans="1:20" s="3" customFormat="1" ht="12.75">
      <c r="A358"/>
      <c r="B358"/>
      <c r="C358"/>
      <c r="D358"/>
      <c r="E358"/>
      <c r="F358"/>
      <c r="G358"/>
      <c r="H358"/>
      <c r="I358"/>
      <c r="J358"/>
      <c r="K358"/>
      <c r="L358"/>
      <c r="M358"/>
      <c r="N358"/>
      <c r="O358"/>
      <c r="P358"/>
      <c r="Q358"/>
      <c r="R358"/>
      <c r="S358"/>
      <c r="T358"/>
    </row>
    <row r="359" spans="1:20" s="3" customFormat="1" ht="12.75">
      <c r="A359"/>
      <c r="B359"/>
      <c r="C359"/>
      <c r="D359"/>
      <c r="E359"/>
      <c r="F359"/>
      <c r="G359"/>
      <c r="H359"/>
      <c r="I359"/>
      <c r="J359"/>
      <c r="K359"/>
      <c r="L359"/>
      <c r="M359"/>
      <c r="N359"/>
      <c r="O359"/>
      <c r="P359"/>
      <c r="Q359"/>
      <c r="R359"/>
      <c r="S359"/>
      <c r="T359"/>
    </row>
    <row r="360" spans="1:20" s="3" customFormat="1" ht="12.75">
      <c r="A360"/>
      <c r="B360"/>
      <c r="C360"/>
      <c r="D360"/>
      <c r="E360"/>
      <c r="F360"/>
      <c r="G360"/>
      <c r="H360"/>
      <c r="I360"/>
      <c r="J360"/>
      <c r="K360"/>
      <c r="L360"/>
      <c r="M360"/>
      <c r="N360"/>
      <c r="O360"/>
      <c r="P360"/>
      <c r="Q360"/>
      <c r="R360"/>
      <c r="S360"/>
      <c r="T360"/>
    </row>
    <row r="361" spans="1:20" s="3" customFormat="1" ht="12.75">
      <c r="A361"/>
      <c r="B361"/>
      <c r="C361"/>
      <c r="D361"/>
      <c r="E361"/>
      <c r="F361"/>
      <c r="G361"/>
      <c r="H361"/>
      <c r="I361"/>
      <c r="J361"/>
      <c r="K361"/>
      <c r="L361"/>
      <c r="M361"/>
      <c r="N361"/>
      <c r="O361"/>
      <c r="P361"/>
      <c r="Q361"/>
      <c r="R361"/>
      <c r="S361"/>
      <c r="T361"/>
    </row>
    <row r="362" spans="1:20" s="3" customFormat="1" ht="12.75">
      <c r="A362"/>
      <c r="B362"/>
      <c r="C362"/>
      <c r="D362"/>
      <c r="E362"/>
      <c r="F362"/>
      <c r="G362"/>
      <c r="H362"/>
      <c r="I362"/>
      <c r="J362"/>
      <c r="K362"/>
      <c r="L362"/>
      <c r="M362"/>
      <c r="N362"/>
      <c r="O362"/>
      <c r="P362"/>
      <c r="Q362"/>
      <c r="R362"/>
      <c r="S362"/>
      <c r="T362"/>
    </row>
    <row r="363" spans="1:20" s="3" customFormat="1" ht="12.75">
      <c r="A363"/>
      <c r="B363"/>
      <c r="C363"/>
      <c r="D363"/>
      <c r="E363"/>
      <c r="F363"/>
      <c r="G363"/>
      <c r="H363"/>
      <c r="I363"/>
      <c r="J363"/>
      <c r="K363"/>
      <c r="L363"/>
      <c r="M363"/>
      <c r="N363"/>
      <c r="O363"/>
      <c r="P363"/>
      <c r="Q363"/>
      <c r="R363"/>
      <c r="S363"/>
      <c r="T363"/>
    </row>
    <row r="364" spans="1:20" s="3" customFormat="1" ht="12.75">
      <c r="A364"/>
      <c r="B364"/>
      <c r="C364"/>
      <c r="D364"/>
      <c r="E364"/>
      <c r="F364"/>
      <c r="G364"/>
      <c r="H364"/>
      <c r="I364"/>
      <c r="J364"/>
      <c r="K364"/>
      <c r="L364"/>
      <c r="M364"/>
      <c r="N364"/>
      <c r="O364"/>
      <c r="P364"/>
      <c r="Q364"/>
      <c r="R364"/>
      <c r="S364"/>
      <c r="T364"/>
    </row>
    <row r="365" spans="1:20" s="3" customFormat="1" ht="12.75">
      <c r="A365"/>
      <c r="B365"/>
      <c r="C365"/>
      <c r="D365"/>
      <c r="E365"/>
      <c r="F365"/>
      <c r="G365"/>
      <c r="H365"/>
      <c r="I365"/>
      <c r="J365"/>
      <c r="K365"/>
      <c r="L365"/>
      <c r="M365"/>
      <c r="N365"/>
      <c r="O365"/>
      <c r="P365"/>
      <c r="Q365"/>
      <c r="R365"/>
      <c r="S365"/>
      <c r="T365"/>
    </row>
    <row r="366" spans="1:20" s="3" customFormat="1" ht="12.75">
      <c r="A366"/>
      <c r="B366"/>
      <c r="C366"/>
      <c r="D366"/>
      <c r="E366"/>
      <c r="F366"/>
      <c r="G366"/>
      <c r="H366"/>
      <c r="I366"/>
      <c r="J366"/>
      <c r="K366"/>
      <c r="L366"/>
      <c r="M366"/>
      <c r="N366"/>
      <c r="O366"/>
      <c r="P366"/>
      <c r="Q366"/>
      <c r="R366"/>
      <c r="S366"/>
      <c r="T366"/>
    </row>
    <row r="367" spans="1:20" s="3" customFormat="1" ht="12.75">
      <c r="A367"/>
      <c r="B367"/>
      <c r="C367"/>
      <c r="D367"/>
      <c r="E367"/>
      <c r="F367"/>
      <c r="G367"/>
      <c r="H367"/>
      <c r="I367"/>
      <c r="J367"/>
      <c r="K367"/>
      <c r="L367"/>
      <c r="M367"/>
      <c r="N367"/>
      <c r="O367"/>
      <c r="P367"/>
      <c r="Q367"/>
      <c r="R367"/>
      <c r="S367"/>
      <c r="T367"/>
    </row>
    <row r="368" spans="1:20" s="3" customFormat="1" ht="12.75">
      <c r="A368"/>
      <c r="B368"/>
      <c r="C368"/>
      <c r="D368"/>
      <c r="E368"/>
      <c r="F368"/>
      <c r="G368"/>
      <c r="H368"/>
      <c r="I368"/>
      <c r="J368"/>
      <c r="K368"/>
      <c r="L368"/>
      <c r="M368"/>
      <c r="N368"/>
      <c r="O368"/>
      <c r="P368"/>
      <c r="Q368"/>
      <c r="R368"/>
      <c r="S368"/>
      <c r="T368"/>
    </row>
    <row r="369" spans="1:20" s="3" customFormat="1" ht="12.75">
      <c r="A369"/>
      <c r="B369"/>
      <c r="C369"/>
      <c r="D369"/>
      <c r="E369"/>
      <c r="F369"/>
      <c r="G369"/>
      <c r="H369"/>
      <c r="I369"/>
      <c r="J369"/>
      <c r="K369"/>
      <c r="L369"/>
      <c r="M369"/>
      <c r="N369"/>
      <c r="O369"/>
      <c r="P369"/>
      <c r="Q369"/>
      <c r="R369"/>
      <c r="S369"/>
      <c r="T369"/>
    </row>
    <row r="370" spans="1:19" ht="12.75">
      <c r="A370"/>
      <c r="C370"/>
      <c r="D370"/>
      <c r="E370"/>
      <c r="F370"/>
      <c r="G370"/>
      <c r="H370"/>
      <c r="I370"/>
      <c r="J370"/>
      <c r="K370"/>
      <c r="L370"/>
      <c r="M370"/>
      <c r="R370"/>
      <c r="S370"/>
    </row>
    <row r="371" spans="1:19" ht="12.75">
      <c r="A371"/>
      <c r="C371"/>
      <c r="D371"/>
      <c r="E371"/>
      <c r="F371"/>
      <c r="G371"/>
      <c r="H371"/>
      <c r="I371"/>
      <c r="J371"/>
      <c r="K371"/>
      <c r="L371"/>
      <c r="M371"/>
      <c r="R371"/>
      <c r="S371"/>
    </row>
    <row r="372" spans="1:19" ht="12.75">
      <c r="A372"/>
      <c r="C372"/>
      <c r="D372"/>
      <c r="E372"/>
      <c r="F372"/>
      <c r="G372"/>
      <c r="H372"/>
      <c r="I372"/>
      <c r="J372"/>
      <c r="K372"/>
      <c r="L372"/>
      <c r="M372"/>
      <c r="R372"/>
      <c r="S372"/>
    </row>
    <row r="373" spans="1:19" ht="12.75">
      <c r="A373"/>
      <c r="C373"/>
      <c r="D373"/>
      <c r="E373"/>
      <c r="F373"/>
      <c r="G373"/>
      <c r="H373"/>
      <c r="I373"/>
      <c r="J373"/>
      <c r="K373"/>
      <c r="L373"/>
      <c r="M373"/>
      <c r="R373"/>
      <c r="S373"/>
    </row>
    <row r="374" spans="1:19" ht="12.75">
      <c r="A374"/>
      <c r="C374"/>
      <c r="D374"/>
      <c r="E374"/>
      <c r="F374"/>
      <c r="G374"/>
      <c r="H374"/>
      <c r="I374"/>
      <c r="J374"/>
      <c r="K374"/>
      <c r="L374"/>
      <c r="M374"/>
      <c r="R374"/>
      <c r="S374"/>
    </row>
    <row r="375" spans="1:19" ht="12.75">
      <c r="A375"/>
      <c r="C375"/>
      <c r="D375"/>
      <c r="E375"/>
      <c r="F375"/>
      <c r="G375"/>
      <c r="H375"/>
      <c r="I375"/>
      <c r="J375"/>
      <c r="K375"/>
      <c r="L375"/>
      <c r="M375"/>
      <c r="R375"/>
      <c r="S375"/>
    </row>
    <row r="376" spans="1:19" ht="12.75">
      <c r="A376"/>
      <c r="C376"/>
      <c r="D376"/>
      <c r="E376"/>
      <c r="F376"/>
      <c r="G376"/>
      <c r="H376"/>
      <c r="I376"/>
      <c r="J376"/>
      <c r="K376"/>
      <c r="L376"/>
      <c r="M376"/>
      <c r="R376"/>
      <c r="S376"/>
    </row>
    <row r="377" spans="1:19" ht="12.75">
      <c r="A377"/>
      <c r="C377"/>
      <c r="D377"/>
      <c r="E377"/>
      <c r="F377"/>
      <c r="G377"/>
      <c r="H377"/>
      <c r="I377"/>
      <c r="J377"/>
      <c r="K377"/>
      <c r="L377"/>
      <c r="M377"/>
      <c r="R377"/>
      <c r="S377"/>
    </row>
    <row r="378" spans="1:19" ht="12.75">
      <c r="A378"/>
      <c r="C378"/>
      <c r="D378"/>
      <c r="E378"/>
      <c r="F378"/>
      <c r="G378"/>
      <c r="H378"/>
      <c r="I378"/>
      <c r="J378"/>
      <c r="K378"/>
      <c r="L378"/>
      <c r="M378"/>
      <c r="R378"/>
      <c r="S378"/>
    </row>
    <row r="379" spans="1:19" ht="12.75">
      <c r="A379"/>
      <c r="C379"/>
      <c r="D379"/>
      <c r="E379"/>
      <c r="F379"/>
      <c r="G379"/>
      <c r="H379"/>
      <c r="I379"/>
      <c r="J379"/>
      <c r="K379"/>
      <c r="L379"/>
      <c r="M379"/>
      <c r="R379"/>
      <c r="S379"/>
    </row>
    <row r="380" spans="1:19" ht="12.75">
      <c r="A380"/>
      <c r="C380"/>
      <c r="D380"/>
      <c r="E380"/>
      <c r="F380"/>
      <c r="G380"/>
      <c r="H380"/>
      <c r="I380"/>
      <c r="J380"/>
      <c r="K380"/>
      <c r="L380"/>
      <c r="M380"/>
      <c r="R380"/>
      <c r="S380"/>
    </row>
    <row r="381" spans="1:19" ht="12.75">
      <c r="A381"/>
      <c r="C381"/>
      <c r="D381"/>
      <c r="E381"/>
      <c r="F381"/>
      <c r="G381"/>
      <c r="H381"/>
      <c r="I381"/>
      <c r="J381"/>
      <c r="K381"/>
      <c r="L381"/>
      <c r="M381"/>
      <c r="R381"/>
      <c r="S381"/>
    </row>
    <row r="382" spans="1:20" s="148" customFormat="1" ht="12.75">
      <c r="A382"/>
      <c r="B382"/>
      <c r="C382"/>
      <c r="D382"/>
      <c r="E382"/>
      <c r="F382"/>
      <c r="G382"/>
      <c r="H382"/>
      <c r="I382"/>
      <c r="J382"/>
      <c r="K382"/>
      <c r="L382"/>
      <c r="M382"/>
      <c r="N382"/>
      <c r="O382"/>
      <c r="P382"/>
      <c r="Q382"/>
      <c r="R382"/>
      <c r="S382"/>
      <c r="T382"/>
    </row>
    <row r="383" spans="1:20" s="144" customFormat="1" ht="12.75">
      <c r="A383"/>
      <c r="B383"/>
      <c r="C383"/>
      <c r="D383"/>
      <c r="E383"/>
      <c r="F383"/>
      <c r="G383"/>
      <c r="H383"/>
      <c r="I383"/>
      <c r="J383"/>
      <c r="K383"/>
      <c r="L383"/>
      <c r="M383"/>
      <c r="N383"/>
      <c r="O383"/>
      <c r="P383"/>
      <c r="Q383"/>
      <c r="R383"/>
      <c r="S383"/>
      <c r="T383"/>
    </row>
    <row r="384" spans="1:20" s="3" customFormat="1" ht="12.75">
      <c r="A384"/>
      <c r="B384"/>
      <c r="C384"/>
      <c r="D384"/>
      <c r="E384"/>
      <c r="F384"/>
      <c r="G384"/>
      <c r="H384"/>
      <c r="I384"/>
      <c r="J384"/>
      <c r="K384"/>
      <c r="L384"/>
      <c r="M384"/>
      <c r="N384"/>
      <c r="O384"/>
      <c r="P384"/>
      <c r="Q384"/>
      <c r="R384"/>
      <c r="S384"/>
      <c r="T384"/>
    </row>
    <row r="385" spans="1:20" s="3" customFormat="1" ht="12.75">
      <c r="A385"/>
      <c r="B385"/>
      <c r="C385"/>
      <c r="D385"/>
      <c r="E385"/>
      <c r="F385"/>
      <c r="G385"/>
      <c r="H385"/>
      <c r="I385"/>
      <c r="J385"/>
      <c r="K385"/>
      <c r="L385"/>
      <c r="M385"/>
      <c r="N385"/>
      <c r="O385"/>
      <c r="P385"/>
      <c r="Q385"/>
      <c r="R385"/>
      <c r="S385"/>
      <c r="T385"/>
    </row>
    <row r="386" spans="1:20" s="3" customFormat="1" ht="12.75">
      <c r="A386"/>
      <c r="B386"/>
      <c r="C386"/>
      <c r="D386"/>
      <c r="E386"/>
      <c r="F386"/>
      <c r="G386"/>
      <c r="H386"/>
      <c r="I386"/>
      <c r="J386"/>
      <c r="K386"/>
      <c r="L386"/>
      <c r="M386"/>
      <c r="N386"/>
      <c r="O386"/>
      <c r="P386"/>
      <c r="Q386"/>
      <c r="R386"/>
      <c r="S386"/>
      <c r="T386"/>
    </row>
    <row r="387" spans="1:20" s="3" customFormat="1" ht="12.75">
      <c r="A387"/>
      <c r="B387"/>
      <c r="C387"/>
      <c r="D387"/>
      <c r="E387"/>
      <c r="F387"/>
      <c r="G387"/>
      <c r="H387"/>
      <c r="I387"/>
      <c r="J387"/>
      <c r="K387"/>
      <c r="L387"/>
      <c r="M387"/>
      <c r="N387"/>
      <c r="O387"/>
      <c r="P387"/>
      <c r="Q387"/>
      <c r="R387"/>
      <c r="S387"/>
      <c r="T387"/>
    </row>
    <row r="388" spans="1:20" s="3" customFormat="1" ht="12.75">
      <c r="A388"/>
      <c r="B388"/>
      <c r="C388"/>
      <c r="D388"/>
      <c r="E388"/>
      <c r="F388"/>
      <c r="G388"/>
      <c r="H388"/>
      <c r="I388"/>
      <c r="J388"/>
      <c r="K388"/>
      <c r="L388"/>
      <c r="M388"/>
      <c r="N388"/>
      <c r="O388"/>
      <c r="P388"/>
      <c r="Q388"/>
      <c r="R388"/>
      <c r="S388"/>
      <c r="T388"/>
    </row>
    <row r="389" spans="1:20" s="3" customFormat="1" ht="12.75">
      <c r="A389"/>
      <c r="B389"/>
      <c r="C389"/>
      <c r="D389"/>
      <c r="E389"/>
      <c r="F389"/>
      <c r="G389"/>
      <c r="H389"/>
      <c r="I389"/>
      <c r="J389"/>
      <c r="K389"/>
      <c r="L389"/>
      <c r="M389"/>
      <c r="N389"/>
      <c r="O389"/>
      <c r="P389"/>
      <c r="Q389"/>
      <c r="R389"/>
      <c r="S389"/>
      <c r="T389"/>
    </row>
    <row r="390" spans="1:20" s="3" customFormat="1" ht="12.75">
      <c r="A390"/>
      <c r="B390"/>
      <c r="C390"/>
      <c r="D390"/>
      <c r="E390"/>
      <c r="F390"/>
      <c r="G390"/>
      <c r="H390"/>
      <c r="I390"/>
      <c r="J390"/>
      <c r="K390"/>
      <c r="L390"/>
      <c r="M390"/>
      <c r="N390"/>
      <c r="O390"/>
      <c r="P390"/>
      <c r="Q390"/>
      <c r="R390"/>
      <c r="S390"/>
      <c r="T390"/>
    </row>
    <row r="391" spans="1:20" s="3" customFormat="1" ht="12.75">
      <c r="A391"/>
      <c r="B391"/>
      <c r="C391"/>
      <c r="D391"/>
      <c r="E391"/>
      <c r="F391"/>
      <c r="G391"/>
      <c r="H391"/>
      <c r="I391"/>
      <c r="J391"/>
      <c r="K391"/>
      <c r="L391"/>
      <c r="M391"/>
      <c r="N391"/>
      <c r="O391"/>
      <c r="P391"/>
      <c r="Q391"/>
      <c r="R391"/>
      <c r="S391"/>
      <c r="T391"/>
    </row>
    <row r="392" spans="1:20" s="3" customFormat="1" ht="12.75">
      <c r="A392"/>
      <c r="B392"/>
      <c r="C392"/>
      <c r="D392"/>
      <c r="E392"/>
      <c r="F392"/>
      <c r="G392"/>
      <c r="H392"/>
      <c r="I392"/>
      <c r="J392"/>
      <c r="K392"/>
      <c r="L392"/>
      <c r="M392"/>
      <c r="N392"/>
      <c r="O392"/>
      <c r="P392"/>
      <c r="Q392"/>
      <c r="R392"/>
      <c r="S392"/>
      <c r="T392"/>
    </row>
    <row r="393" spans="1:20" s="3" customFormat="1" ht="12.75">
      <c r="A393"/>
      <c r="B393"/>
      <c r="C393"/>
      <c r="D393"/>
      <c r="E393"/>
      <c r="F393"/>
      <c r="G393"/>
      <c r="H393"/>
      <c r="I393"/>
      <c r="J393"/>
      <c r="K393"/>
      <c r="L393"/>
      <c r="M393"/>
      <c r="N393"/>
      <c r="O393"/>
      <c r="P393"/>
      <c r="Q393"/>
      <c r="R393"/>
      <c r="S393"/>
      <c r="T393"/>
    </row>
    <row r="394" spans="1:20" s="3" customFormat="1" ht="12.75">
      <c r="A394"/>
      <c r="B394"/>
      <c r="C394"/>
      <c r="D394"/>
      <c r="E394"/>
      <c r="F394"/>
      <c r="G394"/>
      <c r="H394"/>
      <c r="I394"/>
      <c r="J394"/>
      <c r="K394"/>
      <c r="L394"/>
      <c r="M394"/>
      <c r="N394"/>
      <c r="O394"/>
      <c r="P394"/>
      <c r="Q394"/>
      <c r="R394"/>
      <c r="S394"/>
      <c r="T394"/>
    </row>
    <row r="395" spans="1:20" s="3" customFormat="1" ht="12.75">
      <c r="A395"/>
      <c r="B395"/>
      <c r="C395"/>
      <c r="D395"/>
      <c r="E395"/>
      <c r="F395"/>
      <c r="G395"/>
      <c r="H395"/>
      <c r="I395"/>
      <c r="J395"/>
      <c r="K395"/>
      <c r="L395"/>
      <c r="M395"/>
      <c r="N395"/>
      <c r="O395"/>
      <c r="P395"/>
      <c r="Q395"/>
      <c r="R395"/>
      <c r="S395"/>
      <c r="T395"/>
    </row>
    <row r="396" spans="1:20" s="3" customFormat="1" ht="12.75">
      <c r="A396"/>
      <c r="B396"/>
      <c r="C396"/>
      <c r="D396"/>
      <c r="E396"/>
      <c r="F396"/>
      <c r="G396"/>
      <c r="H396"/>
      <c r="I396"/>
      <c r="J396"/>
      <c r="K396"/>
      <c r="L396"/>
      <c r="M396"/>
      <c r="N396"/>
      <c r="O396"/>
      <c r="P396"/>
      <c r="Q396"/>
      <c r="R396"/>
      <c r="S396"/>
      <c r="T396"/>
    </row>
    <row r="397" spans="1:20" s="3" customFormat="1" ht="12.75">
      <c r="A397"/>
      <c r="B397"/>
      <c r="C397"/>
      <c r="D397"/>
      <c r="E397"/>
      <c r="F397"/>
      <c r="G397"/>
      <c r="H397"/>
      <c r="I397"/>
      <c r="J397"/>
      <c r="K397"/>
      <c r="L397"/>
      <c r="M397"/>
      <c r="N397"/>
      <c r="O397"/>
      <c r="P397"/>
      <c r="Q397"/>
      <c r="R397"/>
      <c r="S397"/>
      <c r="T397"/>
    </row>
    <row r="398" spans="1:19" ht="12.75">
      <c r="A398"/>
      <c r="C398"/>
      <c r="D398"/>
      <c r="E398"/>
      <c r="F398"/>
      <c r="G398"/>
      <c r="H398"/>
      <c r="I398"/>
      <c r="J398"/>
      <c r="K398"/>
      <c r="L398"/>
      <c r="M398"/>
      <c r="R398"/>
      <c r="S398"/>
    </row>
    <row r="399" spans="1:19" ht="12.75">
      <c r="A399"/>
      <c r="C399"/>
      <c r="D399"/>
      <c r="E399"/>
      <c r="F399"/>
      <c r="G399"/>
      <c r="H399"/>
      <c r="I399"/>
      <c r="J399"/>
      <c r="K399"/>
      <c r="L399"/>
      <c r="M399"/>
      <c r="R399"/>
      <c r="S399"/>
    </row>
    <row r="400" spans="1:19" ht="12.75">
      <c r="A400"/>
      <c r="C400"/>
      <c r="D400"/>
      <c r="E400"/>
      <c r="F400"/>
      <c r="G400"/>
      <c r="H400"/>
      <c r="I400"/>
      <c r="J400"/>
      <c r="K400"/>
      <c r="L400"/>
      <c r="M400"/>
      <c r="R400"/>
      <c r="S400"/>
    </row>
    <row r="401" spans="1:19" ht="12.75">
      <c r="A401"/>
      <c r="C401"/>
      <c r="D401"/>
      <c r="E401"/>
      <c r="F401"/>
      <c r="G401"/>
      <c r="H401"/>
      <c r="I401"/>
      <c r="J401"/>
      <c r="K401"/>
      <c r="L401"/>
      <c r="M401"/>
      <c r="R401"/>
      <c r="S401"/>
    </row>
    <row r="402" spans="1:19" ht="12.75">
      <c r="A402"/>
      <c r="C402"/>
      <c r="D402"/>
      <c r="E402"/>
      <c r="F402"/>
      <c r="G402"/>
      <c r="H402"/>
      <c r="I402"/>
      <c r="J402"/>
      <c r="K402"/>
      <c r="L402"/>
      <c r="M402"/>
      <c r="R402"/>
      <c r="S402"/>
    </row>
    <row r="403" spans="1:19" ht="12.75">
      <c r="A403"/>
      <c r="C403"/>
      <c r="D403"/>
      <c r="E403"/>
      <c r="F403"/>
      <c r="G403"/>
      <c r="H403"/>
      <c r="I403"/>
      <c r="J403"/>
      <c r="K403"/>
      <c r="L403"/>
      <c r="M403"/>
      <c r="R403"/>
      <c r="S403"/>
    </row>
    <row r="404" spans="1:19" ht="12.75">
      <c r="A404"/>
      <c r="C404"/>
      <c r="D404"/>
      <c r="E404"/>
      <c r="F404"/>
      <c r="G404"/>
      <c r="H404"/>
      <c r="I404"/>
      <c r="J404"/>
      <c r="K404"/>
      <c r="L404"/>
      <c r="M404"/>
      <c r="R404"/>
      <c r="S404"/>
    </row>
    <row r="405" spans="1:19" ht="12.75">
      <c r="A405"/>
      <c r="C405"/>
      <c r="D405"/>
      <c r="E405"/>
      <c r="F405"/>
      <c r="G405"/>
      <c r="H405"/>
      <c r="I405"/>
      <c r="J405"/>
      <c r="K405"/>
      <c r="L405"/>
      <c r="M405"/>
      <c r="R405"/>
      <c r="S405"/>
    </row>
    <row r="406" spans="1:19" ht="12.75">
      <c r="A406"/>
      <c r="C406"/>
      <c r="D406"/>
      <c r="E406"/>
      <c r="F406"/>
      <c r="G406"/>
      <c r="H406"/>
      <c r="I406"/>
      <c r="J406"/>
      <c r="K406"/>
      <c r="L406"/>
      <c r="M406"/>
      <c r="R406"/>
      <c r="S406"/>
    </row>
    <row r="407" spans="1:19" ht="12.75">
      <c r="A407"/>
      <c r="C407"/>
      <c r="D407"/>
      <c r="E407"/>
      <c r="F407"/>
      <c r="G407"/>
      <c r="H407"/>
      <c r="I407"/>
      <c r="J407"/>
      <c r="K407"/>
      <c r="L407"/>
      <c r="M407"/>
      <c r="R407"/>
      <c r="S407"/>
    </row>
    <row r="408" spans="1:19" ht="12.75">
      <c r="A408"/>
      <c r="C408"/>
      <c r="D408"/>
      <c r="E408"/>
      <c r="F408"/>
      <c r="G408"/>
      <c r="H408"/>
      <c r="I408"/>
      <c r="J408"/>
      <c r="K408"/>
      <c r="L408"/>
      <c r="M408"/>
      <c r="R408"/>
      <c r="S408"/>
    </row>
    <row r="409" spans="1:19" ht="12.75">
      <c r="A409"/>
      <c r="C409"/>
      <c r="D409"/>
      <c r="E409"/>
      <c r="F409"/>
      <c r="G409"/>
      <c r="H409"/>
      <c r="I409"/>
      <c r="J409"/>
      <c r="K409"/>
      <c r="L409"/>
      <c r="M409"/>
      <c r="R409"/>
      <c r="S409"/>
    </row>
    <row r="410" spans="1:19" ht="12.75">
      <c r="A410"/>
      <c r="C410"/>
      <c r="D410"/>
      <c r="E410"/>
      <c r="F410"/>
      <c r="G410"/>
      <c r="H410"/>
      <c r="I410"/>
      <c r="J410"/>
      <c r="K410"/>
      <c r="L410"/>
      <c r="M410"/>
      <c r="R410"/>
      <c r="S410"/>
    </row>
    <row r="411" spans="1:20" s="148" customFormat="1" ht="12.75">
      <c r="A411"/>
      <c r="B411"/>
      <c r="C411"/>
      <c r="D411"/>
      <c r="E411"/>
      <c r="F411"/>
      <c r="G411"/>
      <c r="H411"/>
      <c r="I411"/>
      <c r="J411"/>
      <c r="K411"/>
      <c r="L411"/>
      <c r="M411"/>
      <c r="N411"/>
      <c r="O411"/>
      <c r="P411"/>
      <c r="Q411"/>
      <c r="R411"/>
      <c r="S411"/>
      <c r="T411"/>
    </row>
    <row r="412" spans="1:20" s="23" customFormat="1" ht="12.75">
      <c r="A412"/>
      <c r="B412"/>
      <c r="C412"/>
      <c r="D412"/>
      <c r="E412"/>
      <c r="F412"/>
      <c r="G412"/>
      <c r="H412"/>
      <c r="I412"/>
      <c r="J412"/>
      <c r="K412"/>
      <c r="L412"/>
      <c r="M412"/>
      <c r="N412"/>
      <c r="O412"/>
      <c r="P412"/>
      <c r="Q412"/>
      <c r="R412"/>
      <c r="S412"/>
      <c r="T412"/>
    </row>
    <row r="413" spans="1:20" s="3" customFormat="1" ht="12.75">
      <c r="A413"/>
      <c r="B413"/>
      <c r="C413"/>
      <c r="D413"/>
      <c r="E413"/>
      <c r="F413"/>
      <c r="G413"/>
      <c r="H413"/>
      <c r="I413"/>
      <c r="J413"/>
      <c r="K413"/>
      <c r="L413"/>
      <c r="M413"/>
      <c r="N413"/>
      <c r="O413"/>
      <c r="P413"/>
      <c r="Q413"/>
      <c r="R413"/>
      <c r="S413"/>
      <c r="T413"/>
    </row>
    <row r="414" spans="1:20" s="3" customFormat="1" ht="12.75">
      <c r="A414"/>
      <c r="B414"/>
      <c r="C414"/>
      <c r="D414"/>
      <c r="E414"/>
      <c r="F414"/>
      <c r="G414"/>
      <c r="H414"/>
      <c r="I414"/>
      <c r="J414"/>
      <c r="K414"/>
      <c r="L414"/>
      <c r="M414"/>
      <c r="N414"/>
      <c r="O414"/>
      <c r="P414"/>
      <c r="Q414"/>
      <c r="R414"/>
      <c r="S414"/>
      <c r="T414"/>
    </row>
    <row r="415" spans="1:20" s="3" customFormat="1" ht="12.75">
      <c r="A415"/>
      <c r="B415"/>
      <c r="C415"/>
      <c r="D415"/>
      <c r="E415"/>
      <c r="F415"/>
      <c r="G415"/>
      <c r="H415"/>
      <c r="I415"/>
      <c r="J415"/>
      <c r="K415"/>
      <c r="L415"/>
      <c r="M415"/>
      <c r="N415"/>
      <c r="O415"/>
      <c r="P415"/>
      <c r="Q415"/>
      <c r="R415"/>
      <c r="S415"/>
      <c r="T415"/>
    </row>
    <row r="416" spans="1:20" s="3" customFormat="1" ht="12.75">
      <c r="A416"/>
      <c r="B416"/>
      <c r="C416"/>
      <c r="D416"/>
      <c r="E416"/>
      <c r="F416"/>
      <c r="G416"/>
      <c r="H416"/>
      <c r="I416"/>
      <c r="J416"/>
      <c r="K416"/>
      <c r="L416"/>
      <c r="M416"/>
      <c r="N416"/>
      <c r="O416"/>
      <c r="P416"/>
      <c r="Q416"/>
      <c r="R416"/>
      <c r="S416"/>
      <c r="T416"/>
    </row>
    <row r="417" spans="1:20" s="3" customFormat="1" ht="12.75">
      <c r="A417"/>
      <c r="B417"/>
      <c r="C417"/>
      <c r="D417"/>
      <c r="E417"/>
      <c r="F417"/>
      <c r="G417"/>
      <c r="H417"/>
      <c r="I417"/>
      <c r="J417"/>
      <c r="K417"/>
      <c r="L417"/>
      <c r="M417"/>
      <c r="N417"/>
      <c r="O417"/>
      <c r="P417"/>
      <c r="Q417"/>
      <c r="R417"/>
      <c r="S417"/>
      <c r="T417"/>
    </row>
    <row r="418" spans="1:20" s="3" customFormat="1" ht="12.75">
      <c r="A418"/>
      <c r="B418"/>
      <c r="C418"/>
      <c r="D418"/>
      <c r="E418"/>
      <c r="F418"/>
      <c r="G418"/>
      <c r="H418"/>
      <c r="I418"/>
      <c r="J418"/>
      <c r="K418"/>
      <c r="L418"/>
      <c r="M418"/>
      <c r="N418"/>
      <c r="O418"/>
      <c r="P418"/>
      <c r="Q418"/>
      <c r="R418"/>
      <c r="S418"/>
      <c r="T418"/>
    </row>
    <row r="419" spans="1:20" s="3" customFormat="1" ht="12.75">
      <c r="A419"/>
      <c r="B419"/>
      <c r="C419"/>
      <c r="D419"/>
      <c r="E419"/>
      <c r="F419"/>
      <c r="G419"/>
      <c r="H419"/>
      <c r="I419"/>
      <c r="J419"/>
      <c r="K419"/>
      <c r="L419"/>
      <c r="M419"/>
      <c r="N419"/>
      <c r="O419"/>
      <c r="P419"/>
      <c r="Q419"/>
      <c r="R419"/>
      <c r="S419"/>
      <c r="T419"/>
    </row>
    <row r="420" spans="1:20" s="3" customFormat="1" ht="12.75">
      <c r="A420"/>
      <c r="B420"/>
      <c r="C420"/>
      <c r="D420"/>
      <c r="E420"/>
      <c r="F420"/>
      <c r="G420"/>
      <c r="H420"/>
      <c r="I420"/>
      <c r="J420"/>
      <c r="K420"/>
      <c r="L420"/>
      <c r="M420"/>
      <c r="N420"/>
      <c r="O420"/>
      <c r="P420"/>
      <c r="Q420"/>
      <c r="R420"/>
      <c r="S420"/>
      <c r="T420"/>
    </row>
    <row r="421" spans="1:20" s="3" customFormat="1" ht="12.75">
      <c r="A421"/>
      <c r="B421"/>
      <c r="C421"/>
      <c r="D421"/>
      <c r="E421"/>
      <c r="F421"/>
      <c r="G421"/>
      <c r="H421"/>
      <c r="I421"/>
      <c r="J421"/>
      <c r="K421"/>
      <c r="L421"/>
      <c r="M421"/>
      <c r="N421"/>
      <c r="O421"/>
      <c r="P421"/>
      <c r="Q421"/>
      <c r="R421"/>
      <c r="S421"/>
      <c r="T421"/>
    </row>
    <row r="422" spans="1:20" s="3" customFormat="1" ht="12.75">
      <c r="A422"/>
      <c r="B422"/>
      <c r="C422"/>
      <c r="D422"/>
      <c r="E422"/>
      <c r="F422"/>
      <c r="G422"/>
      <c r="H422"/>
      <c r="I422"/>
      <c r="J422"/>
      <c r="K422"/>
      <c r="L422"/>
      <c r="M422"/>
      <c r="N422"/>
      <c r="O422"/>
      <c r="P422"/>
      <c r="Q422"/>
      <c r="R422"/>
      <c r="S422"/>
      <c r="T422"/>
    </row>
    <row r="423" spans="1:20" s="3" customFormat="1" ht="12.75">
      <c r="A423"/>
      <c r="B423"/>
      <c r="C423"/>
      <c r="D423"/>
      <c r="E423"/>
      <c r="F423"/>
      <c r="G423"/>
      <c r="H423"/>
      <c r="I423"/>
      <c r="J423"/>
      <c r="K423"/>
      <c r="L423"/>
      <c r="M423"/>
      <c r="N423"/>
      <c r="O423"/>
      <c r="P423"/>
      <c r="Q423"/>
      <c r="R423"/>
      <c r="S423"/>
      <c r="T423"/>
    </row>
    <row r="424" spans="1:20" s="3" customFormat="1" ht="12.75">
      <c r="A424"/>
      <c r="B424"/>
      <c r="C424"/>
      <c r="D424"/>
      <c r="E424"/>
      <c r="F424"/>
      <c r="G424"/>
      <c r="H424"/>
      <c r="I424"/>
      <c r="J424"/>
      <c r="K424"/>
      <c r="L424"/>
      <c r="M424"/>
      <c r="N424"/>
      <c r="O424"/>
      <c r="P424"/>
      <c r="Q424"/>
      <c r="R424"/>
      <c r="S424"/>
      <c r="T424"/>
    </row>
    <row r="425" spans="1:20" s="3" customFormat="1" ht="12.75">
      <c r="A425"/>
      <c r="B425"/>
      <c r="C425"/>
      <c r="D425"/>
      <c r="E425"/>
      <c r="F425"/>
      <c r="G425"/>
      <c r="H425"/>
      <c r="I425"/>
      <c r="J425"/>
      <c r="K425"/>
      <c r="L425"/>
      <c r="M425"/>
      <c r="N425"/>
      <c r="O425"/>
      <c r="P425"/>
      <c r="Q425"/>
      <c r="R425"/>
      <c r="S425"/>
      <c r="T425"/>
    </row>
    <row r="426" spans="1:19" ht="12.75">
      <c r="A426"/>
      <c r="C426"/>
      <c r="D426"/>
      <c r="E426"/>
      <c r="F426"/>
      <c r="G426"/>
      <c r="H426"/>
      <c r="I426"/>
      <c r="J426"/>
      <c r="K426"/>
      <c r="L426"/>
      <c r="M426"/>
      <c r="R426"/>
      <c r="S426"/>
    </row>
    <row r="427" spans="1:19" ht="12.75">
      <c r="A427"/>
      <c r="C427"/>
      <c r="D427"/>
      <c r="E427"/>
      <c r="F427"/>
      <c r="G427"/>
      <c r="H427"/>
      <c r="I427"/>
      <c r="J427"/>
      <c r="K427"/>
      <c r="L427"/>
      <c r="M427"/>
      <c r="R427"/>
      <c r="S427"/>
    </row>
    <row r="428" spans="1:19" ht="12.75">
      <c r="A428"/>
      <c r="C428"/>
      <c r="D428"/>
      <c r="E428"/>
      <c r="F428"/>
      <c r="G428"/>
      <c r="H428"/>
      <c r="I428"/>
      <c r="J428"/>
      <c r="K428"/>
      <c r="L428"/>
      <c r="M428"/>
      <c r="R428"/>
      <c r="S428"/>
    </row>
    <row r="429" spans="1:19" ht="12.75">
      <c r="A429"/>
      <c r="C429"/>
      <c r="D429"/>
      <c r="E429"/>
      <c r="F429"/>
      <c r="G429"/>
      <c r="H429"/>
      <c r="I429"/>
      <c r="J429"/>
      <c r="K429"/>
      <c r="L429"/>
      <c r="M429"/>
      <c r="R429"/>
      <c r="S429"/>
    </row>
    <row r="430" spans="1:19" ht="12.75">
      <c r="A430"/>
      <c r="C430"/>
      <c r="D430"/>
      <c r="E430"/>
      <c r="F430"/>
      <c r="G430"/>
      <c r="H430"/>
      <c r="I430"/>
      <c r="J430"/>
      <c r="K430"/>
      <c r="L430"/>
      <c r="M430"/>
      <c r="R430"/>
      <c r="S430"/>
    </row>
    <row r="431" spans="1:19" ht="12.75">
      <c r="A431"/>
      <c r="C431"/>
      <c r="D431"/>
      <c r="E431"/>
      <c r="F431"/>
      <c r="G431"/>
      <c r="H431"/>
      <c r="I431"/>
      <c r="J431"/>
      <c r="K431"/>
      <c r="L431"/>
      <c r="M431"/>
      <c r="R431"/>
      <c r="S431"/>
    </row>
    <row r="432" spans="1:19" ht="12.75">
      <c r="A432"/>
      <c r="C432"/>
      <c r="D432"/>
      <c r="E432"/>
      <c r="F432"/>
      <c r="G432"/>
      <c r="H432"/>
      <c r="I432"/>
      <c r="J432"/>
      <c r="K432"/>
      <c r="L432"/>
      <c r="M432"/>
      <c r="R432"/>
      <c r="S432"/>
    </row>
    <row r="433" spans="1:19" ht="12.75">
      <c r="A433"/>
      <c r="C433"/>
      <c r="D433"/>
      <c r="E433"/>
      <c r="F433"/>
      <c r="G433"/>
      <c r="H433"/>
      <c r="I433"/>
      <c r="J433"/>
      <c r="K433"/>
      <c r="L433"/>
      <c r="M433"/>
      <c r="R433"/>
      <c r="S433"/>
    </row>
    <row r="434" spans="1:19" ht="12.75">
      <c r="A434"/>
      <c r="C434"/>
      <c r="D434"/>
      <c r="E434"/>
      <c r="F434"/>
      <c r="G434"/>
      <c r="H434"/>
      <c r="I434"/>
      <c r="J434"/>
      <c r="K434"/>
      <c r="L434"/>
      <c r="M434"/>
      <c r="R434"/>
      <c r="S434"/>
    </row>
    <row r="435" spans="1:19" ht="12.75">
      <c r="A435"/>
      <c r="C435"/>
      <c r="D435"/>
      <c r="E435"/>
      <c r="F435"/>
      <c r="G435"/>
      <c r="H435"/>
      <c r="I435"/>
      <c r="J435"/>
      <c r="K435"/>
      <c r="L435"/>
      <c r="M435"/>
      <c r="R435"/>
      <c r="S435"/>
    </row>
    <row r="436" spans="1:19" ht="12.75">
      <c r="A436"/>
      <c r="C436"/>
      <c r="D436"/>
      <c r="E436"/>
      <c r="F436"/>
      <c r="G436"/>
      <c r="H436"/>
      <c r="I436"/>
      <c r="J436"/>
      <c r="K436"/>
      <c r="L436"/>
      <c r="M436"/>
      <c r="R436"/>
      <c r="S436"/>
    </row>
    <row r="437" spans="1:19" ht="12.75">
      <c r="A437"/>
      <c r="C437"/>
      <c r="D437"/>
      <c r="E437"/>
      <c r="F437"/>
      <c r="G437"/>
      <c r="H437"/>
      <c r="I437"/>
      <c r="J437"/>
      <c r="K437"/>
      <c r="L437"/>
      <c r="M437"/>
      <c r="R437"/>
      <c r="S437"/>
    </row>
    <row r="438" spans="1:19" ht="12.75">
      <c r="A438"/>
      <c r="C438"/>
      <c r="D438"/>
      <c r="E438"/>
      <c r="F438"/>
      <c r="G438"/>
      <c r="H438"/>
      <c r="I438"/>
      <c r="J438"/>
      <c r="K438"/>
      <c r="L438"/>
      <c r="M438"/>
      <c r="R438"/>
      <c r="S438"/>
    </row>
    <row r="439" spans="1:19" ht="12.75">
      <c r="A439"/>
      <c r="C439"/>
      <c r="D439"/>
      <c r="E439"/>
      <c r="F439"/>
      <c r="G439"/>
      <c r="H439"/>
      <c r="I439"/>
      <c r="J439"/>
      <c r="K439"/>
      <c r="L439"/>
      <c r="M439"/>
      <c r="R439"/>
      <c r="S439"/>
    </row>
    <row r="440" spans="1:20" s="149" customFormat="1" ht="12.75">
      <c r="A440"/>
      <c r="B440"/>
      <c r="C440"/>
      <c r="D440"/>
      <c r="E440"/>
      <c r="F440"/>
      <c r="G440"/>
      <c r="H440"/>
      <c r="I440"/>
      <c r="J440"/>
      <c r="K440"/>
      <c r="L440"/>
      <c r="M440"/>
      <c r="N440"/>
      <c r="O440"/>
      <c r="P440"/>
      <c r="Q440"/>
      <c r="R440"/>
      <c r="S440"/>
      <c r="T440"/>
    </row>
    <row r="441" spans="1:20" s="23" customFormat="1" ht="12.75">
      <c r="A441"/>
      <c r="B441"/>
      <c r="C441"/>
      <c r="D441"/>
      <c r="E441"/>
      <c r="F441"/>
      <c r="G441"/>
      <c r="H441"/>
      <c r="I441"/>
      <c r="J441"/>
      <c r="K441"/>
      <c r="L441"/>
      <c r="M441"/>
      <c r="N441"/>
      <c r="O441"/>
      <c r="P441"/>
      <c r="Q441"/>
      <c r="R441"/>
      <c r="S441"/>
      <c r="T441"/>
    </row>
    <row r="442" spans="1:20" s="3" customFormat="1" ht="12.75">
      <c r="A442"/>
      <c r="B442"/>
      <c r="C442"/>
      <c r="D442"/>
      <c r="E442"/>
      <c r="F442"/>
      <c r="G442"/>
      <c r="H442"/>
      <c r="I442"/>
      <c r="J442"/>
      <c r="K442"/>
      <c r="L442"/>
      <c r="M442"/>
      <c r="N442"/>
      <c r="O442"/>
      <c r="P442"/>
      <c r="Q442"/>
      <c r="R442"/>
      <c r="S442"/>
      <c r="T442"/>
    </row>
    <row r="443" spans="1:20" s="3" customFormat="1" ht="12.75">
      <c r="A443"/>
      <c r="B443"/>
      <c r="C443"/>
      <c r="D443"/>
      <c r="E443"/>
      <c r="F443"/>
      <c r="G443"/>
      <c r="H443"/>
      <c r="I443"/>
      <c r="J443"/>
      <c r="K443"/>
      <c r="L443"/>
      <c r="M443"/>
      <c r="N443"/>
      <c r="O443"/>
      <c r="P443"/>
      <c r="Q443"/>
      <c r="R443"/>
      <c r="S443"/>
      <c r="T443"/>
    </row>
    <row r="444" spans="1:20" s="3" customFormat="1" ht="12.75">
      <c r="A444"/>
      <c r="B444"/>
      <c r="C444"/>
      <c r="D444"/>
      <c r="E444"/>
      <c r="F444"/>
      <c r="G444"/>
      <c r="H444"/>
      <c r="I444"/>
      <c r="J444"/>
      <c r="K444"/>
      <c r="L444"/>
      <c r="M444"/>
      <c r="N444"/>
      <c r="O444"/>
      <c r="P444"/>
      <c r="Q444"/>
      <c r="R444"/>
      <c r="S444"/>
      <c r="T444"/>
    </row>
    <row r="445" spans="1:20" s="3" customFormat="1" ht="12.75">
      <c r="A445"/>
      <c r="B445"/>
      <c r="C445"/>
      <c r="D445"/>
      <c r="E445"/>
      <c r="F445"/>
      <c r="G445"/>
      <c r="H445"/>
      <c r="I445"/>
      <c r="J445"/>
      <c r="K445"/>
      <c r="L445"/>
      <c r="M445"/>
      <c r="N445"/>
      <c r="O445"/>
      <c r="P445"/>
      <c r="Q445"/>
      <c r="R445"/>
      <c r="S445"/>
      <c r="T445"/>
    </row>
    <row r="446" spans="1:20" s="3" customFormat="1" ht="12.75">
      <c r="A446"/>
      <c r="B446"/>
      <c r="C446"/>
      <c r="D446"/>
      <c r="E446"/>
      <c r="F446"/>
      <c r="G446"/>
      <c r="H446"/>
      <c r="I446"/>
      <c r="J446"/>
      <c r="K446"/>
      <c r="L446"/>
      <c r="M446"/>
      <c r="N446"/>
      <c r="O446"/>
      <c r="P446"/>
      <c r="Q446"/>
      <c r="R446"/>
      <c r="S446"/>
      <c r="T446"/>
    </row>
    <row r="447" spans="1:20" s="3" customFormat="1" ht="12.75">
      <c r="A447"/>
      <c r="B447"/>
      <c r="C447"/>
      <c r="D447"/>
      <c r="E447"/>
      <c r="F447"/>
      <c r="G447"/>
      <c r="H447"/>
      <c r="I447"/>
      <c r="J447"/>
      <c r="K447"/>
      <c r="L447"/>
      <c r="M447"/>
      <c r="N447"/>
      <c r="O447"/>
      <c r="P447"/>
      <c r="Q447"/>
      <c r="R447"/>
      <c r="S447"/>
      <c r="T447"/>
    </row>
    <row r="448" spans="1:20" s="3" customFormat="1" ht="12.75">
      <c r="A448"/>
      <c r="B448"/>
      <c r="C448"/>
      <c r="D448"/>
      <c r="E448"/>
      <c r="F448"/>
      <c r="G448"/>
      <c r="H448"/>
      <c r="I448"/>
      <c r="J448"/>
      <c r="K448"/>
      <c r="L448"/>
      <c r="M448"/>
      <c r="N448"/>
      <c r="O448"/>
      <c r="P448"/>
      <c r="Q448"/>
      <c r="R448"/>
      <c r="S448"/>
      <c r="T448"/>
    </row>
    <row r="449" spans="1:20" s="3" customFormat="1" ht="12.75">
      <c r="A449"/>
      <c r="B449"/>
      <c r="C449"/>
      <c r="D449"/>
      <c r="E449"/>
      <c r="F449"/>
      <c r="G449"/>
      <c r="H449"/>
      <c r="I449"/>
      <c r="J449"/>
      <c r="K449"/>
      <c r="L449"/>
      <c r="M449"/>
      <c r="N449"/>
      <c r="O449"/>
      <c r="P449"/>
      <c r="Q449"/>
      <c r="R449"/>
      <c r="S449"/>
      <c r="T449"/>
    </row>
    <row r="450" spans="1:20" s="3" customFormat="1" ht="12.75">
      <c r="A450"/>
      <c r="B450"/>
      <c r="C450"/>
      <c r="D450"/>
      <c r="E450"/>
      <c r="F450"/>
      <c r="G450"/>
      <c r="H450"/>
      <c r="I450"/>
      <c r="J450"/>
      <c r="K450"/>
      <c r="L450"/>
      <c r="M450"/>
      <c r="N450"/>
      <c r="O450"/>
      <c r="P450"/>
      <c r="Q450"/>
      <c r="R450"/>
      <c r="S450"/>
      <c r="T450"/>
    </row>
    <row r="451" spans="1:20" s="3" customFormat="1" ht="12.75">
      <c r="A451"/>
      <c r="B451"/>
      <c r="C451"/>
      <c r="D451"/>
      <c r="E451"/>
      <c r="F451"/>
      <c r="G451"/>
      <c r="H451"/>
      <c r="I451"/>
      <c r="J451"/>
      <c r="K451"/>
      <c r="L451"/>
      <c r="M451"/>
      <c r="N451"/>
      <c r="O451"/>
      <c r="P451"/>
      <c r="Q451"/>
      <c r="R451"/>
      <c r="S451"/>
      <c r="T451"/>
    </row>
    <row r="452" spans="1:20" s="3" customFormat="1" ht="12.75">
      <c r="A452"/>
      <c r="B452"/>
      <c r="C452"/>
      <c r="D452"/>
      <c r="E452"/>
      <c r="F452"/>
      <c r="G452"/>
      <c r="H452"/>
      <c r="I452"/>
      <c r="J452"/>
      <c r="K452"/>
      <c r="L452"/>
      <c r="M452"/>
      <c r="N452"/>
      <c r="O452"/>
      <c r="P452"/>
      <c r="Q452"/>
      <c r="R452"/>
      <c r="S452"/>
      <c r="T452"/>
    </row>
    <row r="453" spans="1:20" s="3" customFormat="1" ht="12.75">
      <c r="A453"/>
      <c r="B453"/>
      <c r="C453"/>
      <c r="D453"/>
      <c r="E453"/>
      <c r="F453"/>
      <c r="G453"/>
      <c r="H453"/>
      <c r="I453"/>
      <c r="J453"/>
      <c r="K453"/>
      <c r="L453"/>
      <c r="M453"/>
      <c r="N453"/>
      <c r="O453"/>
      <c r="P453"/>
      <c r="Q453"/>
      <c r="R453"/>
      <c r="S453"/>
      <c r="T453"/>
    </row>
    <row r="454" spans="1:19" ht="12.75">
      <c r="A454"/>
      <c r="C454"/>
      <c r="D454"/>
      <c r="E454"/>
      <c r="F454"/>
      <c r="G454"/>
      <c r="H454"/>
      <c r="I454"/>
      <c r="J454"/>
      <c r="K454"/>
      <c r="L454"/>
      <c r="M454"/>
      <c r="R454"/>
      <c r="S454"/>
    </row>
    <row r="455" spans="1:19" ht="12.75">
      <c r="A455"/>
      <c r="C455"/>
      <c r="D455"/>
      <c r="E455"/>
      <c r="F455"/>
      <c r="G455"/>
      <c r="H455"/>
      <c r="I455"/>
      <c r="J455"/>
      <c r="K455"/>
      <c r="L455"/>
      <c r="M455"/>
      <c r="R455"/>
      <c r="S455"/>
    </row>
    <row r="456" spans="1:19" ht="12.75">
      <c r="A456"/>
      <c r="C456"/>
      <c r="D456"/>
      <c r="E456"/>
      <c r="F456"/>
      <c r="G456"/>
      <c r="H456"/>
      <c r="I456"/>
      <c r="J456"/>
      <c r="K456"/>
      <c r="L456"/>
      <c r="M456"/>
      <c r="R456"/>
      <c r="S456"/>
    </row>
    <row r="457" spans="1:19" ht="12.75">
      <c r="A457"/>
      <c r="C457"/>
      <c r="D457"/>
      <c r="E457"/>
      <c r="F457"/>
      <c r="G457"/>
      <c r="H457"/>
      <c r="I457"/>
      <c r="J457"/>
      <c r="K457"/>
      <c r="L457"/>
      <c r="M457"/>
      <c r="R457"/>
      <c r="S457"/>
    </row>
    <row r="458" spans="1:19" ht="12.75">
      <c r="A458"/>
      <c r="C458"/>
      <c r="D458"/>
      <c r="E458"/>
      <c r="F458"/>
      <c r="G458"/>
      <c r="H458"/>
      <c r="I458"/>
      <c r="J458"/>
      <c r="K458"/>
      <c r="L458"/>
      <c r="M458"/>
      <c r="R458"/>
      <c r="S458"/>
    </row>
    <row r="459" spans="1:19" ht="12.75">
      <c r="A459"/>
      <c r="C459"/>
      <c r="D459"/>
      <c r="E459"/>
      <c r="F459"/>
      <c r="G459"/>
      <c r="H459"/>
      <c r="I459"/>
      <c r="J459"/>
      <c r="K459"/>
      <c r="L459"/>
      <c r="M459"/>
      <c r="R459"/>
      <c r="S459"/>
    </row>
    <row r="460" spans="1:19" ht="12.75">
      <c r="A460"/>
      <c r="C460"/>
      <c r="D460"/>
      <c r="E460"/>
      <c r="F460"/>
      <c r="G460"/>
      <c r="H460"/>
      <c r="I460"/>
      <c r="J460"/>
      <c r="K460"/>
      <c r="L460"/>
      <c r="M460"/>
      <c r="R460"/>
      <c r="S460"/>
    </row>
    <row r="461" spans="1:19" ht="12.75">
      <c r="A461"/>
      <c r="C461"/>
      <c r="D461"/>
      <c r="E461"/>
      <c r="F461"/>
      <c r="G461"/>
      <c r="H461"/>
      <c r="I461"/>
      <c r="J461"/>
      <c r="K461"/>
      <c r="L461"/>
      <c r="M461"/>
      <c r="R461"/>
      <c r="S461"/>
    </row>
    <row r="462" spans="1:19" ht="12.75">
      <c r="A462"/>
      <c r="C462"/>
      <c r="D462"/>
      <c r="E462"/>
      <c r="F462"/>
      <c r="G462"/>
      <c r="H462"/>
      <c r="I462"/>
      <c r="J462"/>
      <c r="K462"/>
      <c r="L462"/>
      <c r="M462"/>
      <c r="R462"/>
      <c r="S462"/>
    </row>
    <row r="463" spans="1:19" ht="12.75">
      <c r="A463"/>
      <c r="C463"/>
      <c r="D463"/>
      <c r="E463"/>
      <c r="F463"/>
      <c r="G463"/>
      <c r="H463"/>
      <c r="I463"/>
      <c r="J463"/>
      <c r="K463"/>
      <c r="L463"/>
      <c r="M463"/>
      <c r="R463"/>
      <c r="S463"/>
    </row>
    <row r="464" spans="1:19" ht="12.75">
      <c r="A464"/>
      <c r="C464"/>
      <c r="D464"/>
      <c r="E464"/>
      <c r="F464"/>
      <c r="G464"/>
      <c r="H464"/>
      <c r="I464"/>
      <c r="J464"/>
      <c r="K464"/>
      <c r="L464"/>
      <c r="M464"/>
      <c r="R464"/>
      <c r="S464"/>
    </row>
    <row r="465" spans="1:19" ht="12.75">
      <c r="A465"/>
      <c r="C465"/>
      <c r="D465"/>
      <c r="E465"/>
      <c r="F465"/>
      <c r="G465"/>
      <c r="H465"/>
      <c r="I465"/>
      <c r="J465"/>
      <c r="K465"/>
      <c r="L465"/>
      <c r="M465"/>
      <c r="R465"/>
      <c r="S465"/>
    </row>
    <row r="466" spans="1:19" ht="12.75">
      <c r="A466"/>
      <c r="C466"/>
      <c r="D466"/>
      <c r="E466"/>
      <c r="F466"/>
      <c r="G466"/>
      <c r="H466"/>
      <c r="I466"/>
      <c r="J466"/>
      <c r="K466"/>
      <c r="L466"/>
      <c r="M466"/>
      <c r="R466"/>
      <c r="S466"/>
    </row>
    <row r="467" spans="1:19" ht="12.75">
      <c r="A467"/>
      <c r="C467"/>
      <c r="D467"/>
      <c r="E467"/>
      <c r="F467"/>
      <c r="G467"/>
      <c r="H467"/>
      <c r="I467"/>
      <c r="J467"/>
      <c r="K467"/>
      <c r="L467"/>
      <c r="M467"/>
      <c r="R467"/>
      <c r="S467"/>
    </row>
    <row r="468" spans="1:19" ht="12.75">
      <c r="A468"/>
      <c r="C468"/>
      <c r="D468"/>
      <c r="E468"/>
      <c r="F468"/>
      <c r="G468"/>
      <c r="H468"/>
      <c r="I468"/>
      <c r="J468"/>
      <c r="K468"/>
      <c r="L468"/>
      <c r="M468"/>
      <c r="R468"/>
      <c r="S468"/>
    </row>
    <row r="469" spans="1:20" s="148" customFormat="1" ht="12.75">
      <c r="A469"/>
      <c r="B469"/>
      <c r="C469"/>
      <c r="D469"/>
      <c r="E469"/>
      <c r="F469"/>
      <c r="G469"/>
      <c r="H469"/>
      <c r="I469"/>
      <c r="J469"/>
      <c r="K469"/>
      <c r="L469"/>
      <c r="M469"/>
      <c r="N469"/>
      <c r="O469"/>
      <c r="P469"/>
      <c r="Q469"/>
      <c r="R469"/>
      <c r="S469"/>
      <c r="T469"/>
    </row>
    <row r="470" spans="1:20" s="144" customFormat="1" ht="12.75">
      <c r="A470"/>
      <c r="B470"/>
      <c r="C470"/>
      <c r="D470"/>
      <c r="E470"/>
      <c r="F470"/>
      <c r="G470"/>
      <c r="H470"/>
      <c r="I470"/>
      <c r="J470"/>
      <c r="K470"/>
      <c r="L470"/>
      <c r="M470"/>
      <c r="N470"/>
      <c r="O470"/>
      <c r="P470"/>
      <c r="Q470"/>
      <c r="R470"/>
      <c r="S470"/>
      <c r="T470"/>
    </row>
    <row r="471" spans="1:19" ht="12.75">
      <c r="A471"/>
      <c r="C471"/>
      <c r="D471"/>
      <c r="E471"/>
      <c r="F471"/>
      <c r="G471"/>
      <c r="H471"/>
      <c r="I471"/>
      <c r="J471"/>
      <c r="K471"/>
      <c r="L471"/>
      <c r="M471"/>
      <c r="R471"/>
      <c r="S471"/>
    </row>
    <row r="472" spans="1:19" ht="12.75">
      <c r="A472"/>
      <c r="C472"/>
      <c r="D472"/>
      <c r="E472"/>
      <c r="F472"/>
      <c r="G472"/>
      <c r="H472"/>
      <c r="I472"/>
      <c r="J472"/>
      <c r="K472"/>
      <c r="L472"/>
      <c r="M472"/>
      <c r="R472"/>
      <c r="S472"/>
    </row>
    <row r="473" spans="1:19" ht="12.75">
      <c r="A473"/>
      <c r="C473"/>
      <c r="D473"/>
      <c r="E473"/>
      <c r="F473"/>
      <c r="G473"/>
      <c r="H473"/>
      <c r="I473"/>
      <c r="J473"/>
      <c r="K473"/>
      <c r="L473"/>
      <c r="M473"/>
      <c r="R473"/>
      <c r="S473"/>
    </row>
    <row r="474" spans="1:19" ht="12.75">
      <c r="A474"/>
      <c r="C474"/>
      <c r="D474"/>
      <c r="E474"/>
      <c r="F474"/>
      <c r="G474"/>
      <c r="H474"/>
      <c r="I474"/>
      <c r="J474"/>
      <c r="K474"/>
      <c r="L474"/>
      <c r="M474"/>
      <c r="R474"/>
      <c r="S474"/>
    </row>
    <row r="475" spans="1:19" ht="12.75">
      <c r="A475"/>
      <c r="C475"/>
      <c r="D475"/>
      <c r="E475"/>
      <c r="F475"/>
      <c r="G475"/>
      <c r="H475"/>
      <c r="I475"/>
      <c r="J475"/>
      <c r="K475"/>
      <c r="L475"/>
      <c r="M475"/>
      <c r="R475"/>
      <c r="S475"/>
    </row>
    <row r="476" spans="1:19" ht="12.75">
      <c r="A476"/>
      <c r="C476"/>
      <c r="D476"/>
      <c r="E476"/>
      <c r="F476"/>
      <c r="G476"/>
      <c r="H476"/>
      <c r="I476"/>
      <c r="J476"/>
      <c r="K476"/>
      <c r="L476"/>
      <c r="M476"/>
      <c r="R476"/>
      <c r="S476"/>
    </row>
    <row r="477" spans="1:19" ht="12.75">
      <c r="A477"/>
      <c r="C477"/>
      <c r="D477"/>
      <c r="E477"/>
      <c r="F477"/>
      <c r="G477"/>
      <c r="H477"/>
      <c r="I477"/>
      <c r="J477"/>
      <c r="K477"/>
      <c r="L477"/>
      <c r="M477"/>
      <c r="R477"/>
      <c r="S477"/>
    </row>
    <row r="478" spans="1:19" ht="12.75">
      <c r="A478"/>
      <c r="C478"/>
      <c r="D478"/>
      <c r="E478"/>
      <c r="F478"/>
      <c r="G478"/>
      <c r="H478"/>
      <c r="I478"/>
      <c r="J478"/>
      <c r="K478"/>
      <c r="L478"/>
      <c r="M478"/>
      <c r="R478"/>
      <c r="S478"/>
    </row>
    <row r="479" spans="1:19" ht="12.75">
      <c r="A479"/>
      <c r="C479"/>
      <c r="D479"/>
      <c r="E479"/>
      <c r="F479"/>
      <c r="G479"/>
      <c r="H479"/>
      <c r="I479"/>
      <c r="J479"/>
      <c r="K479"/>
      <c r="L479"/>
      <c r="M479"/>
      <c r="R479"/>
      <c r="S479"/>
    </row>
    <row r="480" spans="1:19" ht="12.75">
      <c r="A480"/>
      <c r="C480"/>
      <c r="D480"/>
      <c r="E480"/>
      <c r="F480"/>
      <c r="G480"/>
      <c r="H480"/>
      <c r="I480"/>
      <c r="J480"/>
      <c r="K480"/>
      <c r="L480"/>
      <c r="M480"/>
      <c r="R480"/>
      <c r="S480"/>
    </row>
    <row r="481" spans="1:19" ht="12.75">
      <c r="A481"/>
      <c r="C481"/>
      <c r="D481"/>
      <c r="E481"/>
      <c r="F481"/>
      <c r="G481"/>
      <c r="H481"/>
      <c r="I481"/>
      <c r="J481"/>
      <c r="K481"/>
      <c r="L481"/>
      <c r="M481"/>
      <c r="R481"/>
      <c r="S481"/>
    </row>
    <row r="482" spans="1:19" ht="12.75">
      <c r="A482"/>
      <c r="C482"/>
      <c r="D482"/>
      <c r="E482"/>
      <c r="F482"/>
      <c r="G482"/>
      <c r="H482"/>
      <c r="I482"/>
      <c r="J482"/>
      <c r="K482"/>
      <c r="L482"/>
      <c r="M482"/>
      <c r="R482"/>
      <c r="S482"/>
    </row>
    <row r="483" spans="1:19" ht="12.75">
      <c r="A483"/>
      <c r="C483"/>
      <c r="D483"/>
      <c r="E483"/>
      <c r="F483"/>
      <c r="G483"/>
      <c r="H483"/>
      <c r="I483"/>
      <c r="J483"/>
      <c r="K483"/>
      <c r="L483"/>
      <c r="M483"/>
      <c r="R483"/>
      <c r="S483"/>
    </row>
    <row r="484" spans="1:19" ht="12.75">
      <c r="A484"/>
      <c r="C484"/>
      <c r="D484"/>
      <c r="E484"/>
      <c r="F484"/>
      <c r="G484"/>
      <c r="H484"/>
      <c r="I484"/>
      <c r="J484"/>
      <c r="K484"/>
      <c r="L484"/>
      <c r="M484"/>
      <c r="R484"/>
      <c r="S484"/>
    </row>
    <row r="485" spans="1:19" ht="12.75">
      <c r="A485"/>
      <c r="C485"/>
      <c r="D485"/>
      <c r="E485"/>
      <c r="F485"/>
      <c r="G485"/>
      <c r="H485"/>
      <c r="I485"/>
      <c r="J485"/>
      <c r="K485"/>
      <c r="L485"/>
      <c r="M485"/>
      <c r="R485"/>
      <c r="S485"/>
    </row>
    <row r="486" spans="1:19" ht="12.75">
      <c r="A486"/>
      <c r="C486"/>
      <c r="D486"/>
      <c r="E486"/>
      <c r="F486"/>
      <c r="G486"/>
      <c r="H486"/>
      <c r="I486"/>
      <c r="J486"/>
      <c r="K486"/>
      <c r="L486"/>
      <c r="M486"/>
      <c r="R486"/>
      <c r="S486"/>
    </row>
    <row r="487" spans="1:19" ht="12.75">
      <c r="A487"/>
      <c r="C487"/>
      <c r="D487"/>
      <c r="E487"/>
      <c r="F487"/>
      <c r="G487"/>
      <c r="H487"/>
      <c r="I487"/>
      <c r="J487"/>
      <c r="K487"/>
      <c r="L487"/>
      <c r="M487"/>
      <c r="R487"/>
      <c r="S487"/>
    </row>
    <row r="488" spans="1:19" ht="12.75">
      <c r="A488"/>
      <c r="C488"/>
      <c r="D488"/>
      <c r="E488"/>
      <c r="F488"/>
      <c r="G488"/>
      <c r="H488"/>
      <c r="I488"/>
      <c r="J488"/>
      <c r="K488"/>
      <c r="L488"/>
      <c r="M488"/>
      <c r="R488"/>
      <c r="S488"/>
    </row>
    <row r="489" spans="1:19" ht="12.75">
      <c r="A489"/>
      <c r="C489"/>
      <c r="D489"/>
      <c r="E489"/>
      <c r="F489"/>
      <c r="G489"/>
      <c r="H489"/>
      <c r="I489"/>
      <c r="J489"/>
      <c r="K489"/>
      <c r="L489"/>
      <c r="M489"/>
      <c r="R489"/>
      <c r="S489"/>
    </row>
    <row r="490" spans="1:19" ht="12.75">
      <c r="A490"/>
      <c r="C490"/>
      <c r="D490"/>
      <c r="E490"/>
      <c r="F490"/>
      <c r="G490"/>
      <c r="H490"/>
      <c r="I490"/>
      <c r="J490"/>
      <c r="K490"/>
      <c r="L490"/>
      <c r="M490"/>
      <c r="R490"/>
      <c r="S490"/>
    </row>
    <row r="491" spans="1:19" ht="12.75">
      <c r="A491"/>
      <c r="C491"/>
      <c r="D491"/>
      <c r="E491"/>
      <c r="F491"/>
      <c r="G491"/>
      <c r="H491"/>
      <c r="I491"/>
      <c r="J491"/>
      <c r="K491"/>
      <c r="L491"/>
      <c r="M491"/>
      <c r="R491"/>
      <c r="S491"/>
    </row>
    <row r="492" spans="1:19" ht="12.75">
      <c r="A492"/>
      <c r="C492"/>
      <c r="D492"/>
      <c r="E492"/>
      <c r="F492"/>
      <c r="G492"/>
      <c r="H492"/>
      <c r="I492"/>
      <c r="J492"/>
      <c r="K492"/>
      <c r="L492"/>
      <c r="M492"/>
      <c r="R492"/>
      <c r="S492"/>
    </row>
    <row r="493" spans="1:19" ht="12.75">
      <c r="A493"/>
      <c r="C493"/>
      <c r="D493"/>
      <c r="E493"/>
      <c r="F493"/>
      <c r="G493"/>
      <c r="H493"/>
      <c r="I493"/>
      <c r="J493"/>
      <c r="K493"/>
      <c r="L493"/>
      <c r="M493"/>
      <c r="R493"/>
      <c r="S493"/>
    </row>
    <row r="494" spans="1:19" ht="12.75">
      <c r="A494"/>
      <c r="C494"/>
      <c r="D494"/>
      <c r="E494"/>
      <c r="F494"/>
      <c r="G494"/>
      <c r="H494"/>
      <c r="I494"/>
      <c r="J494"/>
      <c r="K494"/>
      <c r="L494"/>
      <c r="M494"/>
      <c r="R494"/>
      <c r="S494"/>
    </row>
    <row r="495" spans="1:19" ht="12.75">
      <c r="A495"/>
      <c r="C495"/>
      <c r="D495"/>
      <c r="E495"/>
      <c r="F495"/>
      <c r="G495"/>
      <c r="H495"/>
      <c r="I495"/>
      <c r="J495"/>
      <c r="K495"/>
      <c r="L495"/>
      <c r="M495"/>
      <c r="R495"/>
      <c r="S495"/>
    </row>
    <row r="496" spans="1:19" ht="12.75">
      <c r="A496"/>
      <c r="C496"/>
      <c r="D496"/>
      <c r="E496"/>
      <c r="F496"/>
      <c r="G496"/>
      <c r="H496"/>
      <c r="I496"/>
      <c r="J496"/>
      <c r="K496"/>
      <c r="L496"/>
      <c r="M496"/>
      <c r="R496"/>
      <c r="S496"/>
    </row>
    <row r="497" spans="1:19" ht="12.75">
      <c r="A497"/>
      <c r="C497"/>
      <c r="D497"/>
      <c r="E497"/>
      <c r="F497"/>
      <c r="G497"/>
      <c r="H497"/>
      <c r="I497"/>
      <c r="J497"/>
      <c r="K497"/>
      <c r="L497"/>
      <c r="M497"/>
      <c r="R497"/>
      <c r="S497"/>
    </row>
    <row r="498" spans="1:19" ht="12.75">
      <c r="A498"/>
      <c r="C498"/>
      <c r="D498"/>
      <c r="E498"/>
      <c r="F498"/>
      <c r="G498"/>
      <c r="H498"/>
      <c r="I498"/>
      <c r="J498"/>
      <c r="K498"/>
      <c r="L498"/>
      <c r="M498"/>
      <c r="R498"/>
      <c r="S498"/>
    </row>
  </sheetData>
  <printOptions/>
  <pageMargins left="0.5" right="0.5" top="1.25" bottom="1.25" header="0.5" footer="0.5"/>
  <pageSetup horizontalDpi="600" verticalDpi="600" orientation="landscape" pageOrder="overThenDown" scale="76" r:id="rId2"/>
  <headerFooter alignWithMargins="0">
    <oddHeader>&amp;L&amp;"Arial,Bold"Instruction Types&amp;R&amp;"Arial,Bold"SREB-State Data Exchange, 2003-04</oddHeader>
    <oddFooter>&amp;L&amp;"Arial,Bold"Preliminary Tables&amp;C&amp;"Arial,Bold"For Agency Review Only&amp;R&amp;"Arial,Bold"September 2004</oddFooter>
  </headerFooter>
  <rowBreaks count="16" manualBreakCount="16">
    <brk id="34" max="16" man="1"/>
    <brk id="63" max="16" man="1"/>
    <brk id="92" max="16" man="1"/>
    <brk id="121" max="16" man="1"/>
    <brk id="150" max="16" man="1"/>
    <brk id="179" max="16" man="1"/>
    <brk id="208" max="16" man="1"/>
    <brk id="237" max="16" man="1"/>
    <brk id="266" max="16" man="1"/>
    <brk id="295" max="16" man="1"/>
    <brk id="324" max="16" man="1"/>
    <brk id="353" max="16" man="1"/>
    <brk id="382" max="16" man="1"/>
    <brk id="411" max="16" man="1"/>
    <brk id="440" max="16" man="1"/>
    <brk id="469" max="16" man="1"/>
  </rowBreaks>
  <colBreaks count="1" manualBreakCount="1">
    <brk id="17" max="497" man="1"/>
  </colBreaks>
  <legacyDrawing r:id="rId1"/>
</worksheet>
</file>

<file path=xl/worksheets/sheet3.xml><?xml version="1.0" encoding="utf-8"?>
<worksheet xmlns="http://schemas.openxmlformats.org/spreadsheetml/2006/main" xmlns:r="http://schemas.openxmlformats.org/officeDocument/2006/relationships">
  <sheetPr>
    <tabColor indexed="16"/>
  </sheetPr>
  <dimension ref="A1:N117"/>
  <sheetViews>
    <sheetView showGridLines="0" showZeros="0" tabSelected="1" view="pageBreakPreview" zoomScale="75" zoomScaleNormal="75" zoomScaleSheetLayoutView="75" workbookViewId="0" topLeftCell="A1">
      <selection activeCell="O37" sqref="O37"/>
    </sheetView>
  </sheetViews>
  <sheetFormatPr defaultColWidth="9.140625" defaultRowHeight="12.75"/>
  <cols>
    <col min="1" max="1" width="13.28125" style="0" customWidth="1"/>
    <col min="2" max="8" width="7.7109375" style="0" customWidth="1"/>
    <col min="9" max="9" width="10.8515625" style="0" customWidth="1"/>
    <col min="10" max="12" width="7.7109375" style="0" customWidth="1"/>
    <col min="13" max="13" width="7.7109375" style="1" customWidth="1"/>
  </cols>
  <sheetData>
    <row r="1" spans="1:13" ht="18">
      <c r="A1" s="113" t="s">
        <v>573</v>
      </c>
      <c r="B1" s="8"/>
      <c r="C1" s="8"/>
      <c r="D1" s="8"/>
      <c r="E1" s="8"/>
      <c r="F1" s="8"/>
      <c r="G1" s="19"/>
      <c r="H1" s="19"/>
      <c r="I1" s="19"/>
      <c r="J1" s="19"/>
      <c r="K1" s="19"/>
      <c r="L1" s="19"/>
      <c r="M1" s="179"/>
    </row>
    <row r="2" spans="1:13" s="11" customFormat="1" ht="12.75">
      <c r="A2" s="293"/>
      <c r="B2" s="10"/>
      <c r="C2" s="10"/>
      <c r="D2" s="10"/>
      <c r="E2" s="10"/>
      <c r="F2" s="10"/>
      <c r="G2" s="10"/>
      <c r="H2" s="10"/>
      <c r="I2" s="10"/>
      <c r="J2" s="10"/>
      <c r="K2" s="10"/>
      <c r="L2" s="10"/>
      <c r="M2" s="292"/>
    </row>
    <row r="3" spans="1:13" ht="15.75">
      <c r="A3" s="9" t="s">
        <v>619</v>
      </c>
      <c r="B3" s="10"/>
      <c r="C3" s="10"/>
      <c r="D3" s="10"/>
      <c r="E3" s="10"/>
      <c r="F3" s="10"/>
      <c r="G3" s="19"/>
      <c r="H3" s="19"/>
      <c r="I3" s="19"/>
      <c r="J3" s="19"/>
      <c r="K3" s="19"/>
      <c r="L3" s="19"/>
      <c r="M3" s="179"/>
    </row>
    <row r="4" spans="1:13" ht="15.75">
      <c r="A4" s="9" t="s">
        <v>545</v>
      </c>
      <c r="B4" s="10"/>
      <c r="C4" s="10"/>
      <c r="D4" s="10"/>
      <c r="E4" s="10"/>
      <c r="F4" s="10"/>
      <c r="G4" s="19"/>
      <c r="H4" s="19"/>
      <c r="I4" s="19"/>
      <c r="J4" s="19"/>
      <c r="K4" s="19"/>
      <c r="L4" s="19"/>
      <c r="M4" s="179"/>
    </row>
    <row r="5" spans="1:12" ht="12.75">
      <c r="A5" s="20"/>
      <c r="B5" s="2"/>
      <c r="C5" s="2"/>
      <c r="D5" s="2"/>
      <c r="E5" s="2"/>
      <c r="F5" s="2"/>
      <c r="G5" s="2"/>
      <c r="H5" s="2"/>
      <c r="I5" s="2"/>
      <c r="J5" s="2"/>
      <c r="K5" s="2"/>
      <c r="L5" s="2"/>
    </row>
    <row r="6" spans="1:13" s="145" customFormat="1" ht="18" customHeight="1">
      <c r="A6" s="21"/>
      <c r="B6" s="367" t="s">
        <v>167</v>
      </c>
      <c r="C6" s="367"/>
      <c r="D6" s="367"/>
      <c r="E6" s="367"/>
      <c r="F6" s="367"/>
      <c r="G6" s="367"/>
      <c r="H6" s="368"/>
      <c r="I6" s="369" t="s">
        <v>172</v>
      </c>
      <c r="J6" s="367"/>
      <c r="K6" s="367"/>
      <c r="L6" s="367"/>
      <c r="M6" s="367"/>
    </row>
    <row r="7" spans="1:13" s="297" customFormat="1" ht="18" customHeight="1">
      <c r="A7" s="22"/>
      <c r="B7" s="294">
        <v>1</v>
      </c>
      <c r="C7" s="294">
        <v>2</v>
      </c>
      <c r="D7" s="294">
        <v>3</v>
      </c>
      <c r="E7" s="294">
        <v>4</v>
      </c>
      <c r="F7" s="294">
        <v>5</v>
      </c>
      <c r="G7" s="294">
        <v>6</v>
      </c>
      <c r="H7" s="296" t="s">
        <v>597</v>
      </c>
      <c r="I7" s="295" t="s">
        <v>278</v>
      </c>
      <c r="J7" s="294">
        <v>1</v>
      </c>
      <c r="K7" s="294">
        <v>2</v>
      </c>
      <c r="L7" s="294">
        <v>3</v>
      </c>
      <c r="M7" s="295" t="s">
        <v>597</v>
      </c>
    </row>
    <row r="8" spans="1:13" ht="15.75" customHeight="1">
      <c r="A8" s="11" t="s">
        <v>534</v>
      </c>
      <c r="B8" s="323">
        <f>'Tables by type'!B40+'Tables by type'!C40</f>
        <v>0</v>
      </c>
      <c r="C8" s="323">
        <f>'Tables by type'!B70+'Tables by type'!C70</f>
        <v>0</v>
      </c>
      <c r="D8" s="323">
        <f>'Tables by type'!B100+'Tables by type'!C100</f>
        <v>0</v>
      </c>
      <c r="E8" s="323">
        <f>'Tables by type'!B131+'Tables by type'!C131</f>
        <v>0</v>
      </c>
      <c r="F8" s="323">
        <f>'Tables by type'!B160+'Tables by type'!C160</f>
        <v>0</v>
      </c>
      <c r="G8" s="323">
        <f>'Tables by type'!B189+'Tables by type'!C189</f>
        <v>0</v>
      </c>
      <c r="H8" s="324">
        <f>+'Tables by type'!B9+'Tables by type'!C9</f>
        <v>0</v>
      </c>
      <c r="I8" s="325">
        <f>'Tables by type'!B251+'Tables by type'!C251</f>
        <v>0</v>
      </c>
      <c r="J8" s="323">
        <f>'Tables by type'!B282+'Tables by type'!C282</f>
        <v>0</v>
      </c>
      <c r="K8" s="323">
        <f>'Tables by type'!B313+'Tables by type'!C313</f>
        <v>0</v>
      </c>
      <c r="L8" s="323">
        <f>'Tables by type'!B344+'Tables by type'!C344</f>
        <v>0</v>
      </c>
      <c r="M8" s="325">
        <f>+'Tables by type'!B219+'Tables by type'!C219</f>
        <v>0</v>
      </c>
    </row>
    <row r="9" spans="1:13" ht="15.75" customHeight="1">
      <c r="A9" s="11" t="s">
        <v>535</v>
      </c>
      <c r="B9" s="323">
        <f>'Tables by type'!B41+'Tables by type'!C41</f>
        <v>0</v>
      </c>
      <c r="C9" s="323">
        <f>'Tables by type'!B71+'Tables by type'!C71</f>
        <v>99.35593063533484</v>
      </c>
      <c r="D9" s="323">
        <f>'Tables by type'!B101+'Tables by type'!C101</f>
        <v>94.01829167873429</v>
      </c>
      <c r="E9" s="323">
        <f>'Tables by type'!B132+'Tables by type'!C132</f>
        <v>0</v>
      </c>
      <c r="F9" s="323">
        <f>'Tables by type'!B161+'Tables by type'!C161</f>
        <v>98.13297663167177</v>
      </c>
      <c r="G9" s="323">
        <f>'Tables by type'!B190+'Tables by type'!C190</f>
        <v>97.48644437519476</v>
      </c>
      <c r="H9" s="324">
        <f>+'Tables by type'!B10+'Tables by type'!C10</f>
        <v>96.50507752286528</v>
      </c>
      <c r="I9" s="325">
        <f>'Tables by type'!B252+'Tables by type'!C252</f>
        <v>93.31710942395408</v>
      </c>
      <c r="J9" s="323">
        <f>'Tables by type'!B283+'Tables by type'!C283</f>
        <v>0</v>
      </c>
      <c r="K9" s="323">
        <f>'Tables by type'!B314+'Tables by type'!C314</f>
        <v>94.5662091059387</v>
      </c>
      <c r="L9" s="323">
        <f>'Tables by type'!B345+'Tables by type'!C345</f>
        <v>93.05817932704055</v>
      </c>
      <c r="M9" s="325">
        <f>+'Tables by type'!B220+'Tables by type'!C220</f>
        <v>93.50859848854657</v>
      </c>
    </row>
    <row r="10" spans="1:13" ht="15.75" customHeight="1">
      <c r="A10" s="11" t="s">
        <v>536</v>
      </c>
      <c r="B10" s="323">
        <f>'Tables by type'!B42+'Tables by type'!C42</f>
        <v>0</v>
      </c>
      <c r="C10" s="323">
        <f>'Tables by type'!B72+'Tables by type'!C72</f>
        <v>0</v>
      </c>
      <c r="D10" s="323">
        <f>'Tables by type'!B102+'Tables by type'!C102</f>
        <v>0</v>
      </c>
      <c r="E10" s="323">
        <f>'Tables by type'!B133+'Tables by type'!C133</f>
        <v>0</v>
      </c>
      <c r="F10" s="323">
        <f>'Tables by type'!B162+'Tables by type'!C162</f>
        <v>0</v>
      </c>
      <c r="G10" s="323">
        <f>'Tables by type'!B191+'Tables by type'!C191</f>
        <v>0</v>
      </c>
      <c r="H10" s="324">
        <f>+'Tables by type'!B11+'Tables by type'!C11</f>
        <v>0</v>
      </c>
      <c r="I10" s="325">
        <f>'Tables by type'!B253+'Tables by type'!C253</f>
        <v>0</v>
      </c>
      <c r="J10" s="323">
        <f>'Tables by type'!B284+'Tables by type'!C284</f>
        <v>0</v>
      </c>
      <c r="K10" s="323">
        <f>'Tables by type'!B315+'Tables by type'!C315</f>
        <v>0</v>
      </c>
      <c r="L10" s="323">
        <f>'Tables by type'!B346+'Tables by type'!C346</f>
        <v>0</v>
      </c>
      <c r="M10" s="325">
        <f>+'Tables by type'!B221+'Tables by type'!C221</f>
        <v>0</v>
      </c>
    </row>
    <row r="11" spans="1:13" ht="15.75" customHeight="1">
      <c r="A11" s="11" t="s">
        <v>537</v>
      </c>
      <c r="B11" s="323">
        <f>'Tables by type'!B43+'Tables by type'!C43</f>
        <v>85.67675995613673</v>
      </c>
      <c r="C11" s="323">
        <f>'Tables by type'!B73+'Tables by type'!C73</f>
        <v>92.84876400331063</v>
      </c>
      <c r="D11" s="323">
        <f>'Tables by type'!B103+'Tables by type'!C103</f>
        <v>98.15510648805797</v>
      </c>
      <c r="E11" s="323">
        <f>'Tables by type'!B134+'Tables by type'!C134</f>
        <v>0</v>
      </c>
      <c r="F11" s="323">
        <f>'Tables by type'!B163+'Tables by type'!C163</f>
        <v>88.14033855706683</v>
      </c>
      <c r="G11" s="323">
        <f>'Tables by type'!B192+'Tables by type'!C192</f>
        <v>100</v>
      </c>
      <c r="H11" s="324">
        <f>+'Tables by type'!B12+'Tables by type'!C12</f>
        <v>90.1908611715048</v>
      </c>
      <c r="I11" s="325">
        <f>'Tables by type'!B254+'Tables by type'!C254</f>
        <v>0</v>
      </c>
      <c r="J11" s="323">
        <f>'Tables by type'!B285+'Tables by type'!C285</f>
        <v>92.87228089457166</v>
      </c>
      <c r="K11" s="323">
        <f>'Tables by type'!B316+'Tables by type'!C316</f>
        <v>90.88479629820159</v>
      </c>
      <c r="L11" s="323">
        <f>'Tables by type'!B347+'Tables by type'!C347</f>
        <v>92.21467533698977</v>
      </c>
      <c r="M11" s="325">
        <f>+'Tables by type'!B222+'Tables by type'!C222</f>
        <v>92.65141395174543</v>
      </c>
    </row>
    <row r="12" spans="1:13" ht="15.75" customHeight="1">
      <c r="A12" s="11"/>
      <c r="B12" s="323"/>
      <c r="C12" s="323"/>
      <c r="D12" s="323"/>
      <c r="E12" s="323"/>
      <c r="F12" s="323"/>
      <c r="G12" s="323"/>
      <c r="H12" s="324"/>
      <c r="I12" s="325"/>
      <c r="J12" s="323"/>
      <c r="K12" s="323"/>
      <c r="L12" s="323"/>
      <c r="M12" s="325"/>
    </row>
    <row r="13" spans="1:13" ht="15.75" customHeight="1">
      <c r="A13" s="11" t="s">
        <v>538</v>
      </c>
      <c r="B13" s="323">
        <f>'Tables by type'!B45+'Tables by type'!C45</f>
        <v>99.83100729903799</v>
      </c>
      <c r="C13" s="323">
        <f>'Tables by type'!B75+'Tables by type'!C75</f>
        <v>99.47532889506867</v>
      </c>
      <c r="D13" s="323">
        <f>'Tables by type'!B105+'Tables by type'!C105</f>
        <v>98.02294633571094</v>
      </c>
      <c r="E13" s="323">
        <f>'Tables by type'!B136+'Tables by type'!C136</f>
        <v>97.20736453599825</v>
      </c>
      <c r="F13" s="323">
        <f>'Tables by type'!B165+'Tables by type'!C165</f>
        <v>98.13051667720735</v>
      </c>
      <c r="G13" s="323">
        <f>'Tables by type'!B194+'Tables by type'!C194</f>
        <v>87.12901634197031</v>
      </c>
      <c r="H13" s="324">
        <f>+'Tables by type'!B14+'Tables by type'!C14</f>
        <v>98.1710078067332</v>
      </c>
      <c r="I13" s="325">
        <f>'Tables by type'!B256+'Tables by type'!C256</f>
        <v>96.68106387815413</v>
      </c>
      <c r="J13" s="323">
        <f>'Tables by type'!B287+'Tables by type'!C287</f>
        <v>95.10633992805755</v>
      </c>
      <c r="K13" s="323">
        <f>'Tables by type'!B318+'Tables by type'!C318</f>
        <v>96.88678550741145</v>
      </c>
      <c r="L13" s="323">
        <f>'Tables by type'!B349+'Tables by type'!C349</f>
        <v>97.32108813760429</v>
      </c>
      <c r="M13" s="325">
        <f>+'Tables by type'!B224+'Tables by type'!C224</f>
        <v>96.39269108875953</v>
      </c>
    </row>
    <row r="14" spans="1:13" ht="15.75" customHeight="1">
      <c r="A14" s="11" t="s">
        <v>539</v>
      </c>
      <c r="B14" s="323">
        <f>'Tables by type'!B46+'Tables by type'!C46</f>
        <v>98.90420408064477</v>
      </c>
      <c r="C14" s="323">
        <f>'Tables by type'!B76+'Tables by type'!C76</f>
        <v>89.97575006037769</v>
      </c>
      <c r="D14" s="323">
        <f>'Tables by type'!B106+'Tables by type'!C106</f>
        <v>95.92419674857744</v>
      </c>
      <c r="E14" s="323">
        <f>'Tables by type'!B137+'Tables by type'!C137</f>
        <v>97.80606847702306</v>
      </c>
      <c r="F14" s="323">
        <f>'Tables by type'!B166+'Tables by type'!C166</f>
        <v>0</v>
      </c>
      <c r="G14" s="323">
        <f>'Tables by type'!B195+'Tables by type'!C195</f>
        <v>94.35547208468499</v>
      </c>
      <c r="H14" s="324">
        <f>+'Tables by type'!B15+'Tables by type'!C15</f>
        <v>96.03001037131622</v>
      </c>
      <c r="I14" s="325">
        <f>'Tables by type'!B257+'Tables by type'!C257</f>
        <v>0</v>
      </c>
      <c r="J14" s="323">
        <f>'Tables by type'!B288+'Tables by type'!C288</f>
        <v>94.58895500562738</v>
      </c>
      <c r="K14" s="323">
        <f>'Tables by type'!B319+'Tables by type'!C319</f>
        <v>89.58761928168195</v>
      </c>
      <c r="L14" s="323">
        <f>'Tables by type'!B350+'Tables by type'!C350</f>
        <v>89.29673839879237</v>
      </c>
      <c r="M14" s="325">
        <f>+'Tables by type'!B225+'Tables by type'!C225</f>
        <v>91.13686386045865</v>
      </c>
    </row>
    <row r="15" spans="1:13" ht="15.75" customHeight="1">
      <c r="A15" s="11" t="s">
        <v>540</v>
      </c>
      <c r="B15" s="323">
        <f>'Tables by type'!B47+'Tables by type'!C47</f>
        <v>0</v>
      </c>
      <c r="C15" s="323">
        <f>'Tables by type'!B77+'Tables by type'!C77</f>
        <v>0</v>
      </c>
      <c r="D15" s="323">
        <f>'Tables by type'!B107+'Tables by type'!C107</f>
        <v>0</v>
      </c>
      <c r="E15" s="323">
        <f>'Tables by type'!B138+'Tables by type'!C138</f>
        <v>0</v>
      </c>
      <c r="F15" s="323">
        <f>'Tables by type'!B167+'Tables by type'!C167</f>
        <v>0</v>
      </c>
      <c r="G15" s="323">
        <f>'Tables by type'!B196+'Tables by type'!C196</f>
        <v>0</v>
      </c>
      <c r="H15" s="324">
        <f>+'Tables by type'!B16+'Tables by type'!C16</f>
        <v>0</v>
      </c>
      <c r="I15" s="325">
        <f>'Tables by type'!B258+'Tables by type'!C258</f>
        <v>0</v>
      </c>
      <c r="J15" s="323">
        <f>'Tables by type'!B289+'Tables by type'!C289</f>
        <v>0</v>
      </c>
      <c r="K15" s="323">
        <f>'Tables by type'!B320+'Tables by type'!C320</f>
        <v>0</v>
      </c>
      <c r="L15" s="323">
        <f>'Tables by type'!B351+'Tables by type'!C351</f>
        <v>0</v>
      </c>
      <c r="M15" s="325">
        <f>+'Tables by type'!B226+'Tables by type'!C226</f>
        <v>0</v>
      </c>
    </row>
    <row r="16" spans="1:13" ht="15.75" customHeight="1">
      <c r="A16" s="11" t="s">
        <v>566</v>
      </c>
      <c r="B16" s="323">
        <f>'Tables by type'!B48+'Tables by type'!C48</f>
        <v>0</v>
      </c>
      <c r="C16" s="323">
        <f>'Tables by type'!B78+'Tables by type'!C78</f>
        <v>100</v>
      </c>
      <c r="D16" s="323">
        <f>'Tables by type'!B108+'Tables by type'!C108</f>
        <v>99.92701654798408</v>
      </c>
      <c r="E16" s="323">
        <f>'Tables by type'!B139+'Tables by type'!C139</f>
        <v>98.52762949268553</v>
      </c>
      <c r="F16" s="323">
        <f>'Tables by type'!B168+'Tables by type'!C168</f>
        <v>0</v>
      </c>
      <c r="G16" s="323">
        <f>'Tables by type'!B197+'Tables by type'!C197</f>
        <v>0</v>
      </c>
      <c r="H16" s="324">
        <f>+'Tables by type'!B17+'Tables by type'!C17</f>
        <v>86.01560083568948</v>
      </c>
      <c r="I16" s="325">
        <f>'Tables by type'!B259+'Tables by type'!C259</f>
        <v>0</v>
      </c>
      <c r="J16" s="323">
        <f>'Tables by type'!B290+'Tables by type'!C290</f>
        <v>93.88575179041125</v>
      </c>
      <c r="K16" s="323">
        <f>'Tables by type'!B321+'Tables by type'!C321</f>
        <v>91.68058847385986</v>
      </c>
      <c r="L16" s="323">
        <f>'Tables by type'!B352+'Tables by type'!C352</f>
        <v>93.65704218764616</v>
      </c>
      <c r="M16" s="325">
        <f>+'Tables by type'!B227+'Tables by type'!C227</f>
        <v>93.2639944022391</v>
      </c>
    </row>
    <row r="17" spans="1:13" ht="15.75" customHeight="1">
      <c r="A17" s="11"/>
      <c r="B17" s="323"/>
      <c r="C17" s="323"/>
      <c r="D17" s="323"/>
      <c r="E17" s="323"/>
      <c r="F17" s="323"/>
      <c r="G17" s="323"/>
      <c r="H17" s="324"/>
      <c r="I17" s="325"/>
      <c r="J17" s="323"/>
      <c r="K17" s="323"/>
      <c r="L17" s="323"/>
      <c r="M17" s="325"/>
    </row>
    <row r="18" spans="1:13" ht="15.75" customHeight="1">
      <c r="A18" s="11" t="s">
        <v>168</v>
      </c>
      <c r="B18" s="323">
        <f>'Tables by type'!B50+'Tables by type'!C50</f>
        <v>93.45300514899081</v>
      </c>
      <c r="C18" s="323">
        <f>'Tables by type'!B80+'Tables by type'!C80</f>
        <v>96.6472608024135</v>
      </c>
      <c r="D18" s="323">
        <f>'Tables by type'!B110+'Tables by type'!C110</f>
        <v>99.38139062414463</v>
      </c>
      <c r="E18" s="323">
        <f>'Tables by type'!B141+'Tables by type'!C141</f>
        <v>99.00096061479347</v>
      </c>
      <c r="F18" s="323">
        <f>'Tables by type'!B170+'Tables by type'!C170</f>
        <v>97.85655956213346</v>
      </c>
      <c r="G18" s="323">
        <f>'Tables by type'!B199+'Tables by type'!C199</f>
        <v>0</v>
      </c>
      <c r="H18" s="324">
        <f>+'Tables by type'!B19+'Tables by type'!C19</f>
        <v>96.6051409641606</v>
      </c>
      <c r="I18" s="325">
        <f>'Tables by type'!B261+'Tables by type'!C261</f>
        <v>0</v>
      </c>
      <c r="J18" s="323">
        <f>'Tables by type'!B292+'Tables by type'!C292</f>
        <v>93.65171416056413</v>
      </c>
      <c r="K18" s="323">
        <f>'Tables by type'!B323+'Tables by type'!C323</f>
        <v>94.57590087768563</v>
      </c>
      <c r="L18" s="323">
        <f>'Tables by type'!B354+'Tables by type'!C354</f>
        <v>93.8053205311991</v>
      </c>
      <c r="M18" s="325">
        <f>+'Tables by type'!B229+'Tables by type'!C229</f>
        <v>94.23488471961025</v>
      </c>
    </row>
    <row r="19" spans="1:13" ht="15.75" customHeight="1">
      <c r="A19" s="11" t="s">
        <v>176</v>
      </c>
      <c r="B19" s="323">
        <f>'Tables by type'!B51+'Tables by type'!C51</f>
        <v>99.41886264026043</v>
      </c>
      <c r="C19" s="323">
        <f>'Tables by type'!B81+'Tables by type'!C81</f>
        <v>98.52524714532534</v>
      </c>
      <c r="D19" s="323">
        <f>'Tables by type'!B111+'Tables by type'!C111</f>
        <v>98.20791191576164</v>
      </c>
      <c r="E19" s="323">
        <f>'Tables by type'!B142+'Tables by type'!C142</f>
        <v>100</v>
      </c>
      <c r="F19" s="323">
        <f>'Tables by type'!B171+'Tables by type'!C171</f>
        <v>100</v>
      </c>
      <c r="G19" s="323">
        <f>'Tables by type'!B200+'Tables by type'!C200</f>
        <v>98.52682614950183</v>
      </c>
      <c r="H19" s="324">
        <f>+'Tables by type'!B20+'Tables by type'!C20</f>
        <v>98.68836592879322</v>
      </c>
      <c r="I19" s="325">
        <f>'Tables by type'!B262+'Tables by type'!C262</f>
        <v>0</v>
      </c>
      <c r="J19" s="323">
        <f>'Tables by type'!B293+'Tables by type'!C293</f>
        <v>91.99516306124158</v>
      </c>
      <c r="K19" s="323">
        <f>'Tables by type'!B324+'Tables by type'!C324</f>
        <v>93.98991989627275</v>
      </c>
      <c r="L19" s="323">
        <f>'Tables by type'!B355+'Tables by type'!C355</f>
        <v>92.90249994243743</v>
      </c>
      <c r="M19" s="325">
        <f>+'Tables by type'!B230+'Tables by type'!C230</f>
        <v>93.11371012595775</v>
      </c>
    </row>
    <row r="20" spans="1:13" ht="15.75" customHeight="1">
      <c r="A20" s="11" t="s">
        <v>169</v>
      </c>
      <c r="B20" s="323">
        <f>'Tables by type'!B52+'Tables by type'!C52</f>
        <v>98.17518891022141</v>
      </c>
      <c r="C20" s="323">
        <f>'Tables by type'!B82+'Tables by type'!C82</f>
        <v>0</v>
      </c>
      <c r="D20" s="323">
        <f>'Tables by type'!B112+'Tables by type'!C112</f>
        <v>98.2527514472931</v>
      </c>
      <c r="E20" s="323">
        <f>'Tables by type'!B143+'Tables by type'!C143</f>
        <v>97.62829530124012</v>
      </c>
      <c r="F20" s="323">
        <f>'Tables by type'!B172+'Tables by type'!C172</f>
        <v>92.99813933406664</v>
      </c>
      <c r="G20" s="323">
        <f>'Tables by type'!B201+'Tables by type'!C201</f>
        <v>99.20279342322353</v>
      </c>
      <c r="H20" s="324">
        <f>+'Tables by type'!B21+'Tables by type'!C21</f>
        <v>97.06985909349355</v>
      </c>
      <c r="I20" s="325">
        <f>'Tables by type'!B263+'Tables by type'!C263</f>
        <v>78.9568513352997</v>
      </c>
      <c r="J20" s="323">
        <f>'Tables by type'!B294+'Tables by type'!C294</f>
        <v>87.06955812982409</v>
      </c>
      <c r="K20" s="323">
        <f>'Tables by type'!B325+'Tables by type'!C325</f>
        <v>90.57837806459104</v>
      </c>
      <c r="L20" s="323">
        <f>'Tables by type'!B356+'Tables by type'!C356</f>
        <v>91.24990451342983</v>
      </c>
      <c r="M20" s="325">
        <f>+'Tables by type'!B231+'Tables by type'!C231</f>
        <v>88.71472762391623</v>
      </c>
    </row>
    <row r="21" spans="1:13" ht="15.75" customHeight="1">
      <c r="A21" s="11" t="s">
        <v>542</v>
      </c>
      <c r="B21" s="323">
        <f>'Tables by type'!B53+'Tables by type'!C53</f>
        <v>0</v>
      </c>
      <c r="C21" s="323">
        <f>'Tables by type'!B83+'Tables by type'!C83</f>
        <v>0</v>
      </c>
      <c r="D21" s="323">
        <f>'Tables by type'!B113+'Tables by type'!C113</f>
        <v>0</v>
      </c>
      <c r="E21" s="323">
        <f>'Tables by type'!B144+'Tables by type'!C144</f>
        <v>0</v>
      </c>
      <c r="F21" s="323">
        <f>'Tables by type'!B173+'Tables by type'!C173</f>
        <v>0</v>
      </c>
      <c r="G21" s="323">
        <f>'Tables by type'!B202+'Tables by type'!C202</f>
        <v>0</v>
      </c>
      <c r="H21" s="324">
        <f>+'Tables by type'!B22+'Tables by type'!C22</f>
        <v>0</v>
      </c>
      <c r="I21" s="325">
        <f>'Tables by type'!B264+'Tables by type'!C264</f>
        <v>0</v>
      </c>
      <c r="J21" s="323">
        <f>'Tables by type'!B295+'Tables by type'!C295</f>
        <v>0</v>
      </c>
      <c r="K21" s="323">
        <f>'Tables by type'!B326+'Tables by type'!C326</f>
        <v>0</v>
      </c>
      <c r="L21" s="323">
        <f>'Tables by type'!B357+'Tables by type'!C357</f>
        <v>0</v>
      </c>
      <c r="M21" s="325">
        <f>+'Tables by type'!B232+'Tables by type'!C232</f>
        <v>0</v>
      </c>
    </row>
    <row r="22" spans="1:13" ht="15.75" customHeight="1">
      <c r="A22" s="11"/>
      <c r="B22" s="323"/>
      <c r="C22" s="323"/>
      <c r="D22" s="323"/>
      <c r="E22" s="323"/>
      <c r="F22" s="323"/>
      <c r="G22" s="323"/>
      <c r="H22" s="324"/>
      <c r="I22" s="325"/>
      <c r="J22" s="323"/>
      <c r="K22" s="323"/>
      <c r="L22" s="323"/>
      <c r="M22" s="325"/>
    </row>
    <row r="23" spans="1:13" ht="15.75" customHeight="1">
      <c r="A23" s="11" t="s">
        <v>543</v>
      </c>
      <c r="B23" s="323">
        <f>'Tables by type'!B55+'Tables by type'!C55</f>
        <v>0</v>
      </c>
      <c r="C23" s="323">
        <f>'Tables by type'!B85+'Tables by type'!C85</f>
        <v>0</v>
      </c>
      <c r="D23" s="323">
        <f>'Tables by type'!B115+'Tables by type'!C115</f>
        <v>0</v>
      </c>
      <c r="E23" s="323">
        <f>'Tables by type'!B146+'Tables by type'!C146</f>
        <v>0</v>
      </c>
      <c r="F23" s="323">
        <f>'Tables by type'!B175+'Tables by type'!C175</f>
        <v>0</v>
      </c>
      <c r="G23" s="323">
        <f>'Tables by type'!B204+'Tables by type'!C204</f>
        <v>0</v>
      </c>
      <c r="H23" s="324">
        <f>+'Tables by type'!B24+'Tables by type'!C24</f>
        <v>0</v>
      </c>
      <c r="I23" s="325">
        <f>'Tables by type'!B266+'Tables by type'!C266</f>
        <v>0</v>
      </c>
      <c r="J23" s="323">
        <f>'Tables by type'!B297+'Tables by type'!C297</f>
        <v>0</v>
      </c>
      <c r="K23" s="323">
        <f>'Tables by type'!B328+'Tables by type'!C328</f>
        <v>0</v>
      </c>
      <c r="L23" s="323">
        <f>'Tables by type'!B359+'Tables by type'!C359</f>
        <v>0</v>
      </c>
      <c r="M23" s="325">
        <f>+'Tables by type'!B234+'Tables by type'!C234</f>
        <v>0</v>
      </c>
    </row>
    <row r="24" spans="1:13" ht="15.75" customHeight="1">
      <c r="A24" s="11" t="s">
        <v>277</v>
      </c>
      <c r="B24" s="323">
        <f>'Tables by type'!B56+'Tables by type'!C56</f>
        <v>98.08029106218719</v>
      </c>
      <c r="C24" s="323">
        <f>'Tables by type'!B86+'Tables by type'!C86</f>
        <v>97.91348934267403</v>
      </c>
      <c r="D24" s="323">
        <f>'Tables by type'!B116+'Tables by type'!C116</f>
        <v>98.07422819642827</v>
      </c>
      <c r="E24" s="323">
        <f>'Tables by type'!B147+'Tables by type'!C147</f>
        <v>95.4755586785876</v>
      </c>
      <c r="F24" s="323">
        <f>'Tables by type'!B176+'Tables by type'!C176</f>
        <v>74.59986600163776</v>
      </c>
      <c r="G24" s="323">
        <f>'Tables by type'!B205+'Tables by type'!C205</f>
        <v>95.49512943232446</v>
      </c>
      <c r="H24" s="324">
        <f>+'Tables by type'!B25+'Tables by type'!C25</f>
        <v>97.83780593772042</v>
      </c>
      <c r="I24" s="325">
        <f>'Tables by type'!B267+'Tables by type'!C267</f>
        <v>0</v>
      </c>
      <c r="J24" s="323">
        <f>'Tables by type'!B298+'Tables by type'!C298</f>
        <v>92.26286418946668</v>
      </c>
      <c r="K24" s="323">
        <f>'Tables by type'!B329+'Tables by type'!C329</f>
        <v>93.20868273013973</v>
      </c>
      <c r="L24" s="323">
        <f>'Tables by type'!B360+'Tables by type'!C360</f>
        <v>92.12513029486277</v>
      </c>
      <c r="M24" s="325">
        <f>+'Tables by type'!B235+'Tables by type'!C235</f>
        <v>92.52008322622038</v>
      </c>
    </row>
    <row r="25" spans="1:13" ht="15.75" customHeight="1">
      <c r="A25" s="11" t="s">
        <v>544</v>
      </c>
      <c r="B25" s="323">
        <f>'Tables by type'!B57+'Tables by type'!C57</f>
        <v>0</v>
      </c>
      <c r="C25" s="323">
        <f>'Tables by type'!B87+'Tables by type'!C87</f>
        <v>0</v>
      </c>
      <c r="D25" s="323">
        <f>'Tables by type'!B117+'Tables by type'!C117</f>
        <v>0</v>
      </c>
      <c r="E25" s="323">
        <f>'Tables by type'!B148+'Tables by type'!C148</f>
        <v>0</v>
      </c>
      <c r="F25" s="323">
        <f>'Tables by type'!B177+'Tables by type'!C177</f>
        <v>0</v>
      </c>
      <c r="G25" s="323">
        <f>'Tables by type'!B206+'Tables by type'!C206</f>
        <v>0</v>
      </c>
      <c r="H25" s="324">
        <f>+'Tables by type'!B26+'Tables by type'!C26</f>
        <v>0</v>
      </c>
      <c r="I25" s="325">
        <f>'Tables by type'!B268+'Tables by type'!C268</f>
        <v>0</v>
      </c>
      <c r="J25" s="323">
        <f>'Tables by type'!B299+'Tables by type'!C299</f>
        <v>0</v>
      </c>
      <c r="K25" s="323">
        <f>'Tables by type'!B330+'Tables by type'!C330</f>
        <v>0</v>
      </c>
      <c r="L25" s="323">
        <f>'Tables by type'!B361+'Tables by type'!C361</f>
        <v>0</v>
      </c>
      <c r="M25" s="325">
        <f>+'Tables by type'!B236+'Tables by type'!C236</f>
        <v>0</v>
      </c>
    </row>
    <row r="26" spans="1:13" ht="15.75" customHeight="1">
      <c r="A26" s="12" t="s">
        <v>170</v>
      </c>
      <c r="B26" s="327">
        <f>'Tables by type'!B58+'Tables by type'!C58</f>
        <v>99.13345395289585</v>
      </c>
      <c r="C26" s="327">
        <f>'Tables by type'!B88+'Tables by type'!C88</f>
        <v>0</v>
      </c>
      <c r="D26" s="327">
        <f>'Tables by type'!B118+'Tables by type'!C118</f>
        <v>95.81715859955655</v>
      </c>
      <c r="E26" s="327">
        <f>'Tables by type'!B149+'Tables by type'!C149</f>
        <v>0</v>
      </c>
      <c r="F26" s="327">
        <f>'Tables by type'!B178+'Tables by type'!C178</f>
        <v>0</v>
      </c>
      <c r="G26" s="327">
        <f>'Tables by type'!B207+'Tables by type'!C207</f>
        <v>98.00374646598972</v>
      </c>
      <c r="H26" s="354">
        <f>+'Tables by type'!B27+'Tables by type'!C27</f>
        <v>97.9930239651627</v>
      </c>
      <c r="I26" s="329">
        <f>'Tables by type'!B269+'Tables by type'!C269</f>
        <v>91.41131997574475</v>
      </c>
      <c r="J26" s="327">
        <f>'Tables by type'!B300+'Tables by type'!C300</f>
        <v>0</v>
      </c>
      <c r="K26" s="327">
        <f>'Tables by type'!B331+'Tables by type'!C331</f>
        <v>98.83041820492647</v>
      </c>
      <c r="L26" s="327">
        <f>'Tables by type'!B362+'Tables by type'!C362</f>
        <v>94.24697099498225</v>
      </c>
      <c r="M26" s="329">
        <f>+'Tables by type'!B237+'Tables by type'!C237</f>
        <v>94.48596626384114</v>
      </c>
    </row>
    <row r="27" spans="1:13" s="275" customFormat="1" ht="11.25">
      <c r="A27" s="287"/>
      <c r="B27" s="288"/>
      <c r="C27" s="288"/>
      <c r="D27" s="288"/>
      <c r="E27" s="288"/>
      <c r="F27" s="288"/>
      <c r="G27" s="288"/>
      <c r="H27" s="288"/>
      <c r="I27" s="288"/>
      <c r="J27" s="288"/>
      <c r="K27" s="288"/>
      <c r="L27" s="288"/>
      <c r="M27" s="288"/>
    </row>
    <row r="28" spans="1:13" s="275" customFormat="1" ht="11.25">
      <c r="A28" s="277" t="s">
        <v>622</v>
      </c>
      <c r="J28" s="287"/>
      <c r="M28" s="287"/>
    </row>
    <row r="29" s="275" customFormat="1" ht="11.25">
      <c r="M29" s="351" t="s">
        <v>642</v>
      </c>
    </row>
    <row r="30" spans="1:13" ht="18">
      <c r="A30" s="113" t="s">
        <v>574</v>
      </c>
      <c r="B30" s="8"/>
      <c r="C30" s="8"/>
      <c r="D30" s="8"/>
      <c r="E30" s="8"/>
      <c r="F30" s="8"/>
      <c r="G30" s="19"/>
      <c r="H30" s="19"/>
      <c r="I30" s="19"/>
      <c r="J30" s="19"/>
      <c r="K30" s="19"/>
      <c r="L30" s="19"/>
      <c r="M30" s="179"/>
    </row>
    <row r="31" spans="1:13" s="11" customFormat="1" ht="12.75">
      <c r="A31" s="293"/>
      <c r="B31" s="10"/>
      <c r="C31" s="10"/>
      <c r="D31" s="10"/>
      <c r="E31" s="10"/>
      <c r="F31" s="10"/>
      <c r="G31" s="10"/>
      <c r="H31" s="10"/>
      <c r="I31" s="10"/>
      <c r="J31" s="10"/>
      <c r="K31" s="10"/>
      <c r="L31" s="10"/>
      <c r="M31" s="292"/>
    </row>
    <row r="32" spans="1:13" ht="15.75">
      <c r="A32" s="9" t="s">
        <v>627</v>
      </c>
      <c r="B32" s="10"/>
      <c r="C32" s="10"/>
      <c r="D32" s="10"/>
      <c r="E32" s="10"/>
      <c r="F32" s="10"/>
      <c r="G32" s="19"/>
      <c r="H32" s="19"/>
      <c r="I32" s="19"/>
      <c r="J32" s="19"/>
      <c r="K32" s="19"/>
      <c r="L32" s="19"/>
      <c r="M32" s="179"/>
    </row>
    <row r="33" spans="1:13" ht="15.75">
      <c r="A33" s="9" t="s">
        <v>545</v>
      </c>
      <c r="B33" s="10"/>
      <c r="C33" s="10"/>
      <c r="D33" s="10"/>
      <c r="E33" s="10"/>
      <c r="F33" s="10"/>
      <c r="G33" s="19"/>
      <c r="H33" s="19"/>
      <c r="I33" s="19"/>
      <c r="J33" s="19"/>
      <c r="K33" s="19"/>
      <c r="L33" s="19"/>
      <c r="M33" s="179"/>
    </row>
    <row r="34" spans="1:13" s="11" customFormat="1" ht="12.75">
      <c r="A34" s="291"/>
      <c r="B34" s="10"/>
      <c r="C34" s="10"/>
      <c r="D34" s="10"/>
      <c r="E34" s="10"/>
      <c r="F34" s="10"/>
      <c r="G34" s="10"/>
      <c r="H34" s="10"/>
      <c r="I34" s="10"/>
      <c r="J34" s="10"/>
      <c r="K34" s="10"/>
      <c r="L34" s="10"/>
      <c r="M34" s="292"/>
    </row>
    <row r="35" spans="1:13" s="145" customFormat="1" ht="18" customHeight="1">
      <c r="A35" s="21"/>
      <c r="B35" s="367" t="s">
        <v>167</v>
      </c>
      <c r="C35" s="367"/>
      <c r="D35" s="367"/>
      <c r="E35" s="367"/>
      <c r="F35" s="367"/>
      <c r="G35" s="367"/>
      <c r="H35" s="368"/>
      <c r="I35" s="369" t="s">
        <v>172</v>
      </c>
      <c r="J35" s="367"/>
      <c r="K35" s="367"/>
      <c r="L35" s="367"/>
      <c r="M35" s="367"/>
    </row>
    <row r="36" spans="1:13" s="297" customFormat="1" ht="18" customHeight="1">
      <c r="A36" s="22"/>
      <c r="B36" s="294">
        <v>1</v>
      </c>
      <c r="C36" s="294">
        <v>2</v>
      </c>
      <c r="D36" s="294">
        <v>3</v>
      </c>
      <c r="E36" s="294">
        <v>4</v>
      </c>
      <c r="F36" s="294">
        <v>5</v>
      </c>
      <c r="G36" s="294">
        <v>6</v>
      </c>
      <c r="H36" s="296" t="s">
        <v>597</v>
      </c>
      <c r="I36" s="295" t="s">
        <v>278</v>
      </c>
      <c r="J36" s="294">
        <v>1</v>
      </c>
      <c r="K36" s="294">
        <v>2</v>
      </c>
      <c r="L36" s="294">
        <v>3</v>
      </c>
      <c r="M36" s="295" t="s">
        <v>597</v>
      </c>
    </row>
    <row r="37" spans="1:13" ht="15.75" customHeight="1">
      <c r="A37" s="11" t="s">
        <v>534</v>
      </c>
      <c r="B37" s="323">
        <f>+'Tables by type'!D40</f>
        <v>0</v>
      </c>
      <c r="C37" s="323">
        <f>+'Tables by type'!D70</f>
        <v>0</v>
      </c>
      <c r="D37" s="323">
        <f>+'Tables by type'!D100</f>
        <v>0</v>
      </c>
      <c r="E37" s="323">
        <f>+'Tables by type'!D131</f>
        <v>0</v>
      </c>
      <c r="F37" s="323">
        <f>+'Tables by type'!D160</f>
        <v>0</v>
      </c>
      <c r="G37" s="323">
        <f>+'Tables by type'!D189</f>
        <v>0</v>
      </c>
      <c r="H37" s="324">
        <f>+'Tables by type'!D9</f>
        <v>0</v>
      </c>
      <c r="I37" s="325">
        <f>+'Tables by type'!D251</f>
        <v>0</v>
      </c>
      <c r="J37" s="323">
        <f>+'Tables by type'!D282</f>
        <v>0</v>
      </c>
      <c r="K37" s="323">
        <f>+'Tables by type'!D313</f>
        <v>0</v>
      </c>
      <c r="L37" s="323">
        <f>+'Tables by type'!D344</f>
        <v>0</v>
      </c>
      <c r="M37" s="325">
        <f>+'Tables by type'!D219</f>
        <v>0</v>
      </c>
    </row>
    <row r="38" spans="1:13" ht="15.75" customHeight="1">
      <c r="A38" s="11" t="s">
        <v>535</v>
      </c>
      <c r="B38" s="323">
        <f>+'Tables by type'!D41</f>
        <v>0</v>
      </c>
      <c r="C38" s="323">
        <f>+'Tables by type'!D71</f>
        <v>0.6440693646651627</v>
      </c>
      <c r="D38" s="323">
        <f>+'Tables by type'!D101</f>
        <v>5.9817083212657085</v>
      </c>
      <c r="E38" s="323">
        <f>+'Tables by type'!D132</f>
        <v>0</v>
      </c>
      <c r="F38" s="323">
        <f>+'Tables by type'!D161</f>
        <v>1.8670233683282293</v>
      </c>
      <c r="G38" s="323">
        <f>+'Tables by type'!D190</f>
        <v>2.5135556248052353</v>
      </c>
      <c r="H38" s="324">
        <f>+'Tables by type'!D10</f>
        <v>3.4949224771347245</v>
      </c>
      <c r="I38" s="325">
        <f>+'Tables by type'!D252</f>
        <v>6.682890576045933</v>
      </c>
      <c r="J38" s="323">
        <f>+'Tables by type'!D283</f>
        <v>0</v>
      </c>
      <c r="K38" s="323">
        <f>+'Tables by type'!D314</f>
        <v>5.433790894061315</v>
      </c>
      <c r="L38" s="323">
        <f>+'Tables by type'!D345</f>
        <v>6.9418206729594605</v>
      </c>
      <c r="M38" s="325">
        <f>+'Tables by type'!D220</f>
        <v>6.491401511453435</v>
      </c>
    </row>
    <row r="39" spans="1:13" ht="15.75" customHeight="1">
      <c r="A39" s="11" t="s">
        <v>536</v>
      </c>
      <c r="B39" s="323">
        <f>+'Tables by type'!D42</f>
        <v>0</v>
      </c>
      <c r="C39" s="323">
        <f>+'Tables by type'!D72</f>
        <v>0</v>
      </c>
      <c r="D39" s="323">
        <f>+'Tables by type'!D102</f>
        <v>0</v>
      </c>
      <c r="E39" s="323">
        <f>+'Tables by type'!D133</f>
        <v>0</v>
      </c>
      <c r="F39" s="323">
        <f>+'Tables by type'!D162</f>
        <v>0</v>
      </c>
      <c r="G39" s="323">
        <f>+'Tables by type'!D191</f>
        <v>0</v>
      </c>
      <c r="H39" s="324">
        <f>+'Tables by type'!D11</f>
        <v>0</v>
      </c>
      <c r="I39" s="325">
        <f>+'Tables by type'!D253</f>
        <v>0</v>
      </c>
      <c r="J39" s="323">
        <f>+'Tables by type'!D284</f>
        <v>0</v>
      </c>
      <c r="K39" s="323">
        <f>+'Tables by type'!D315</f>
        <v>0</v>
      </c>
      <c r="L39" s="323">
        <f>+'Tables by type'!D346</f>
        <v>0</v>
      </c>
      <c r="M39" s="325">
        <f>+'Tables by type'!D221</f>
        <v>0</v>
      </c>
    </row>
    <row r="40" spans="1:13" ht="15.75" customHeight="1">
      <c r="A40" s="11" t="s">
        <v>537</v>
      </c>
      <c r="B40" s="323">
        <f>+'Tables by type'!D43</f>
        <v>13.978479342588663</v>
      </c>
      <c r="C40" s="323">
        <f>+'Tables by type'!D73</f>
        <v>7.151235996689368</v>
      </c>
      <c r="D40" s="323">
        <f>+'Tables by type'!D103</f>
        <v>1.8448935119420389</v>
      </c>
      <c r="E40" s="323">
        <f>+'Tables by type'!D134</f>
        <v>0</v>
      </c>
      <c r="F40" s="323">
        <f>+'Tables by type'!D163</f>
        <v>11.859661442933175</v>
      </c>
      <c r="G40" s="323">
        <f>+'Tables by type'!D192</f>
        <v>0</v>
      </c>
      <c r="H40" s="324">
        <f>+'Tables by type'!D12</f>
        <v>9.64849200309553</v>
      </c>
      <c r="I40" s="325">
        <f>+'Tables by type'!D254</f>
        <v>0</v>
      </c>
      <c r="J40" s="323">
        <f>+'Tables by type'!D285</f>
        <v>6.788914989377059</v>
      </c>
      <c r="K40" s="323">
        <f>+'Tables by type'!D316</f>
        <v>7.600663748915077</v>
      </c>
      <c r="L40" s="323">
        <f>+'Tables by type'!D347</f>
        <v>6.811160961587408</v>
      </c>
      <c r="M40" s="325">
        <f>+'Tables by type'!D222</f>
        <v>6.872470031286354</v>
      </c>
    </row>
    <row r="41" spans="1:13" ht="15.75" customHeight="1">
      <c r="A41" s="11"/>
      <c r="B41" s="323"/>
      <c r="C41" s="323"/>
      <c r="D41" s="323"/>
      <c r="E41" s="323"/>
      <c r="F41" s="323"/>
      <c r="G41" s="323"/>
      <c r="H41" s="324"/>
      <c r="I41" s="325"/>
      <c r="J41" s="323"/>
      <c r="K41" s="323"/>
      <c r="L41" s="323"/>
      <c r="M41" s="325"/>
    </row>
    <row r="42" spans="1:13" ht="15.75" customHeight="1">
      <c r="A42" s="11" t="s">
        <v>538</v>
      </c>
      <c r="B42" s="323">
        <f>+'Tables by type'!D45</f>
        <v>0.1689927009620104</v>
      </c>
      <c r="C42" s="323">
        <f>+'Tables by type'!D75</f>
        <v>0.5246711049313302</v>
      </c>
      <c r="D42" s="323">
        <f>+'Tables by type'!D105</f>
        <v>1.9770536642890486</v>
      </c>
      <c r="E42" s="323">
        <f>+'Tables by type'!D136</f>
        <v>2.760095861283562</v>
      </c>
      <c r="F42" s="323">
        <f>+'Tables by type'!D165</f>
        <v>1.8694833227926417</v>
      </c>
      <c r="G42" s="323">
        <f>+'Tables by type'!D194</f>
        <v>12.357848780706606</v>
      </c>
      <c r="H42" s="324">
        <f>+'Tables by type'!D14</f>
        <v>1.8032750241377868</v>
      </c>
      <c r="I42" s="325">
        <f>+'Tables by type'!D256</f>
        <v>3.3189361218458737</v>
      </c>
      <c r="J42" s="323">
        <f>+'Tables by type'!D287</f>
        <v>4.8936600719424455</v>
      </c>
      <c r="K42" s="323">
        <f>+'Tables by type'!D318</f>
        <v>3.1132144925885434</v>
      </c>
      <c r="L42" s="323">
        <f>+'Tables by type'!D349</f>
        <v>2.678911862395714</v>
      </c>
      <c r="M42" s="325">
        <f>+'Tables by type'!D224</f>
        <v>3.6073089112404637</v>
      </c>
    </row>
    <row r="43" spans="1:13" ht="15.75" customHeight="1">
      <c r="A43" s="11" t="s">
        <v>539</v>
      </c>
      <c r="B43" s="323">
        <f>+'Tables by type'!D46</f>
        <v>1.0957959193552291</v>
      </c>
      <c r="C43" s="323">
        <f>+'Tables by type'!D76</f>
        <v>10.02424993962231</v>
      </c>
      <c r="D43" s="323">
        <f>+'Tables by type'!D106</f>
        <v>4.075803251422554</v>
      </c>
      <c r="E43" s="323">
        <f>+'Tables by type'!D137</f>
        <v>2.1939315229769334</v>
      </c>
      <c r="F43" s="323">
        <f>+'Tables by type'!D166</f>
        <v>0</v>
      </c>
      <c r="G43" s="323">
        <f>+'Tables by type'!D195</f>
        <v>5.644527915315008</v>
      </c>
      <c r="H43" s="324">
        <f>+'Tables by type'!D15</f>
        <v>3.9699896286837673</v>
      </c>
      <c r="I43" s="325">
        <f>+'Tables by type'!D257</f>
        <v>0</v>
      </c>
      <c r="J43" s="323">
        <f>+'Tables by type'!D288</f>
        <v>5.411044994372623</v>
      </c>
      <c r="K43" s="323">
        <f>+'Tables by type'!D319</f>
        <v>10.412380718318039</v>
      </c>
      <c r="L43" s="323">
        <f>+'Tables by type'!D350</f>
        <v>10.703261601207618</v>
      </c>
      <c r="M43" s="325">
        <f>+'Tables by type'!D225</f>
        <v>8.863136139541332</v>
      </c>
    </row>
    <row r="44" spans="1:13" ht="15.75" customHeight="1">
      <c r="A44" s="11" t="s">
        <v>540</v>
      </c>
      <c r="B44" s="323">
        <f>+'Tables by type'!D47</f>
        <v>0</v>
      </c>
      <c r="C44" s="323">
        <f>+'Tables by type'!D77</f>
        <v>0</v>
      </c>
      <c r="D44" s="323">
        <f>+'Tables by type'!D107</f>
        <v>0</v>
      </c>
      <c r="E44" s="323">
        <f>+'Tables by type'!D138</f>
        <v>0</v>
      </c>
      <c r="F44" s="323">
        <f>+'Tables by type'!D167</f>
        <v>0</v>
      </c>
      <c r="G44" s="323">
        <f>+'Tables by type'!D196</f>
        <v>0</v>
      </c>
      <c r="H44" s="324">
        <f>+'Tables by type'!D16</f>
        <v>0</v>
      </c>
      <c r="I44" s="325">
        <f>+'Tables by type'!D258</f>
        <v>0</v>
      </c>
      <c r="J44" s="323">
        <f>+'Tables by type'!D289</f>
        <v>0</v>
      </c>
      <c r="K44" s="323">
        <f>+'Tables by type'!D320</f>
        <v>0</v>
      </c>
      <c r="L44" s="323">
        <f>+'Tables by type'!D351</f>
        <v>0</v>
      </c>
      <c r="M44" s="325">
        <f>+'Tables by type'!D226</f>
        <v>0</v>
      </c>
    </row>
    <row r="45" spans="1:13" ht="15.75" customHeight="1">
      <c r="A45" s="11" t="s">
        <v>566</v>
      </c>
      <c r="B45" s="323">
        <f>+'Tables by type'!D48</f>
        <v>0</v>
      </c>
      <c r="C45" s="323">
        <f>+'Tables by type'!D78</f>
        <v>0</v>
      </c>
      <c r="D45" s="323">
        <f>+'Tables by type'!D108</f>
        <v>0.07298345201591444</v>
      </c>
      <c r="E45" s="323">
        <f>+'Tables by type'!D139</f>
        <v>1.4723705073144608</v>
      </c>
      <c r="F45" s="323">
        <f>+'Tables by type'!D168</f>
        <v>0</v>
      </c>
      <c r="G45" s="323">
        <f>+'Tables by type'!D197</f>
        <v>0</v>
      </c>
      <c r="H45" s="324">
        <f>+'Tables by type'!D17</f>
        <v>13.984399164310513</v>
      </c>
      <c r="I45" s="325">
        <f>+'Tables by type'!D259</f>
        <v>0</v>
      </c>
      <c r="J45" s="323">
        <f>+'Tables by type'!D290</f>
        <v>6.114248209588749</v>
      </c>
      <c r="K45" s="323">
        <f>+'Tables by type'!D321</f>
        <v>8.31941152614013</v>
      </c>
      <c r="L45" s="323">
        <f>+'Tables by type'!D352</f>
        <v>6.24162015528047</v>
      </c>
      <c r="M45" s="325">
        <f>+'Tables by type'!D227</f>
        <v>6.723010795681727</v>
      </c>
    </row>
    <row r="46" spans="1:13" ht="15.75" customHeight="1">
      <c r="A46" s="11"/>
      <c r="B46" s="323"/>
      <c r="C46" s="323"/>
      <c r="D46" s="323"/>
      <c r="E46" s="323"/>
      <c r="F46" s="323"/>
      <c r="G46" s="323"/>
      <c r="H46" s="324"/>
      <c r="I46" s="325"/>
      <c r="J46" s="323"/>
      <c r="K46" s="323"/>
      <c r="L46" s="323"/>
      <c r="M46" s="325"/>
    </row>
    <row r="47" spans="1:13" ht="15.75" customHeight="1">
      <c r="A47" s="11" t="s">
        <v>168</v>
      </c>
      <c r="B47" s="323">
        <f>+'Tables by type'!D50</f>
        <v>6.203826984482332</v>
      </c>
      <c r="C47" s="323">
        <f>+'Tables by type'!D80</f>
        <v>2.5888586208040287</v>
      </c>
      <c r="D47" s="323">
        <f>+'Tables by type'!D110</f>
        <v>0.618609375855378</v>
      </c>
      <c r="E47" s="323">
        <f>+'Tables by type'!D141</f>
        <v>0.7756964457252641</v>
      </c>
      <c r="F47" s="323">
        <f>+'Tables by type'!D170</f>
        <v>1.056872709602964</v>
      </c>
      <c r="G47" s="323">
        <f>+'Tables by type'!D199</f>
        <v>0</v>
      </c>
      <c r="H47" s="324">
        <f>+'Tables by type'!D19</f>
        <v>2.836412263872052</v>
      </c>
      <c r="I47" s="325">
        <f>+'Tables by type'!D261</f>
        <v>0</v>
      </c>
      <c r="J47" s="323">
        <f>+'Tables by type'!D292</f>
        <v>6.3482858394358725</v>
      </c>
      <c r="K47" s="323">
        <f>+'Tables by type'!D323</f>
        <v>5.424099122314369</v>
      </c>
      <c r="L47" s="323">
        <f>+'Tables by type'!D354</f>
        <v>6.194679468800898</v>
      </c>
      <c r="M47" s="325">
        <f>+'Tables by type'!D229</f>
        <v>5.765115280389747</v>
      </c>
    </row>
    <row r="48" spans="1:13" ht="15.75" customHeight="1">
      <c r="A48" s="11" t="s">
        <v>176</v>
      </c>
      <c r="B48" s="323">
        <f>+'Tables by type'!D51</f>
        <v>0.5811373597395748</v>
      </c>
      <c r="C48" s="323">
        <f>+'Tables by type'!D81</f>
        <v>1.4747528546746516</v>
      </c>
      <c r="D48" s="323">
        <f>+'Tables by type'!D111</f>
        <v>1.7920880842383486</v>
      </c>
      <c r="E48" s="323">
        <f>+'Tables by type'!D142</f>
        <v>0</v>
      </c>
      <c r="F48" s="323">
        <f>+'Tables by type'!D171</f>
        <v>0</v>
      </c>
      <c r="G48" s="323">
        <f>+'Tables by type'!D200</f>
        <v>1.4731738504981617</v>
      </c>
      <c r="H48" s="324">
        <f>+'Tables by type'!D20</f>
        <v>1.3116340712067804</v>
      </c>
      <c r="I48" s="325">
        <f>+'Tables by type'!D262</f>
        <v>0</v>
      </c>
      <c r="J48" s="323">
        <f>+'Tables by type'!D293</f>
        <v>8.00483693875843</v>
      </c>
      <c r="K48" s="323">
        <f>+'Tables by type'!D324</f>
        <v>6.010080103727216</v>
      </c>
      <c r="L48" s="323">
        <f>+'Tables by type'!D355</f>
        <v>7.097500057562558</v>
      </c>
      <c r="M48" s="325">
        <f>+'Tables by type'!D230</f>
        <v>6.886289874042232</v>
      </c>
    </row>
    <row r="49" spans="1:13" ht="15.75" customHeight="1">
      <c r="A49" s="11" t="s">
        <v>169</v>
      </c>
      <c r="B49" s="323">
        <f>+'Tables by type'!D52</f>
        <v>1.716531301480411</v>
      </c>
      <c r="C49" s="323">
        <f>+'Tables by type'!D82</f>
        <v>0</v>
      </c>
      <c r="D49" s="323">
        <f>+'Tables by type'!D112</f>
        <v>1.7472485527069153</v>
      </c>
      <c r="E49" s="323">
        <f>+'Tables by type'!D143</f>
        <v>2.371704698759896</v>
      </c>
      <c r="F49" s="323">
        <f>+'Tables by type'!D172</f>
        <v>7.001860665933366</v>
      </c>
      <c r="G49" s="323">
        <f>+'Tables by type'!D201</f>
        <v>0.7972065767764692</v>
      </c>
      <c r="H49" s="324">
        <f>+'Tables by type'!D21</f>
        <v>2.8777256068035775</v>
      </c>
      <c r="I49" s="325">
        <f>+'Tables by type'!D263</f>
        <v>21.043148664700308</v>
      </c>
      <c r="J49" s="323">
        <f>+'Tables by type'!D294</f>
        <v>11.981350026166126</v>
      </c>
      <c r="K49" s="323">
        <f>+'Tables by type'!D325</f>
        <v>9.421621935408968</v>
      </c>
      <c r="L49" s="323">
        <f>+'Tables by type'!D356</f>
        <v>8.75009548657018</v>
      </c>
      <c r="M49" s="325">
        <f>+'Tables by type'!D231</f>
        <v>10.907315160404897</v>
      </c>
    </row>
    <row r="50" spans="1:13" ht="15.75" customHeight="1">
      <c r="A50" s="11" t="s">
        <v>542</v>
      </c>
      <c r="B50" s="323">
        <f>+'Tables by type'!D53</f>
        <v>0</v>
      </c>
      <c r="C50" s="323">
        <f>+'Tables by type'!D83</f>
        <v>0</v>
      </c>
      <c r="D50" s="323">
        <f>+'Tables by type'!D113</f>
        <v>0</v>
      </c>
      <c r="E50" s="323">
        <f>+'Tables by type'!D144</f>
        <v>0</v>
      </c>
      <c r="F50" s="323">
        <f>+'Tables by type'!D173</f>
        <v>0</v>
      </c>
      <c r="G50" s="323">
        <f>+'Tables by type'!D202</f>
        <v>0</v>
      </c>
      <c r="H50" s="324">
        <f>+'Tables by type'!D22</f>
        <v>0</v>
      </c>
      <c r="I50" s="325">
        <f>+'Tables by type'!D264</f>
        <v>0</v>
      </c>
      <c r="J50" s="323">
        <f>+'Tables by type'!D295</f>
        <v>0</v>
      </c>
      <c r="K50" s="323">
        <f>+'Tables by type'!D326</f>
        <v>0</v>
      </c>
      <c r="L50" s="323">
        <f>+'Tables by type'!D357</f>
        <v>0</v>
      </c>
      <c r="M50" s="325">
        <f>+'Tables by type'!D232</f>
        <v>0</v>
      </c>
    </row>
    <row r="51" spans="1:13" ht="15.75" customHeight="1">
      <c r="A51" s="11"/>
      <c r="B51" s="323"/>
      <c r="C51" s="323"/>
      <c r="D51" s="323"/>
      <c r="E51" s="323"/>
      <c r="F51" s="323"/>
      <c r="G51" s="323"/>
      <c r="H51" s="324"/>
      <c r="I51" s="325"/>
      <c r="J51" s="323"/>
      <c r="K51" s="323"/>
      <c r="L51" s="323"/>
      <c r="M51" s="325"/>
    </row>
    <row r="52" spans="1:13" ht="15.75" customHeight="1">
      <c r="A52" s="11" t="s">
        <v>543</v>
      </c>
      <c r="B52" s="323">
        <f>+'Tables by type'!D55</f>
        <v>0</v>
      </c>
      <c r="C52" s="323">
        <f>+'Tables by type'!D85</f>
        <v>0</v>
      </c>
      <c r="D52" s="323">
        <f>+'Tables by type'!D115</f>
        <v>0</v>
      </c>
      <c r="E52" s="323">
        <f>+'Tables by type'!D146</f>
        <v>0</v>
      </c>
      <c r="F52" s="323">
        <f>+'Tables by type'!D175</f>
        <v>0</v>
      </c>
      <c r="G52" s="323">
        <f>+'Tables by type'!D204</f>
        <v>0</v>
      </c>
      <c r="H52" s="324">
        <f>+'Tables by type'!D24</f>
        <v>0</v>
      </c>
      <c r="I52" s="325">
        <f>+'Tables by type'!D266</f>
        <v>0</v>
      </c>
      <c r="J52" s="323">
        <f>+'Tables by type'!D297</f>
        <v>0</v>
      </c>
      <c r="K52" s="323">
        <f>+'Tables by type'!D328</f>
        <v>0</v>
      </c>
      <c r="L52" s="323">
        <f>+'Tables by type'!D359</f>
        <v>0</v>
      </c>
      <c r="M52" s="325">
        <f>+'Tables by type'!D234</f>
        <v>0</v>
      </c>
    </row>
    <row r="53" spans="1:13" ht="15.75" customHeight="1">
      <c r="A53" s="11" t="s">
        <v>277</v>
      </c>
      <c r="B53" s="323">
        <f>+'Tables by type'!D56</f>
        <v>1.9197089378128185</v>
      </c>
      <c r="C53" s="323">
        <f>+'Tables by type'!D86</f>
        <v>2.08651065732598</v>
      </c>
      <c r="D53" s="323">
        <f>+'Tables by type'!D116</f>
        <v>1.9257718035717255</v>
      </c>
      <c r="E53" s="323">
        <f>+'Tables by type'!D147</f>
        <v>4.524441321412391</v>
      </c>
      <c r="F53" s="323">
        <f>+'Tables by type'!D176</f>
        <v>25.400133998362243</v>
      </c>
      <c r="G53" s="323">
        <f>+'Tables by type'!D205</f>
        <v>4.50487056767554</v>
      </c>
      <c r="H53" s="324">
        <f>+'Tables by type'!D25</f>
        <v>2.1621940622795783</v>
      </c>
      <c r="I53" s="325">
        <f>+'Tables by type'!D267</f>
        <v>0</v>
      </c>
      <c r="J53" s="323">
        <f>+'Tables by type'!D298</f>
        <v>7.737135810533317</v>
      </c>
      <c r="K53" s="323">
        <f>+'Tables by type'!D329</f>
        <v>6.791317269860272</v>
      </c>
      <c r="L53" s="323">
        <f>+'Tables by type'!D360</f>
        <v>7.874869705137244</v>
      </c>
      <c r="M53" s="325">
        <f>+'Tables by type'!D235</f>
        <v>7.4799167737796175</v>
      </c>
    </row>
    <row r="54" spans="1:13" ht="15.75" customHeight="1">
      <c r="A54" s="11" t="s">
        <v>544</v>
      </c>
      <c r="B54" s="323">
        <f>+'Tables by type'!D57</f>
        <v>0</v>
      </c>
      <c r="C54" s="323">
        <f>+'Tables by type'!D87</f>
        <v>0</v>
      </c>
      <c r="D54" s="323">
        <f>+'Tables by type'!D117</f>
        <v>0</v>
      </c>
      <c r="E54" s="323">
        <f>+'Tables by type'!D148</f>
        <v>0</v>
      </c>
      <c r="F54" s="323">
        <f>+'Tables by type'!D177</f>
        <v>0</v>
      </c>
      <c r="G54" s="323">
        <f>+'Tables by type'!D206</f>
        <v>0</v>
      </c>
      <c r="H54" s="324">
        <f>+'Tables by type'!D26</f>
        <v>0</v>
      </c>
      <c r="I54" s="325">
        <f>+'Tables by type'!D268</f>
        <v>0</v>
      </c>
      <c r="J54" s="323">
        <f>+'Tables by type'!D299</f>
        <v>0</v>
      </c>
      <c r="K54" s="323">
        <f>+'Tables by type'!D330</f>
        <v>0</v>
      </c>
      <c r="L54" s="323">
        <f>+'Tables by type'!D361</f>
        <v>0</v>
      </c>
      <c r="M54" s="325">
        <f>+'Tables by type'!D236</f>
        <v>0</v>
      </c>
    </row>
    <row r="55" spans="1:13" ht="15.75" customHeight="1">
      <c r="A55" s="12" t="s">
        <v>170</v>
      </c>
      <c r="B55" s="327">
        <f>+'Tables by type'!D58</f>
        <v>0.8665460471041535</v>
      </c>
      <c r="C55" s="327">
        <f>+'Tables by type'!D88</f>
        <v>0</v>
      </c>
      <c r="D55" s="327">
        <f>+'Tables by type'!D118</f>
        <v>4.182841400443439</v>
      </c>
      <c r="E55" s="327">
        <f>+'Tables by type'!D149</f>
        <v>0</v>
      </c>
      <c r="F55" s="327">
        <f>+'Tables by type'!D178</f>
        <v>0</v>
      </c>
      <c r="G55" s="330">
        <f>+'Tables by type'!D207</f>
        <v>1.9962535340102734</v>
      </c>
      <c r="H55" s="354">
        <f>+'Tables by type'!D27</f>
        <v>2.0069760348372916</v>
      </c>
      <c r="I55" s="329">
        <f>+'Tables by type'!D269</f>
        <v>8.588680024255249</v>
      </c>
      <c r="J55" s="327">
        <f>+'Tables by type'!D300</f>
        <v>0</v>
      </c>
      <c r="K55" s="327">
        <f>+'Tables by type'!D331</f>
        <v>1.169581795073534</v>
      </c>
      <c r="L55" s="327">
        <f>+'Tables by type'!D362</f>
        <v>5.753029005017746</v>
      </c>
      <c r="M55" s="329">
        <f>+'Tables by type'!D237</f>
        <v>5.5140337361588605</v>
      </c>
    </row>
    <row r="56" spans="1:13" s="275" customFormat="1" ht="11.25">
      <c r="A56" s="287"/>
      <c r="B56" s="288"/>
      <c r="C56" s="288"/>
      <c r="D56" s="288"/>
      <c r="E56" s="288"/>
      <c r="F56" s="288"/>
      <c r="G56" s="288"/>
      <c r="H56" s="288"/>
      <c r="I56" s="288"/>
      <c r="J56" s="288"/>
      <c r="K56" s="288"/>
      <c r="L56" s="288"/>
      <c r="M56" s="288"/>
    </row>
    <row r="57" spans="1:13" s="275" customFormat="1" ht="11.25">
      <c r="A57" s="277" t="s">
        <v>622</v>
      </c>
      <c r="M57" s="287"/>
    </row>
    <row r="58" spans="1:13" s="275" customFormat="1" ht="11.25">
      <c r="A58" s="277"/>
      <c r="M58" s="351" t="s">
        <v>642</v>
      </c>
    </row>
    <row r="59" spans="1:13" ht="18">
      <c r="A59" s="113" t="s">
        <v>575</v>
      </c>
      <c r="B59" s="8"/>
      <c r="C59" s="8"/>
      <c r="D59" s="8"/>
      <c r="E59" s="8"/>
      <c r="F59" s="8"/>
      <c r="G59" s="19"/>
      <c r="H59" s="19"/>
      <c r="I59" s="19" t="s">
        <v>2</v>
      </c>
      <c r="J59" s="19"/>
      <c r="K59" s="19"/>
      <c r="L59" s="19"/>
      <c r="M59" s="179"/>
    </row>
    <row r="60" spans="1:13" s="11" customFormat="1" ht="12.75">
      <c r="A60" s="293"/>
      <c r="B60" s="10"/>
      <c r="C60" s="10"/>
      <c r="D60" s="10"/>
      <c r="E60" s="10"/>
      <c r="F60" s="10"/>
      <c r="G60" s="10"/>
      <c r="H60" s="10"/>
      <c r="I60" s="10"/>
      <c r="J60" s="10"/>
      <c r="K60" s="10"/>
      <c r="L60" s="10"/>
      <c r="M60" s="292"/>
    </row>
    <row r="61" spans="1:13" ht="15.75">
      <c r="A61" s="9" t="s">
        <v>620</v>
      </c>
      <c r="B61" s="10"/>
      <c r="C61" s="10"/>
      <c r="D61" s="10"/>
      <c r="E61" s="10"/>
      <c r="F61" s="10"/>
      <c r="G61" s="19"/>
      <c r="H61" s="19"/>
      <c r="I61" s="19" t="s">
        <v>2</v>
      </c>
      <c r="J61" s="19"/>
      <c r="K61" s="19"/>
      <c r="L61" s="19"/>
      <c r="M61" s="179"/>
    </row>
    <row r="62" spans="1:13" ht="15.75">
      <c r="A62" s="9" t="s">
        <v>621</v>
      </c>
      <c r="B62" s="10"/>
      <c r="C62" s="10"/>
      <c r="D62" s="10"/>
      <c r="E62" s="10"/>
      <c r="F62" s="10"/>
      <c r="G62" s="19"/>
      <c r="H62" s="19"/>
      <c r="I62" s="19" t="s">
        <v>2</v>
      </c>
      <c r="J62" s="19"/>
      <c r="K62" s="19"/>
      <c r="L62" s="19"/>
      <c r="M62" s="179"/>
    </row>
    <row r="63" spans="1:13" ht="15.75">
      <c r="A63" s="9" t="s">
        <v>545</v>
      </c>
      <c r="B63" s="10"/>
      <c r="C63" s="10"/>
      <c r="D63" s="10"/>
      <c r="E63" s="10"/>
      <c r="F63" s="10"/>
      <c r="G63" s="19"/>
      <c r="H63" s="19"/>
      <c r="I63" s="19" t="s">
        <v>2</v>
      </c>
      <c r="J63" s="19"/>
      <c r="K63" s="19"/>
      <c r="L63" s="19"/>
      <c r="M63" s="179"/>
    </row>
    <row r="64" spans="1:12" ht="12.75">
      <c r="A64" s="20"/>
      <c r="B64" s="2"/>
      <c r="C64" s="2"/>
      <c r="D64" s="2"/>
      <c r="E64" s="2"/>
      <c r="F64" s="2"/>
      <c r="G64" s="2"/>
      <c r="H64" s="2"/>
      <c r="I64" s="1"/>
      <c r="J64" s="1"/>
      <c r="K64" s="1"/>
      <c r="L64" s="1"/>
    </row>
    <row r="65" spans="1:13" s="145" customFormat="1" ht="12.75">
      <c r="A65" s="21"/>
      <c r="B65" s="367" t="s">
        <v>167</v>
      </c>
      <c r="C65" s="367"/>
      <c r="D65" s="367"/>
      <c r="E65" s="367"/>
      <c r="F65" s="367"/>
      <c r="G65" s="367"/>
      <c r="H65" s="367"/>
      <c r="I65" s="298"/>
      <c r="J65" s="298"/>
      <c r="K65" s="298"/>
      <c r="L65" s="298"/>
      <c r="M65" s="299"/>
    </row>
    <row r="66" spans="1:13" s="297" customFormat="1" ht="12.75">
      <c r="A66" s="22"/>
      <c r="B66" s="294">
        <v>1</v>
      </c>
      <c r="C66" s="294">
        <v>2</v>
      </c>
      <c r="D66" s="294">
        <v>3</v>
      </c>
      <c r="E66" s="294">
        <v>4</v>
      </c>
      <c r="F66" s="294">
        <v>5</v>
      </c>
      <c r="G66" s="294">
        <v>6</v>
      </c>
      <c r="H66" s="295" t="s">
        <v>597</v>
      </c>
      <c r="I66" s="298"/>
      <c r="J66" s="298"/>
      <c r="K66" s="298"/>
      <c r="L66" s="298"/>
      <c r="M66" s="298"/>
    </row>
    <row r="67" spans="1:13" ht="15.75" customHeight="1">
      <c r="A67" s="11" t="s">
        <v>534</v>
      </c>
      <c r="B67" s="323">
        <f>+'Tables by type'!J40+'Tables by type'!K40</f>
        <v>0</v>
      </c>
      <c r="C67" s="323">
        <f>+'Tables by type'!J70+'Tables by type'!K70</f>
        <v>0</v>
      </c>
      <c r="D67" s="323">
        <f>+'Tables by type'!J100+'Tables by type'!K100</f>
        <v>0</v>
      </c>
      <c r="E67" s="323">
        <f>+'Tables by type'!J131+'Tables by type'!K131</f>
        <v>0</v>
      </c>
      <c r="F67" s="323">
        <f>+'Tables by type'!J160+'Tables by type'!K160</f>
        <v>0</v>
      </c>
      <c r="G67" s="323">
        <f>+'Tables by type'!J189+'Tables by type'!K189</f>
        <v>0</v>
      </c>
      <c r="H67" s="325">
        <f>+'Tables by type'!J9+'Tables by type'!K9</f>
        <v>0</v>
      </c>
      <c r="I67" s="269"/>
      <c r="J67" s="269"/>
      <c r="K67" s="269"/>
      <c r="L67" s="269"/>
      <c r="M67" s="269"/>
    </row>
    <row r="68" spans="1:13" ht="15.75" customHeight="1">
      <c r="A68" s="11" t="s">
        <v>535</v>
      </c>
      <c r="B68" s="323">
        <f>+'Tables by type'!J41+'Tables by type'!K41</f>
        <v>0</v>
      </c>
      <c r="C68" s="323">
        <f>+'Tables by type'!J71+'Tables by type'!K71</f>
        <v>90.45849841358562</v>
      </c>
      <c r="D68" s="323">
        <f>+'Tables by type'!J101+'Tables by type'!K101</f>
        <v>90.535021441699</v>
      </c>
      <c r="E68" s="323">
        <f>+'Tables by type'!J132+'Tables by type'!K132</f>
        <v>0</v>
      </c>
      <c r="F68" s="323">
        <f>+'Tables by type'!J161+'Tables by type'!K161</f>
        <v>95.40919195574627</v>
      </c>
      <c r="G68" s="323">
        <f>+'Tables by type'!J190+'Tables by type'!K190</f>
        <v>73.65914267964384</v>
      </c>
      <c r="H68" s="325">
        <f>+'Tables by type'!J10+'Tables by type'!K10</f>
        <v>90.58480713546737</v>
      </c>
      <c r="I68" s="269"/>
      <c r="J68" s="269"/>
      <c r="K68" s="269"/>
      <c r="L68" s="269"/>
      <c r="M68" s="269"/>
    </row>
    <row r="69" spans="1:13" ht="15.75" customHeight="1">
      <c r="A69" s="11" t="s">
        <v>536</v>
      </c>
      <c r="B69" s="323">
        <f>+'Tables by type'!J42+'Tables by type'!K42</f>
        <v>0</v>
      </c>
      <c r="C69" s="323">
        <f>+'Tables by type'!J72+'Tables by type'!K72</f>
        <v>0</v>
      </c>
      <c r="D69" s="323">
        <f>+'Tables by type'!J102+'Tables by type'!K102</f>
        <v>0</v>
      </c>
      <c r="E69" s="323">
        <f>+'Tables by type'!J133+'Tables by type'!K133</f>
        <v>0</v>
      </c>
      <c r="F69" s="323">
        <f>+'Tables by type'!J162+'Tables by type'!K162</f>
        <v>0</v>
      </c>
      <c r="G69" s="323">
        <f>+'Tables by type'!J191+'Tables by type'!K191</f>
        <v>0</v>
      </c>
      <c r="H69" s="325">
        <f>+'Tables by type'!J11+'Tables by type'!K11</f>
        <v>0</v>
      </c>
      <c r="I69" s="269"/>
      <c r="J69" s="269"/>
      <c r="K69" s="269"/>
      <c r="L69" s="269"/>
      <c r="M69" s="269"/>
    </row>
    <row r="70" spans="1:13" ht="15.75" customHeight="1">
      <c r="A70" s="11" t="s">
        <v>537</v>
      </c>
      <c r="B70" s="323">
        <f>+'Tables by type'!J43+'Tables by type'!K43</f>
        <v>88.65990376943913</v>
      </c>
      <c r="C70" s="323">
        <f>+'Tables by type'!J73+'Tables by type'!K73</f>
        <v>86.12687015662699</v>
      </c>
      <c r="D70" s="323">
        <f>+'Tables by type'!J103+'Tables by type'!K103</f>
        <v>96.13309352517986</v>
      </c>
      <c r="E70" s="323">
        <f>+'Tables by type'!J134+'Tables by type'!K134</f>
        <v>0</v>
      </c>
      <c r="F70" s="323">
        <f>+'Tables by type'!J163+'Tables by type'!K163</f>
        <v>72.70869049188975</v>
      </c>
      <c r="G70" s="323">
        <f>+'Tables by type'!J192+'Tables by type'!K192</f>
        <v>0</v>
      </c>
      <c r="H70" s="325">
        <f>+'Tables by type'!J12+'Tables by type'!K12</f>
        <v>88.30759892013137</v>
      </c>
      <c r="I70" s="269"/>
      <c r="J70" s="269"/>
      <c r="K70" s="269"/>
      <c r="L70" s="269"/>
      <c r="M70" s="269"/>
    </row>
    <row r="71" spans="1:13" ht="15.75" customHeight="1">
      <c r="A71" s="11"/>
      <c r="B71" s="323">
        <f>+'Tables by type'!J44+'Tables by type'!K44</f>
        <v>0</v>
      </c>
      <c r="C71" s="323">
        <f>+'Tables by type'!J74+'Tables by type'!K74</f>
        <v>0</v>
      </c>
      <c r="D71" s="323">
        <f>+'Tables by type'!J104+'Tables by type'!K104</f>
        <v>0</v>
      </c>
      <c r="E71" s="323">
        <f>+'Tables by type'!J135+'Tables by type'!K135</f>
        <v>0</v>
      </c>
      <c r="F71" s="323">
        <f>+'Tables by type'!J164+'Tables by type'!K164</f>
        <v>0</v>
      </c>
      <c r="G71" s="323">
        <f>+'Tables by type'!J193+'Tables by type'!K193</f>
        <v>0</v>
      </c>
      <c r="H71" s="325">
        <f>+'Tables by type'!J13+'Tables by type'!K13</f>
        <v>0</v>
      </c>
      <c r="I71" s="269"/>
      <c r="J71" s="269"/>
      <c r="K71" s="269"/>
      <c r="L71" s="269"/>
      <c r="M71" s="269"/>
    </row>
    <row r="72" spans="1:13" ht="15.75" customHeight="1">
      <c r="A72" s="11" t="s">
        <v>538</v>
      </c>
      <c r="B72" s="323">
        <f>+'Tables by type'!J45+'Tables by type'!K45</f>
        <v>97.07456896453823</v>
      </c>
      <c r="C72" s="323">
        <f>+'Tables by type'!J75+'Tables by type'!K75</f>
        <v>98.43811096146327</v>
      </c>
      <c r="D72" s="323">
        <f>+'Tables by type'!J105+'Tables by type'!K105</f>
        <v>78.6957036335661</v>
      </c>
      <c r="E72" s="323">
        <f>+'Tables by type'!J136+'Tables by type'!K136</f>
        <v>88.20333909933724</v>
      </c>
      <c r="F72" s="326">
        <f>+'Tables by type'!J165+'Tables by type'!K165</f>
        <v>93.00999176154967</v>
      </c>
      <c r="G72" s="323">
        <f>+'Tables by type'!J194+'Tables by type'!K194</f>
        <v>0</v>
      </c>
      <c r="H72" s="325">
        <f>+'Tables by type'!J14+'Tables by type'!K14</f>
        <v>94.61665577530046</v>
      </c>
      <c r="I72" s="269"/>
      <c r="J72" s="269"/>
      <c r="K72" s="269"/>
      <c r="L72" s="269"/>
      <c r="M72" s="269"/>
    </row>
    <row r="73" spans="1:13" ht="15.75" customHeight="1">
      <c r="A73" s="11" t="s">
        <v>539</v>
      </c>
      <c r="B73" s="323">
        <f>+'Tables by type'!J46+'Tables by type'!K46</f>
        <v>97.25821486832905</v>
      </c>
      <c r="C73" s="323">
        <f>+'Tables by type'!J76+'Tables by type'!K76</f>
        <v>86.91049611142792</v>
      </c>
      <c r="D73" s="326">
        <f>+'Tables by type'!J106+'Tables by type'!K106</f>
        <v>81.00744327780413</v>
      </c>
      <c r="E73" s="323">
        <f>+'Tables by type'!J137+'Tables by type'!K137</f>
        <v>86.5665495014893</v>
      </c>
      <c r="F73" s="323">
        <f>+'Tables by type'!J166+'Tables by type'!K166</f>
        <v>0</v>
      </c>
      <c r="G73" s="323">
        <f>+'Tables by type'!J195+'Tables by type'!K195</f>
        <v>98.51239669421487</v>
      </c>
      <c r="H73" s="325">
        <f>+'Tables by type'!J15+'Tables by type'!K15</f>
        <v>87.68567791292595</v>
      </c>
      <c r="I73" s="269"/>
      <c r="J73" s="269"/>
      <c r="K73" s="269"/>
      <c r="L73" s="269"/>
      <c r="M73" s="269"/>
    </row>
    <row r="74" spans="1:13" ht="15.75" customHeight="1">
      <c r="A74" s="11" t="s">
        <v>540</v>
      </c>
      <c r="B74" s="323">
        <f>+'Tables by type'!J47+'Tables by type'!K47</f>
        <v>0</v>
      </c>
      <c r="C74" s="323">
        <f>+'Tables by type'!J77+'Tables by type'!K77</f>
        <v>0</v>
      </c>
      <c r="D74" s="323">
        <f>+'Tables by type'!J107+'Tables by type'!K107</f>
        <v>0</v>
      </c>
      <c r="E74" s="323">
        <f>+'Tables by type'!J138+'Tables by type'!K138</f>
        <v>0</v>
      </c>
      <c r="F74" s="323">
        <f>+'Tables by type'!J167+'Tables by type'!K167</f>
        <v>0</v>
      </c>
      <c r="G74" s="323">
        <f>+'Tables by type'!J196+'Tables by type'!K196</f>
        <v>0</v>
      </c>
      <c r="H74" s="325">
        <f>+'Tables by type'!J16+'Tables by type'!K16</f>
        <v>0</v>
      </c>
      <c r="I74" s="269"/>
      <c r="J74" s="269"/>
      <c r="K74" s="269"/>
      <c r="L74" s="269"/>
      <c r="M74" s="269"/>
    </row>
    <row r="75" spans="1:13" ht="15.75" customHeight="1">
      <c r="A75" s="11" t="s">
        <v>566</v>
      </c>
      <c r="B75" s="323">
        <f>+'Tables by type'!J48+'Tables by type'!K48</f>
        <v>0</v>
      </c>
      <c r="C75" s="323">
        <f>+'Tables by type'!J78+'Tables by type'!K78</f>
        <v>88.47611827141773</v>
      </c>
      <c r="D75" s="323">
        <f>+'Tables by type'!J108+'Tables by type'!K108</f>
        <v>99.87582176771366</v>
      </c>
      <c r="E75" s="323">
        <f>+'Tables by type'!J139+'Tables by type'!K139</f>
        <v>94.43430656934306</v>
      </c>
      <c r="F75" s="323">
        <f>+'Tables by type'!J168+'Tables by type'!K168</f>
        <v>0</v>
      </c>
      <c r="G75" s="323">
        <f>+'Tables by type'!J197+'Tables by type'!K197</f>
        <v>0</v>
      </c>
      <c r="H75" s="325">
        <f>+'Tables by type'!J17+'Tables by type'!K17</f>
        <v>70.30539729833109</v>
      </c>
      <c r="I75" s="269"/>
      <c r="J75" s="269"/>
      <c r="K75" s="269"/>
      <c r="L75" s="269"/>
      <c r="M75" s="269"/>
    </row>
    <row r="76" spans="1:13" ht="15.75" customHeight="1">
      <c r="A76" s="11"/>
      <c r="B76" s="323">
        <f>+'Tables by type'!J49+'Tables by type'!K49</f>
        <v>0</v>
      </c>
      <c r="C76" s="323">
        <f>+'Tables by type'!J79+'Tables by type'!K79</f>
        <v>0</v>
      </c>
      <c r="D76" s="323">
        <f>+'Tables by type'!J109+'Tables by type'!K109</f>
        <v>0</v>
      </c>
      <c r="E76" s="323">
        <f>+'Tables by type'!J140+'Tables by type'!K140</f>
        <v>0</v>
      </c>
      <c r="F76" s="323">
        <f>+'Tables by type'!J169+'Tables by type'!K169</f>
        <v>0</v>
      </c>
      <c r="G76" s="323">
        <f>+'Tables by type'!J198+'Tables by type'!K198</f>
        <v>0</v>
      </c>
      <c r="H76" s="325">
        <f>+'Tables by type'!J18+'Tables by type'!K18</f>
        <v>0</v>
      </c>
      <c r="I76" s="269"/>
      <c r="J76" s="269"/>
      <c r="K76" s="269"/>
      <c r="L76" s="269"/>
      <c r="M76" s="269"/>
    </row>
    <row r="77" spans="1:13" ht="15.75" customHeight="1">
      <c r="A77" s="11" t="s">
        <v>168</v>
      </c>
      <c r="B77" s="323">
        <f>+'Tables by type'!J50+'Tables by type'!K50</f>
        <v>89.480121270585</v>
      </c>
      <c r="C77" s="323">
        <f>+'Tables by type'!J80+'Tables by type'!K80</f>
        <v>94.54243169003902</v>
      </c>
      <c r="D77" s="323">
        <f>+'Tables by type'!J110+'Tables by type'!K110</f>
        <v>99.70263572876773</v>
      </c>
      <c r="E77" s="323">
        <f>+'Tables by type'!J141+'Tables by type'!K141</f>
        <v>91.89604650045635</v>
      </c>
      <c r="F77" s="323">
        <f>+'Tables by type'!J170+'Tables by type'!K170</f>
        <v>98.86553513323366</v>
      </c>
      <c r="G77" s="323">
        <f>+'Tables by type'!J199+'Tables by type'!K199</f>
        <v>0</v>
      </c>
      <c r="H77" s="325">
        <f>+'Tables by type'!J19+'Tables by type'!K19</f>
        <v>93.71198572882071</v>
      </c>
      <c r="I77" s="269"/>
      <c r="J77" s="269"/>
      <c r="K77" s="269"/>
      <c r="L77" s="269"/>
      <c r="M77" s="269"/>
    </row>
    <row r="78" spans="1:13" ht="15.75" customHeight="1">
      <c r="A78" s="11" t="s">
        <v>176</v>
      </c>
      <c r="B78" s="323">
        <f>+'Tables by type'!J51+'Tables by type'!K51</f>
        <v>98.61618386446223</v>
      </c>
      <c r="C78" s="323">
        <f>+'Tables by type'!J81+'Tables by type'!K81</f>
        <v>92.07185435798293</v>
      </c>
      <c r="D78" s="323">
        <f>+'Tables by type'!J111+'Tables by type'!K111</f>
        <v>87.73101368970013</v>
      </c>
      <c r="E78" s="326">
        <f>+'Tables by type'!J142+'Tables by type'!K142</f>
        <v>100</v>
      </c>
      <c r="F78" s="323">
        <f>+'Tables by type'!J171+'Tables by type'!K171</f>
        <v>95.64643799472296</v>
      </c>
      <c r="G78" s="323">
        <f>+'Tables by type'!J200+'Tables by type'!K200</f>
        <v>99.83314794215795</v>
      </c>
      <c r="H78" s="325">
        <f>+'Tables by type'!J20+'Tables by type'!K20</f>
        <v>92.90698406934042</v>
      </c>
      <c r="I78" s="269"/>
      <c r="J78" s="269"/>
      <c r="K78" s="269"/>
      <c r="L78" s="269"/>
      <c r="M78" s="269"/>
    </row>
    <row r="79" spans="1:13" ht="15.75" customHeight="1">
      <c r="A79" s="11" t="s">
        <v>169</v>
      </c>
      <c r="B79" s="323">
        <f>+'Tables by type'!J52+'Tables by type'!K52</f>
        <v>95.93623903330844</v>
      </c>
      <c r="C79" s="323">
        <f>+'Tables by type'!J82+'Tables by type'!K82</f>
        <v>0</v>
      </c>
      <c r="D79" s="323">
        <f>+'Tables by type'!J112+'Tables by type'!K112</f>
        <v>94.76800651649488</v>
      </c>
      <c r="E79" s="323">
        <f>+'Tables by type'!J143+'Tables by type'!K143</f>
        <v>99.15932746196957</v>
      </c>
      <c r="F79" s="323">
        <f>+'Tables by type'!J172+'Tables by type'!K172</f>
        <v>89.62691395298685</v>
      </c>
      <c r="G79" s="323">
        <f>+'Tables by type'!J201+'Tables by type'!K201</f>
        <v>95.91836734693877</v>
      </c>
      <c r="H79" s="325">
        <f>+'Tables by type'!J21+'Tables by type'!K21</f>
        <v>95.14864686662075</v>
      </c>
      <c r="I79" s="269"/>
      <c r="J79" s="269"/>
      <c r="K79" s="269"/>
      <c r="L79" s="269"/>
      <c r="M79" s="269"/>
    </row>
    <row r="80" spans="1:13" ht="15.75" customHeight="1">
      <c r="A80" s="11" t="s">
        <v>542</v>
      </c>
      <c r="B80" s="323">
        <f>+'Tables by type'!J53+'Tables by type'!K53</f>
        <v>0</v>
      </c>
      <c r="C80" s="323">
        <f>+'Tables by type'!J83+'Tables by type'!K83</f>
        <v>0</v>
      </c>
      <c r="D80" s="323">
        <f>+'Tables by type'!J113+'Tables by type'!K113</f>
        <v>0</v>
      </c>
      <c r="E80" s="323">
        <f>+'Tables by type'!J144+'Tables by type'!K144</f>
        <v>0</v>
      </c>
      <c r="F80" s="323">
        <f>+'Tables by type'!J173+'Tables by type'!K173</f>
        <v>0</v>
      </c>
      <c r="G80" s="323">
        <f>+'Tables by type'!J202+'Tables by type'!K202</f>
        <v>0</v>
      </c>
      <c r="H80" s="325">
        <f>+'Tables by type'!J22+'Tables by type'!K22</f>
        <v>0</v>
      </c>
      <c r="I80" s="269"/>
      <c r="J80" s="269"/>
      <c r="K80" s="269"/>
      <c r="L80" s="269"/>
      <c r="M80" s="269"/>
    </row>
    <row r="81" spans="1:13" ht="15.75" customHeight="1">
      <c r="A81" s="11"/>
      <c r="B81" s="323">
        <f>+'Tables by type'!J54+'Tables by type'!K54</f>
        <v>0</v>
      </c>
      <c r="C81" s="323">
        <f>+'Tables by type'!J84+'Tables by type'!K84</f>
        <v>0</v>
      </c>
      <c r="D81" s="323">
        <f>+'Tables by type'!J114+'Tables by type'!K114</f>
        <v>0</v>
      </c>
      <c r="E81" s="323">
        <f>+'Tables by type'!J145+'Tables by type'!K145</f>
        <v>0</v>
      </c>
      <c r="F81" s="323">
        <f>+'Tables by type'!J174+'Tables by type'!K174</f>
        <v>0</v>
      </c>
      <c r="G81" s="323">
        <f>+'Tables by type'!J203+'Tables by type'!K203</f>
        <v>0</v>
      </c>
      <c r="H81" s="325">
        <f>+'Tables by type'!J23+'Tables by type'!K23</f>
        <v>0</v>
      </c>
      <c r="I81" s="269"/>
      <c r="J81" s="269"/>
      <c r="K81" s="269"/>
      <c r="L81" s="269"/>
      <c r="M81" s="269"/>
    </row>
    <row r="82" spans="1:13" ht="15.75" customHeight="1">
      <c r="A82" s="11" t="s">
        <v>543</v>
      </c>
      <c r="B82" s="323">
        <f>+'Tables by type'!J55+'Tables by type'!K55</f>
        <v>0</v>
      </c>
      <c r="C82" s="323">
        <f>+'Tables by type'!J85+'Tables by type'!K85</f>
        <v>0</v>
      </c>
      <c r="D82" s="323">
        <f>+'Tables by type'!J115+'Tables by type'!K115</f>
        <v>0</v>
      </c>
      <c r="E82" s="323">
        <f>+'Tables by type'!J146+'Tables by type'!K146</f>
        <v>0</v>
      </c>
      <c r="F82" s="323">
        <f>+'Tables by type'!J175+'Tables by type'!K175</f>
        <v>0</v>
      </c>
      <c r="G82" s="323">
        <f>+'Tables by type'!J204+'Tables by type'!K204</f>
        <v>0</v>
      </c>
      <c r="H82" s="325">
        <f>+'Tables by type'!J24+'Tables by type'!K24</f>
        <v>0</v>
      </c>
      <c r="I82" s="269"/>
      <c r="J82" s="269"/>
      <c r="K82" s="269"/>
      <c r="L82" s="269"/>
      <c r="M82" s="269"/>
    </row>
    <row r="83" spans="1:13" ht="15.75" customHeight="1">
      <c r="A83" s="11" t="s">
        <v>277</v>
      </c>
      <c r="B83" s="323">
        <f>+'Tables by type'!J56+'Tables by type'!K56</f>
        <v>94.7703926316754</v>
      </c>
      <c r="C83" s="323">
        <f>+'Tables by type'!J86+'Tables by type'!K86</f>
        <v>88.5459082626951</v>
      </c>
      <c r="D83" s="326">
        <f>+'Tables by type'!J116+'Tables by type'!K116</f>
        <v>93.04206643089458</v>
      </c>
      <c r="E83" s="323">
        <f>+'Tables by type'!J147+'Tables by type'!K147</f>
        <v>86.61763837202433</v>
      </c>
      <c r="F83" s="323">
        <f>+'Tables by type'!J176+'Tables by type'!K176</f>
        <v>47.44804725681016</v>
      </c>
      <c r="G83" s="323">
        <f>+'Tables by type'!J205+'Tables by type'!K205</f>
        <v>99.4985374007522</v>
      </c>
      <c r="H83" s="325">
        <f>+'Tables by type'!J25+'Tables by type'!K25</f>
        <v>92.42920320388718</v>
      </c>
      <c r="I83" s="269"/>
      <c r="J83" s="269"/>
      <c r="K83" s="269"/>
      <c r="L83" s="269"/>
      <c r="M83" s="269"/>
    </row>
    <row r="84" spans="1:13" ht="15.75" customHeight="1">
      <c r="A84" s="11" t="s">
        <v>544</v>
      </c>
      <c r="B84" s="323">
        <f>+'Tables by type'!J57+'Tables by type'!K57</f>
        <v>0</v>
      </c>
      <c r="C84" s="323">
        <f>+'Tables by type'!J87+'Tables by type'!K87</f>
        <v>0</v>
      </c>
      <c r="D84" s="323">
        <f>+'Tables by type'!J117+'Tables by type'!K117</f>
        <v>0</v>
      </c>
      <c r="E84" s="323">
        <f>+'Tables by type'!J148+'Tables by type'!K148</f>
        <v>0</v>
      </c>
      <c r="F84" s="323">
        <f>+'Tables by type'!J177+'Tables by type'!K177</f>
        <v>0</v>
      </c>
      <c r="G84" s="326">
        <f>+'Tables by type'!J206+'Tables by type'!K206</f>
        <v>0</v>
      </c>
      <c r="H84" s="325">
        <f>+'Tables by type'!J26+'Tables by type'!K26</f>
        <v>0</v>
      </c>
      <c r="I84" s="269"/>
      <c r="J84" s="269"/>
      <c r="K84" s="269"/>
      <c r="L84" s="269"/>
      <c r="M84" s="269"/>
    </row>
    <row r="85" spans="1:13" ht="15.75" customHeight="1">
      <c r="A85" s="12" t="s">
        <v>170</v>
      </c>
      <c r="B85" s="328">
        <f>+'Tables by type'!J58+'Tables by type'!K58</f>
        <v>92.98021524078703</v>
      </c>
      <c r="C85" s="327">
        <f>+'Tables by type'!J88+'Tables by type'!K88</f>
        <v>0</v>
      </c>
      <c r="D85" s="327">
        <f>+'Tables by type'!J118+'Tables by type'!K118</f>
        <v>78.24483095707988</v>
      </c>
      <c r="E85" s="327">
        <f>+'Tables by type'!J149+'Tables by type'!K149</f>
        <v>0</v>
      </c>
      <c r="F85" s="327">
        <f>+'Tables by type'!J178+'Tables by type'!K178</f>
        <v>0</v>
      </c>
      <c r="G85" s="328">
        <f>+'Tables by type'!J207+'Tables by type'!K207</f>
        <v>100</v>
      </c>
      <c r="H85" s="329">
        <f>+'Tables by type'!J27+'Tables by type'!K27</f>
        <v>88.2464021746321</v>
      </c>
      <c r="I85" s="269"/>
      <c r="J85" s="269"/>
      <c r="K85" s="269"/>
      <c r="L85" s="269"/>
      <c r="M85" s="269"/>
    </row>
    <row r="86" spans="10:13" s="276" customFormat="1" ht="11.25">
      <c r="J86" s="289"/>
      <c r="M86" s="289"/>
    </row>
    <row r="87" spans="1:13" s="276" customFormat="1" ht="11.25">
      <c r="A87" s="290" t="s">
        <v>622</v>
      </c>
      <c r="M87" s="289"/>
    </row>
    <row r="88" spans="8:13" s="276" customFormat="1" ht="11.25">
      <c r="H88" s="351" t="s">
        <v>642</v>
      </c>
      <c r="M88" s="289"/>
    </row>
    <row r="89" spans="1:13" ht="18">
      <c r="A89" s="113" t="s">
        <v>576</v>
      </c>
      <c r="B89" s="8"/>
      <c r="C89" s="8"/>
      <c r="D89" s="8"/>
      <c r="E89" s="8"/>
      <c r="F89" s="8"/>
      <c r="G89" s="19"/>
      <c r="H89" s="19"/>
      <c r="I89" s="19" t="s">
        <v>2</v>
      </c>
      <c r="J89" s="19"/>
      <c r="K89" s="19"/>
      <c r="L89" s="19"/>
      <c r="M89" s="179"/>
    </row>
    <row r="90" spans="1:13" s="11" customFormat="1" ht="12.75">
      <c r="A90" s="293"/>
      <c r="B90" s="10"/>
      <c r="C90" s="10"/>
      <c r="D90" s="10"/>
      <c r="E90" s="10"/>
      <c r="F90" s="10"/>
      <c r="G90" s="10"/>
      <c r="H90" s="10"/>
      <c r="I90" s="10"/>
      <c r="J90" s="10"/>
      <c r="K90" s="10"/>
      <c r="L90" s="10"/>
      <c r="M90" s="292"/>
    </row>
    <row r="91" spans="1:13" ht="18">
      <c r="A91" s="9" t="s">
        <v>628</v>
      </c>
      <c r="B91" s="8"/>
      <c r="C91" s="8"/>
      <c r="D91" s="8"/>
      <c r="E91" s="8"/>
      <c r="F91" s="8"/>
      <c r="G91" s="19"/>
      <c r="H91" s="19"/>
      <c r="I91" s="19" t="s">
        <v>2</v>
      </c>
      <c r="J91" s="19"/>
      <c r="K91" s="19"/>
      <c r="L91" s="19"/>
      <c r="M91" s="179"/>
    </row>
    <row r="92" spans="1:13" ht="15.75">
      <c r="A92" s="9" t="s">
        <v>545</v>
      </c>
      <c r="B92" s="10"/>
      <c r="C92" s="10"/>
      <c r="D92" s="10"/>
      <c r="E92" s="10"/>
      <c r="F92" s="10"/>
      <c r="G92" s="19"/>
      <c r="H92" s="19"/>
      <c r="I92" s="19" t="s">
        <v>2</v>
      </c>
      <c r="J92" s="19"/>
      <c r="K92" s="19"/>
      <c r="L92" s="19"/>
      <c r="M92" s="179"/>
    </row>
    <row r="93" spans="1:13" ht="15.75">
      <c r="A93" s="9"/>
      <c r="B93" s="10"/>
      <c r="C93" s="10"/>
      <c r="D93" s="10"/>
      <c r="E93" s="10"/>
      <c r="F93" s="10"/>
      <c r="G93" s="19"/>
      <c r="H93" s="19"/>
      <c r="I93" s="19"/>
      <c r="J93" s="19"/>
      <c r="K93" s="19"/>
      <c r="L93" s="19"/>
      <c r="M93" s="179"/>
    </row>
    <row r="94" spans="1:14" s="297" customFormat="1" ht="12.75">
      <c r="A94" s="22"/>
      <c r="B94" s="367" t="s">
        <v>167</v>
      </c>
      <c r="C94" s="367"/>
      <c r="D94" s="367"/>
      <c r="E94" s="367"/>
      <c r="F94" s="367"/>
      <c r="G94" s="367"/>
      <c r="H94" s="367"/>
      <c r="I94" s="366"/>
      <c r="J94" s="366"/>
      <c r="K94" s="366"/>
      <c r="L94" s="366"/>
      <c r="M94" s="298"/>
      <c r="N94" s="298"/>
    </row>
    <row r="95" spans="1:14" s="297" customFormat="1" ht="12.75">
      <c r="A95" s="22"/>
      <c r="B95" s="294">
        <v>1</v>
      </c>
      <c r="C95" s="294">
        <v>2</v>
      </c>
      <c r="D95" s="294">
        <v>3</v>
      </c>
      <c r="E95" s="294">
        <v>4</v>
      </c>
      <c r="F95" s="294">
        <v>5</v>
      </c>
      <c r="G95" s="294">
        <v>6</v>
      </c>
      <c r="H95" s="295" t="s">
        <v>597</v>
      </c>
      <c r="I95" s="298"/>
      <c r="J95" s="298"/>
      <c r="K95" s="298"/>
      <c r="L95" s="298"/>
      <c r="M95" s="298"/>
      <c r="N95" s="298"/>
    </row>
    <row r="96" spans="1:14" ht="15.75" customHeight="1">
      <c r="A96" s="11" t="s">
        <v>534</v>
      </c>
      <c r="B96" s="323">
        <f>+'Tables by type'!L40</f>
        <v>0</v>
      </c>
      <c r="C96" s="323">
        <f>+'Tables by type'!L70</f>
        <v>0</v>
      </c>
      <c r="D96" s="323">
        <f>+'Tables by type'!L100</f>
        <v>0</v>
      </c>
      <c r="E96" s="323">
        <f>+'Tables by type'!L131</f>
        <v>0</v>
      </c>
      <c r="F96" s="323">
        <f>+'Tables by type'!L160</f>
        <v>0</v>
      </c>
      <c r="G96" s="323">
        <f>+'Tables by type'!L189</f>
        <v>0</v>
      </c>
      <c r="H96" s="325">
        <f>+'Tables by type'!L9</f>
        <v>0</v>
      </c>
      <c r="I96" s="269"/>
      <c r="J96" s="269"/>
      <c r="K96" s="269"/>
      <c r="L96" s="269"/>
      <c r="M96" s="269"/>
      <c r="N96" s="1"/>
    </row>
    <row r="97" spans="1:14" ht="15.75" customHeight="1">
      <c r="A97" s="11" t="s">
        <v>535</v>
      </c>
      <c r="B97" s="323">
        <f>+'Tables by type'!L41</f>
        <v>0</v>
      </c>
      <c r="C97" s="323">
        <f>+'Tables by type'!L71</f>
        <v>9.541501586414375</v>
      </c>
      <c r="D97" s="323">
        <f>+'Tables by type'!L101</f>
        <v>9.464978558301</v>
      </c>
      <c r="E97" s="323">
        <f>+'Tables by type'!L132</f>
        <v>0</v>
      </c>
      <c r="F97" s="323">
        <f>+'Tables by type'!L161</f>
        <v>4.590808044253735</v>
      </c>
      <c r="G97" s="323">
        <f>+'Tables by type'!L190</f>
        <v>26.340857320356182</v>
      </c>
      <c r="H97" s="325">
        <f>+'Tables by type'!L10</f>
        <v>9.415192864532639</v>
      </c>
      <c r="I97" s="269"/>
      <c r="J97" s="269"/>
      <c r="K97" s="269"/>
      <c r="L97" s="269"/>
      <c r="M97" s="269"/>
      <c r="N97" s="1"/>
    </row>
    <row r="98" spans="1:14" ht="15.75" customHeight="1">
      <c r="A98" s="11" t="s">
        <v>536</v>
      </c>
      <c r="B98" s="323">
        <f>+'Tables by type'!L42</f>
        <v>0</v>
      </c>
      <c r="C98" s="323">
        <f>+'Tables by type'!L72</f>
        <v>0</v>
      </c>
      <c r="D98" s="323">
        <f>+'Tables by type'!L102</f>
        <v>0</v>
      </c>
      <c r="E98" s="323">
        <f>+'Tables by type'!L133</f>
        <v>0</v>
      </c>
      <c r="F98" s="323">
        <f>+'Tables by type'!L162</f>
        <v>0</v>
      </c>
      <c r="G98" s="323">
        <f>+'Tables by type'!L191</f>
        <v>0</v>
      </c>
      <c r="H98" s="325">
        <f>+'Tables by type'!L11</f>
        <v>0</v>
      </c>
      <c r="I98" s="269"/>
      <c r="J98" s="269"/>
      <c r="K98" s="269"/>
      <c r="L98" s="269"/>
      <c r="M98" s="269"/>
      <c r="N98" s="1"/>
    </row>
    <row r="99" spans="1:14" ht="15.75" customHeight="1">
      <c r="A99" s="11" t="s">
        <v>537</v>
      </c>
      <c r="B99" s="323">
        <f>+'Tables by type'!L43</f>
        <v>11.336280585799589</v>
      </c>
      <c r="C99" s="323">
        <f>+'Tables by type'!L73</f>
        <v>13.873129843373006</v>
      </c>
      <c r="D99" s="323">
        <f>+'Tables by type'!L103</f>
        <v>3.8669064748201434</v>
      </c>
      <c r="E99" s="323">
        <f>+'Tables by type'!L134</f>
        <v>0</v>
      </c>
      <c r="F99" s="323">
        <f>+'Tables by type'!L163</f>
        <v>27.291309508110245</v>
      </c>
      <c r="G99" s="323">
        <f>+'Tables by type'!L192</f>
        <v>0</v>
      </c>
      <c r="H99" s="325">
        <f>+'Tables by type'!L12</f>
        <v>11.690152067506355</v>
      </c>
      <c r="I99" s="269"/>
      <c r="J99" s="269"/>
      <c r="K99" s="269"/>
      <c r="L99" s="269"/>
      <c r="M99" s="269"/>
      <c r="N99" s="1"/>
    </row>
    <row r="100" spans="1:14" ht="15.75" customHeight="1">
      <c r="A100" s="11"/>
      <c r="B100" s="323">
        <f>+'Tables by type'!L44</f>
        <v>0</v>
      </c>
      <c r="C100" s="323">
        <f>+'Tables by type'!L74</f>
        <v>0</v>
      </c>
      <c r="D100" s="323">
        <f>+'Tables by type'!L104</f>
        <v>0</v>
      </c>
      <c r="E100" s="323">
        <f>+'Tables by type'!L135</f>
        <v>0</v>
      </c>
      <c r="F100" s="323">
        <f>+'Tables by type'!L164</f>
        <v>0</v>
      </c>
      <c r="G100" s="323">
        <f>+'Tables by type'!L193</f>
        <v>0</v>
      </c>
      <c r="H100" s="325">
        <f>+'Tables by type'!L13</f>
        <v>0</v>
      </c>
      <c r="I100" s="269"/>
      <c r="J100" s="269"/>
      <c r="K100" s="269"/>
      <c r="L100" s="269"/>
      <c r="M100" s="269"/>
      <c r="N100" s="1"/>
    </row>
    <row r="101" spans="1:14" ht="15.75" customHeight="1">
      <c r="A101" s="11" t="s">
        <v>538</v>
      </c>
      <c r="B101" s="323">
        <f>+'Tables by type'!L45</f>
        <v>2.9254310354617656</v>
      </c>
      <c r="C101" s="323">
        <f>+'Tables by type'!L75</f>
        <v>1.5618890385367339</v>
      </c>
      <c r="D101" s="323">
        <f>+'Tables by type'!L105</f>
        <v>21.304296366433896</v>
      </c>
      <c r="E101" s="323">
        <f>+'Tables by type'!L136</f>
        <v>11.639958407028047</v>
      </c>
      <c r="F101" s="326">
        <f>+'Tables by type'!L165</f>
        <v>6.990008238450326</v>
      </c>
      <c r="G101" s="323">
        <f>+'Tables by type'!L194</f>
        <v>0</v>
      </c>
      <c r="H101" s="325">
        <f>+'Tables by type'!L14</f>
        <v>5.362926869909985</v>
      </c>
      <c r="I101" s="269"/>
      <c r="J101" s="269"/>
      <c r="K101" s="269"/>
      <c r="L101" s="269"/>
      <c r="M101" s="269"/>
      <c r="N101" s="1"/>
    </row>
    <row r="102" spans="1:14" ht="15.75" customHeight="1">
      <c r="A102" s="11" t="s">
        <v>539</v>
      </c>
      <c r="B102" s="323">
        <f>+'Tables by type'!L46</f>
        <v>2.7417851316709387</v>
      </c>
      <c r="C102" s="323">
        <f>+'Tables by type'!L76</f>
        <v>13.089503888572088</v>
      </c>
      <c r="D102" s="326">
        <f>+'Tables by type'!L106</f>
        <v>18.99255672219588</v>
      </c>
      <c r="E102" s="323">
        <f>+'Tables by type'!L137</f>
        <v>13.433450498510693</v>
      </c>
      <c r="F102" s="323">
        <f>+'Tables by type'!L166</f>
        <v>0</v>
      </c>
      <c r="G102" s="323">
        <f>+'Tables by type'!L195</f>
        <v>1.487603305785124</v>
      </c>
      <c r="H102" s="325">
        <f>+'Tables by type'!L15</f>
        <v>12.314322087074041</v>
      </c>
      <c r="I102" s="269"/>
      <c r="J102" s="269"/>
      <c r="K102" s="269"/>
      <c r="L102" s="269"/>
      <c r="M102" s="269"/>
      <c r="N102" s="1"/>
    </row>
    <row r="103" spans="1:14" ht="15.75" customHeight="1">
      <c r="A103" s="11" t="s">
        <v>540</v>
      </c>
      <c r="B103" s="323">
        <f>+'Tables by type'!L47</f>
        <v>0</v>
      </c>
      <c r="C103" s="323">
        <f>+'Tables by type'!L77</f>
        <v>0</v>
      </c>
      <c r="D103" s="323">
        <f>+'Tables by type'!L107</f>
        <v>0</v>
      </c>
      <c r="E103" s="323">
        <f>+'Tables by type'!L138</f>
        <v>0</v>
      </c>
      <c r="F103" s="323">
        <f>+'Tables by type'!L167</f>
        <v>0</v>
      </c>
      <c r="G103" s="323">
        <f>+'Tables by type'!L196</f>
        <v>0</v>
      </c>
      <c r="H103" s="325">
        <f>+'Tables by type'!L16</f>
        <v>0</v>
      </c>
      <c r="I103" s="269"/>
      <c r="J103" s="269"/>
      <c r="K103" s="269"/>
      <c r="L103" s="269"/>
      <c r="M103" s="269"/>
      <c r="N103" s="1"/>
    </row>
    <row r="104" spans="1:14" ht="15.75" customHeight="1">
      <c r="A104" s="11" t="s">
        <v>566</v>
      </c>
      <c r="B104" s="323">
        <f>+'Tables by type'!L48</f>
        <v>0</v>
      </c>
      <c r="C104" s="323">
        <f>+'Tables by type'!L78</f>
        <v>11.52388172858226</v>
      </c>
      <c r="D104" s="323">
        <f>+'Tables by type'!L108</f>
        <v>0.12417823228634038</v>
      </c>
      <c r="E104" s="323">
        <f>+'Tables by type'!L139</f>
        <v>5.5656934306569354</v>
      </c>
      <c r="F104" s="323">
        <f>+'Tables by type'!L168</f>
        <v>0</v>
      </c>
      <c r="G104" s="323">
        <f>+'Tables by type'!L197</f>
        <v>0</v>
      </c>
      <c r="H104" s="325">
        <f>+'Tables by type'!L17</f>
        <v>29.694602701668916</v>
      </c>
      <c r="I104" s="269"/>
      <c r="J104" s="269"/>
      <c r="K104" s="269"/>
      <c r="L104" s="269"/>
      <c r="M104" s="269"/>
      <c r="N104" s="1"/>
    </row>
    <row r="105" spans="1:14" ht="15.75" customHeight="1">
      <c r="A105" s="11"/>
      <c r="B105" s="323">
        <f>+'Tables by type'!L49</f>
        <v>0</v>
      </c>
      <c r="C105" s="323">
        <f>+'Tables by type'!L79</f>
        <v>0</v>
      </c>
      <c r="D105" s="323">
        <f>+'Tables by type'!L109</f>
        <v>0</v>
      </c>
      <c r="E105" s="323">
        <f>+'Tables by type'!L140</f>
        <v>0</v>
      </c>
      <c r="F105" s="323">
        <f>+'Tables by type'!L169</f>
        <v>0</v>
      </c>
      <c r="G105" s="323">
        <f>+'Tables by type'!L198</f>
        <v>0</v>
      </c>
      <c r="H105" s="325">
        <f>+'Tables by type'!L18</f>
        <v>0</v>
      </c>
      <c r="I105" s="269"/>
      <c r="J105" s="269"/>
      <c r="K105" s="269"/>
      <c r="L105" s="269"/>
      <c r="M105" s="269"/>
      <c r="N105" s="1"/>
    </row>
    <row r="106" spans="1:14" ht="15.75" customHeight="1">
      <c r="A106" s="11" t="s">
        <v>168</v>
      </c>
      <c r="B106" s="323">
        <f>+'Tables by type'!L50</f>
        <v>10.51298835526769</v>
      </c>
      <c r="C106" s="323">
        <f>+'Tables by type'!L80</f>
        <v>5.4575683099609655</v>
      </c>
      <c r="D106" s="323">
        <f>+'Tables by type'!L110</f>
        <v>0.2973642712322595</v>
      </c>
      <c r="E106" s="326">
        <f>+'Tables by type'!L141</f>
        <v>8.017485708795697</v>
      </c>
      <c r="F106" s="323">
        <f>+'Tables by type'!L170</f>
        <v>1.1344648667663355</v>
      </c>
      <c r="G106" s="323">
        <f>+'Tables by type'!L199</f>
        <v>0</v>
      </c>
      <c r="H106" s="325">
        <f>+'Tables by type'!L19</f>
        <v>6.278153531713484</v>
      </c>
      <c r="I106" s="269"/>
      <c r="J106" s="269"/>
      <c r="K106" s="269"/>
      <c r="L106" s="269"/>
      <c r="M106" s="269"/>
      <c r="N106" s="1"/>
    </row>
    <row r="107" spans="1:14" ht="15.75" customHeight="1">
      <c r="A107" s="11" t="s">
        <v>176</v>
      </c>
      <c r="B107" s="323">
        <f>+'Tables by type'!L51</f>
        <v>1.3838161355377738</v>
      </c>
      <c r="C107" s="323">
        <f>+'Tables by type'!L81</f>
        <v>7.9281456420170775</v>
      </c>
      <c r="D107" s="323">
        <f>+'Tables by type'!L111</f>
        <v>12.268986310299871</v>
      </c>
      <c r="E107" s="323">
        <f>+'Tables by type'!L142</f>
        <v>0</v>
      </c>
      <c r="F107" s="323">
        <f>+'Tables by type'!L171</f>
        <v>4.353562005277045</v>
      </c>
      <c r="G107" s="323">
        <f>+'Tables by type'!L200</f>
        <v>0.16685205784204674</v>
      </c>
      <c r="H107" s="325">
        <f>+'Tables by type'!L20</f>
        <v>7.093015930659573</v>
      </c>
      <c r="I107" s="269"/>
      <c r="J107" s="269"/>
      <c r="K107" s="269"/>
      <c r="L107" s="269"/>
      <c r="M107" s="269"/>
      <c r="N107" s="1"/>
    </row>
    <row r="108" spans="1:14" ht="15.75" customHeight="1">
      <c r="A108" s="11" t="s">
        <v>169</v>
      </c>
      <c r="B108" s="326">
        <f>+'Tables by type'!L52</f>
        <v>4.03347072123238</v>
      </c>
      <c r="C108" s="323">
        <f>+'Tables by type'!L82</f>
        <v>0</v>
      </c>
      <c r="D108" s="323">
        <f>+'Tables by type'!L112</f>
        <v>5.231993483505122</v>
      </c>
      <c r="E108" s="323">
        <f>+'Tables by type'!L143</f>
        <v>0.8406725380304243</v>
      </c>
      <c r="F108" s="323">
        <f>+'Tables by type'!L172</f>
        <v>10.373086047013155</v>
      </c>
      <c r="G108" s="323">
        <f>+'Tables by type'!L201</f>
        <v>4.081632653061225</v>
      </c>
      <c r="H108" s="325">
        <f>+'Tables by type'!L21</f>
        <v>4.830840012307872</v>
      </c>
      <c r="I108" s="269"/>
      <c r="J108" s="269"/>
      <c r="K108" s="269"/>
      <c r="L108" s="269"/>
      <c r="M108" s="269"/>
      <c r="N108" s="1"/>
    </row>
    <row r="109" spans="1:14" ht="15.75" customHeight="1">
      <c r="A109" s="11" t="s">
        <v>542</v>
      </c>
      <c r="B109" s="323">
        <f>+'Tables by type'!L53</f>
        <v>0</v>
      </c>
      <c r="C109" s="323">
        <f>+'Tables by type'!L83</f>
        <v>0</v>
      </c>
      <c r="D109" s="323">
        <f>+'Tables by type'!L113</f>
        <v>0</v>
      </c>
      <c r="E109" s="323">
        <f>+'Tables by type'!L144</f>
        <v>0</v>
      </c>
      <c r="F109" s="323">
        <f>+'Tables by type'!L173</f>
        <v>0</v>
      </c>
      <c r="G109" s="323">
        <f>+'Tables by type'!L202</f>
        <v>0</v>
      </c>
      <c r="H109" s="325">
        <f>+'Tables by type'!L22</f>
        <v>0</v>
      </c>
      <c r="I109" s="269"/>
      <c r="J109" s="269"/>
      <c r="K109" s="269"/>
      <c r="L109" s="269"/>
      <c r="M109" s="269"/>
      <c r="N109" s="1"/>
    </row>
    <row r="110" spans="1:14" ht="15.75" customHeight="1">
      <c r="A110" s="11"/>
      <c r="B110" s="323">
        <f>+'Tables by type'!L54</f>
        <v>0</v>
      </c>
      <c r="C110" s="323">
        <f>+'Tables by type'!L84</f>
        <v>0</v>
      </c>
      <c r="D110" s="323">
        <f>+'Tables by type'!L114</f>
        <v>0</v>
      </c>
      <c r="E110" s="323">
        <f>+'Tables by type'!L145</f>
        <v>0</v>
      </c>
      <c r="F110" s="323">
        <f>+'Tables by type'!L174</f>
        <v>0</v>
      </c>
      <c r="G110" s="323">
        <f>+'Tables by type'!L203</f>
        <v>0</v>
      </c>
      <c r="H110" s="325">
        <f>+'Tables by type'!L23</f>
        <v>0</v>
      </c>
      <c r="I110" s="269"/>
      <c r="J110" s="269"/>
      <c r="K110" s="269"/>
      <c r="L110" s="269"/>
      <c r="M110" s="269"/>
      <c r="N110" s="1"/>
    </row>
    <row r="111" spans="1:14" ht="15.75" customHeight="1">
      <c r="A111" s="11" t="s">
        <v>543</v>
      </c>
      <c r="B111" s="323">
        <f>+'Tables by type'!L55</f>
        <v>0</v>
      </c>
      <c r="C111" s="323">
        <f>+'Tables by type'!L85</f>
        <v>0</v>
      </c>
      <c r="D111" s="323">
        <f>+'Tables by type'!L115</f>
        <v>0</v>
      </c>
      <c r="E111" s="323">
        <f>+'Tables by type'!L146</f>
        <v>0</v>
      </c>
      <c r="F111" s="323">
        <f>+'Tables by type'!L175</f>
        <v>0</v>
      </c>
      <c r="G111" s="323">
        <f>+'Tables by type'!L204</f>
        <v>0</v>
      </c>
      <c r="H111" s="325">
        <f>+'Tables by type'!L24</f>
        <v>0</v>
      </c>
      <c r="I111" s="269"/>
      <c r="J111" s="269"/>
      <c r="K111" s="269"/>
      <c r="L111" s="269"/>
      <c r="M111" s="269"/>
      <c r="N111" s="1"/>
    </row>
    <row r="112" spans="1:14" ht="15.75" customHeight="1">
      <c r="A112" s="11" t="s">
        <v>277</v>
      </c>
      <c r="B112" s="323">
        <f>+'Tables by type'!L56</f>
        <v>5.22960736832459</v>
      </c>
      <c r="C112" s="323">
        <f>+'Tables by type'!L86</f>
        <v>11.45409173730492</v>
      </c>
      <c r="D112" s="326">
        <f>+'Tables by type'!L116</f>
        <v>6.957933569105424</v>
      </c>
      <c r="E112" s="323">
        <f>+'Tables by type'!L147</f>
        <v>13.382361627975664</v>
      </c>
      <c r="F112" s="323">
        <f>+'Tables by type'!L176</f>
        <v>52.55195274318984</v>
      </c>
      <c r="G112" s="323">
        <f>+'Tables by type'!L205</f>
        <v>0.5014625992478061</v>
      </c>
      <c r="H112" s="325">
        <f>+'Tables by type'!L25</f>
        <v>7.57079679611282</v>
      </c>
      <c r="I112" s="269"/>
      <c r="J112" s="269"/>
      <c r="K112" s="269"/>
      <c r="L112" s="269"/>
      <c r="M112" s="269"/>
      <c r="N112" s="1"/>
    </row>
    <row r="113" spans="1:14" ht="15.75" customHeight="1">
      <c r="A113" s="11" t="s">
        <v>544</v>
      </c>
      <c r="B113" s="323">
        <f>+'Tables by type'!L57</f>
        <v>0</v>
      </c>
      <c r="C113" s="323">
        <f>+'Tables by type'!L87</f>
        <v>0</v>
      </c>
      <c r="D113" s="323">
        <f>+'Tables by type'!L117</f>
        <v>0</v>
      </c>
      <c r="E113" s="323">
        <f>+'Tables by type'!L148</f>
        <v>0</v>
      </c>
      <c r="F113" s="323">
        <f>+'Tables by type'!L177</f>
        <v>0</v>
      </c>
      <c r="G113" s="323">
        <f>+'Tables by type'!L206</f>
        <v>0</v>
      </c>
      <c r="H113" s="325">
        <f>+'Tables by type'!L26</f>
        <v>0</v>
      </c>
      <c r="I113" s="269"/>
      <c r="J113" s="269"/>
      <c r="K113" s="269"/>
      <c r="L113" s="269"/>
      <c r="M113" s="269"/>
      <c r="N113" s="1"/>
    </row>
    <row r="114" spans="1:14" ht="15.75" customHeight="1">
      <c r="A114" s="12" t="s">
        <v>170</v>
      </c>
      <c r="B114" s="328">
        <f>+'Tables by type'!L58</f>
        <v>7.019784759212958</v>
      </c>
      <c r="C114" s="327">
        <f>+'Tables by type'!L88</f>
        <v>0</v>
      </c>
      <c r="D114" s="327">
        <f>+'Tables by type'!L118</f>
        <v>21.755169042920116</v>
      </c>
      <c r="E114" s="327">
        <f>+'Tables by type'!L149</f>
        <v>0</v>
      </c>
      <c r="F114" s="327">
        <f>+'Tables by type'!L178</f>
        <v>0</v>
      </c>
      <c r="G114" s="330">
        <f>+'Tables by type'!L207</f>
        <v>0</v>
      </c>
      <c r="H114" s="329">
        <f>+'Tables by type'!L27</f>
        <v>11.753597825367903</v>
      </c>
      <c r="I114" s="269"/>
      <c r="J114" s="269"/>
      <c r="K114" s="269"/>
      <c r="L114" s="269"/>
      <c r="M114" s="269"/>
      <c r="N114" s="1"/>
    </row>
    <row r="115" spans="1:14" s="275" customFormat="1" ht="11.25">
      <c r="A115" s="287"/>
      <c r="B115" s="288"/>
      <c r="C115" s="288"/>
      <c r="D115" s="288"/>
      <c r="E115" s="288"/>
      <c r="F115" s="288"/>
      <c r="G115" s="288"/>
      <c r="H115" s="288"/>
      <c r="I115" s="288"/>
      <c r="J115" s="288"/>
      <c r="K115" s="288"/>
      <c r="L115" s="288"/>
      <c r="M115" s="288"/>
      <c r="N115" s="287"/>
    </row>
    <row r="116" spans="1:14" s="275" customFormat="1" ht="11.25">
      <c r="A116" s="277" t="s">
        <v>622</v>
      </c>
      <c r="I116" s="287"/>
      <c r="J116" s="287"/>
      <c r="K116" s="287"/>
      <c r="L116" s="287"/>
      <c r="M116" s="287"/>
      <c r="N116" s="287"/>
    </row>
    <row r="117" spans="8:14" s="275" customFormat="1" ht="11.25">
      <c r="H117" s="351" t="s">
        <v>642</v>
      </c>
      <c r="I117" s="287"/>
      <c r="J117" s="287"/>
      <c r="K117" s="287"/>
      <c r="L117" s="287"/>
      <c r="M117" s="287"/>
      <c r="N117" s="287"/>
    </row>
  </sheetData>
  <mergeCells count="7">
    <mergeCell ref="I94:L94"/>
    <mergeCell ref="B6:H6"/>
    <mergeCell ref="I6:M6"/>
    <mergeCell ref="B35:H35"/>
    <mergeCell ref="I35:M35"/>
    <mergeCell ref="B65:H65"/>
    <mergeCell ref="B94:H94"/>
  </mergeCells>
  <printOptions horizontalCentered="1"/>
  <pageMargins left="0.75" right="0.75" top="1" bottom="1" header="0.75" footer="0.5"/>
  <pageSetup firstPageNumber="109" useFirstPageNumber="1" horizontalDpi="600" verticalDpi="600" orientation="landscape" r:id="rId1"/>
  <headerFooter alignWithMargins="0">
    <oddHeader>&amp;R&amp;8SREB-State Data Exchange</oddHeader>
    <oddFooter>&amp;C&amp;P</oddFooter>
  </headerFooter>
  <rowBreaks count="3" manualBreakCount="3">
    <brk id="29" max="12" man="1"/>
    <brk id="58" max="12" man="1"/>
    <brk id="88" max="12" man="1"/>
  </rowBreaks>
</worksheet>
</file>

<file path=xl/worksheets/sheet4.xml><?xml version="1.0" encoding="utf-8"?>
<worksheet xmlns="http://schemas.openxmlformats.org/spreadsheetml/2006/main" xmlns:r="http://schemas.openxmlformats.org/officeDocument/2006/relationships">
  <sheetPr>
    <tabColor indexed="16"/>
  </sheetPr>
  <dimension ref="A1:AO551"/>
  <sheetViews>
    <sheetView showGridLines="0" showZeros="0" view="pageBreakPreview" zoomScale="75" zoomScaleNormal="75" zoomScaleSheetLayoutView="75" workbookViewId="0" topLeftCell="A220">
      <selection activeCell="H210" sqref="H210"/>
    </sheetView>
  </sheetViews>
  <sheetFormatPr defaultColWidth="9.140625" defaultRowHeight="12.75"/>
  <cols>
    <col min="1" max="1" width="13.421875" style="120" customWidth="1"/>
    <col min="2" max="3" width="9.421875" style="120" bestFit="1" customWidth="1"/>
    <col min="4" max="4" width="9.8515625" style="120" bestFit="1" customWidth="1"/>
    <col min="5" max="5" width="5.7109375" style="120" bestFit="1" customWidth="1"/>
    <col min="6" max="6" width="11.421875" style="120" customWidth="1"/>
    <col min="7" max="7" width="7.7109375" style="120" bestFit="1" customWidth="1"/>
    <col min="8" max="8" width="12.140625" style="122" bestFit="1" customWidth="1"/>
    <col min="9" max="9" width="13.00390625" style="130" customWidth="1"/>
    <col min="10" max="11" width="9.00390625" style="120" customWidth="1"/>
    <col min="12" max="12" width="9.8515625" style="120" bestFit="1" customWidth="1"/>
    <col min="13" max="13" width="5.7109375" style="120" bestFit="1" customWidth="1"/>
    <col min="14" max="14" width="11.28125" style="120" customWidth="1"/>
    <col min="15" max="15" width="7.7109375" style="120" bestFit="1" customWidth="1"/>
    <col min="16" max="16" width="12.140625" style="120" bestFit="1" customWidth="1"/>
    <col min="17" max="17" width="11.57421875" style="272" bestFit="1" customWidth="1"/>
    <col min="18" max="18" width="11.57421875" style="71" bestFit="1" customWidth="1"/>
    <col min="19" max="16384" width="9.140625" style="120" customWidth="1"/>
  </cols>
  <sheetData>
    <row r="1" spans="1:18" ht="18">
      <c r="A1" s="113" t="s">
        <v>577</v>
      </c>
      <c r="B1" s="114"/>
      <c r="C1" s="114"/>
      <c r="D1" s="114"/>
      <c r="E1" s="114"/>
      <c r="F1" s="114"/>
      <c r="G1" s="114"/>
      <c r="H1" s="132"/>
      <c r="I1" s="113" t="s">
        <v>593</v>
      </c>
      <c r="J1" s="115"/>
      <c r="K1" s="115"/>
      <c r="L1" s="114"/>
      <c r="M1" s="115"/>
      <c r="N1" s="115"/>
      <c r="O1" s="115"/>
      <c r="P1" s="115"/>
      <c r="Q1" s="270"/>
      <c r="R1" s="271"/>
    </row>
    <row r="2" spans="1:18" ht="12.75">
      <c r="A2" s="293"/>
      <c r="B2" s="115"/>
      <c r="C2" s="115"/>
      <c r="D2" s="115"/>
      <c r="E2" s="115"/>
      <c r="F2" s="115"/>
      <c r="G2" s="115"/>
      <c r="H2" s="127"/>
      <c r="I2" s="293"/>
      <c r="J2" s="115"/>
      <c r="K2" s="115"/>
      <c r="L2" s="115"/>
      <c r="M2" s="115"/>
      <c r="N2" s="115"/>
      <c r="O2" s="115"/>
      <c r="P2" s="115"/>
      <c r="R2" s="273"/>
    </row>
    <row r="3" spans="1:18" ht="15.75">
      <c r="A3" s="124" t="s">
        <v>617</v>
      </c>
      <c r="B3" s="115"/>
      <c r="C3" s="115"/>
      <c r="D3" s="115"/>
      <c r="E3" s="115"/>
      <c r="F3" s="115"/>
      <c r="G3" s="115"/>
      <c r="H3" s="127"/>
      <c r="I3" s="124" t="s">
        <v>618</v>
      </c>
      <c r="J3" s="115"/>
      <c r="K3" s="115"/>
      <c r="L3" s="115"/>
      <c r="M3" s="115"/>
      <c r="N3" s="115"/>
      <c r="O3" s="115"/>
      <c r="P3" s="115"/>
      <c r="R3" s="273" t="s">
        <v>2</v>
      </c>
    </row>
    <row r="4" spans="1:18" ht="15.75">
      <c r="A4" s="124" t="s">
        <v>546</v>
      </c>
      <c r="B4" s="115"/>
      <c r="C4" s="115"/>
      <c r="D4" s="115"/>
      <c r="E4" s="115"/>
      <c r="F4" s="115"/>
      <c r="G4" s="115"/>
      <c r="H4" s="127"/>
      <c r="I4" s="124" t="s">
        <v>546</v>
      </c>
      <c r="J4" s="115"/>
      <c r="K4" s="115"/>
      <c r="L4" s="115"/>
      <c r="M4" s="115"/>
      <c r="N4" s="115"/>
      <c r="O4" s="115"/>
      <c r="P4" s="115"/>
      <c r="R4" s="273" t="s">
        <v>2</v>
      </c>
    </row>
    <row r="5" spans="1:16" ht="12.75">
      <c r="A5" s="116"/>
      <c r="B5" s="117"/>
      <c r="C5" s="117"/>
      <c r="D5" s="117"/>
      <c r="E5" s="117"/>
      <c r="F5" s="117"/>
      <c r="G5" s="117"/>
      <c r="H5" s="117"/>
      <c r="I5" s="118"/>
      <c r="L5" s="119"/>
      <c r="P5" s="116"/>
    </row>
    <row r="6" spans="1:18" s="305" customFormat="1" ht="12">
      <c r="A6" s="300"/>
      <c r="B6" s="301" t="s">
        <v>279</v>
      </c>
      <c r="C6" s="301"/>
      <c r="D6" s="301"/>
      <c r="E6" s="301"/>
      <c r="F6" s="301"/>
      <c r="G6" s="301"/>
      <c r="H6" s="302"/>
      <c r="I6" s="300"/>
      <c r="J6" s="301" t="s">
        <v>279</v>
      </c>
      <c r="K6" s="301"/>
      <c r="L6" s="301"/>
      <c r="M6" s="301"/>
      <c r="N6" s="301"/>
      <c r="O6" s="301"/>
      <c r="P6" s="302"/>
      <c r="Q6" s="303"/>
      <c r="R6" s="304"/>
    </row>
    <row r="7" spans="1:18" s="305" customFormat="1" ht="12">
      <c r="A7" s="300"/>
      <c r="B7" s="301" t="s">
        <v>173</v>
      </c>
      <c r="C7" s="301"/>
      <c r="D7" s="370" t="s">
        <v>629</v>
      </c>
      <c r="E7" s="371"/>
      <c r="F7" s="371"/>
      <c r="G7" s="371"/>
      <c r="H7" s="306" t="s">
        <v>2</v>
      </c>
      <c r="I7" s="300"/>
      <c r="J7" s="301" t="s">
        <v>173</v>
      </c>
      <c r="K7" s="301"/>
      <c r="L7" s="370" t="s">
        <v>629</v>
      </c>
      <c r="M7" s="371"/>
      <c r="N7" s="371"/>
      <c r="O7" s="371"/>
      <c r="P7" s="306" t="s">
        <v>2</v>
      </c>
      <c r="Q7" s="303"/>
      <c r="R7" s="304"/>
    </row>
    <row r="8" spans="1:20" s="305" customFormat="1" ht="40.5" customHeight="1">
      <c r="A8" s="300"/>
      <c r="B8" s="307" t="s">
        <v>612</v>
      </c>
      <c r="C8" s="308" t="s">
        <v>611</v>
      </c>
      <c r="D8" s="309" t="s">
        <v>626</v>
      </c>
      <c r="E8" s="310" t="s">
        <v>0</v>
      </c>
      <c r="F8" s="307" t="s">
        <v>174</v>
      </c>
      <c r="G8" s="311" t="s">
        <v>631</v>
      </c>
      <c r="H8" s="312" t="s">
        <v>630</v>
      </c>
      <c r="I8" s="300"/>
      <c r="J8" s="307" t="s">
        <v>612</v>
      </c>
      <c r="K8" s="308" t="s">
        <v>611</v>
      </c>
      <c r="L8" s="309" t="s">
        <v>626</v>
      </c>
      <c r="M8" s="310" t="s">
        <v>0</v>
      </c>
      <c r="N8" s="307" t="s">
        <v>174</v>
      </c>
      <c r="O8" s="311" t="s">
        <v>631</v>
      </c>
      <c r="P8" s="312" t="s">
        <v>630</v>
      </c>
      <c r="Q8" s="313" t="s">
        <v>175</v>
      </c>
      <c r="R8" s="314" t="s">
        <v>175</v>
      </c>
      <c r="T8" s="315"/>
    </row>
    <row r="9" spans="1:41" ht="15.75" customHeight="1">
      <c r="A9" s="123" t="s">
        <v>534</v>
      </c>
      <c r="B9" s="318">
        <f>(GETPIVOTDATA(" %UG OnC Trad",'FTE Pivot Table'!$A$3,"State","AL","Type2","Four-Year"))*100</f>
        <v>0</v>
      </c>
      <c r="C9" s="319">
        <f>(GETPIVOTDATA(" %UG OffC Trad",'FTE Pivot Table'!$A$3,"State","AL","Type2","Four-Year"))*100</f>
        <v>0</v>
      </c>
      <c r="D9" s="340">
        <f>SUM(E9:G9)</f>
        <v>0</v>
      </c>
      <c r="E9" s="318">
        <f>(GETPIVOTDATA(" %UG EL Web",'FTE Pivot Table'!$A$3,"State","AL","Type2","Four-Year"))*100</f>
        <v>0</v>
      </c>
      <c r="F9" s="341">
        <f>GETPIVOTDATA(" % UG EL CV",'FTE Pivot Table'!$A$3,"State","AL","Type2","Four-Year")*100</f>
        <v>0</v>
      </c>
      <c r="G9" s="319">
        <f>(GETPIVOTDATA(" %UG EL O",'FTE Pivot Table'!$A$3,"State","AL","Type2","Four-Year"))*100</f>
        <v>0</v>
      </c>
      <c r="H9" s="318">
        <f>(GETPIVOTDATA(" %UG Cor",'FTE Pivot Table'!$A$3,"State","AL","Type2","Four-Year"))*100</f>
        <v>0</v>
      </c>
      <c r="I9" s="123" t="s">
        <v>534</v>
      </c>
      <c r="J9" s="331">
        <f>(GETPIVOTDATA(" %G OnC Trad",'FTE Pivot Table'!$A$3,"State","AL","Type2","Four-Year"))*100</f>
        <v>0</v>
      </c>
      <c r="K9" s="332">
        <f>(GETPIVOTDATA(" %G OffC Trad",'FTE Pivot Table'!$A$3,"State","AL","Type2","Four-Year"))*100</f>
        <v>0</v>
      </c>
      <c r="L9" s="333">
        <f>SUM(M9:O9)</f>
        <v>0</v>
      </c>
      <c r="M9" s="331">
        <f>(GETPIVOTDATA(" %G EL Web",'FTE Pivot Table'!$A$3,"State","AL","Type2","Four-Year"))*100</f>
        <v>0</v>
      </c>
      <c r="N9" s="334">
        <f>(GETPIVOTDATA(" % G EL CV",'FTE Pivot Table'!$A$3,"State","AL","Type2","Four-Year"))*100</f>
        <v>0</v>
      </c>
      <c r="O9" s="332">
        <f>(GETPIVOTDATA(" %G EL O",'FTE Pivot Table'!$A$3,"State","AL","Type2","Four-Year"))*100</f>
        <v>0</v>
      </c>
      <c r="P9" s="331">
        <f>(GETPIVOTDATA(" %G Cor",'FTE Pivot Table'!$A$3,"State","AL","Type2","Four-Year"))*100</f>
        <v>0</v>
      </c>
      <c r="Q9" s="121">
        <f>SUM(B9,C9,D9,H9)</f>
        <v>0</v>
      </c>
      <c r="R9" s="121">
        <f>SUM(J9,K9,L9,P9)</f>
        <v>0</v>
      </c>
      <c r="S9" s="134"/>
      <c r="T9" s="134"/>
      <c r="U9" s="134"/>
      <c r="V9" s="134"/>
      <c r="W9" s="134"/>
      <c r="X9" s="134"/>
      <c r="Y9" s="134"/>
      <c r="Z9" s="134"/>
      <c r="AA9" s="134"/>
      <c r="AB9" s="134"/>
      <c r="AC9" s="134"/>
      <c r="AD9" s="134"/>
      <c r="AE9" s="134"/>
      <c r="AF9" s="134"/>
      <c r="AG9" s="134"/>
      <c r="AH9" s="134"/>
      <c r="AI9" s="134"/>
      <c r="AJ9" s="134"/>
      <c r="AK9" s="134"/>
      <c r="AL9" s="134"/>
      <c r="AM9" s="134"/>
      <c r="AN9" s="134"/>
      <c r="AO9" s="134"/>
    </row>
    <row r="10" spans="1:41" ht="15.75" customHeight="1">
      <c r="A10" s="122" t="s">
        <v>535</v>
      </c>
      <c r="B10" s="318">
        <f>(GETPIVOTDATA(" %UG OnC Trad",'FTE Pivot Table'!$A$3,"State","AR","Type2","Four-Year"))*100</f>
        <v>93.51290091958553</v>
      </c>
      <c r="C10" s="319">
        <f>(GETPIVOTDATA(" %UG OffC Trad",'FTE Pivot Table'!$A$3,"State","AR","Type2","Four-Year"))*100</f>
        <v>2.9921766032797423</v>
      </c>
      <c r="D10" s="340">
        <f aca="true" t="shared" si="0" ref="D10:D27">SUM(E10:G10)</f>
        <v>3.4949224771347245</v>
      </c>
      <c r="E10" s="318">
        <f>(GETPIVOTDATA(" %UG EL Web",'FTE Pivot Table'!$A$3,"State","AR","Type2","Four-Year"))*100</f>
        <v>2.4022489953692276</v>
      </c>
      <c r="F10" s="318">
        <f>GETPIVOTDATA(" % UG EL CV",'FTE Pivot Table'!$A$3,"State","AR","Type2","Four-Year")*100</f>
        <v>0.5250674590191641</v>
      </c>
      <c r="G10" s="319">
        <f>(GETPIVOTDATA(" %UG EL O",'FTE Pivot Table'!$A$3,"State","AR","Type2","Four-Year"))*100</f>
        <v>0.5676060227463331</v>
      </c>
      <c r="H10" s="318">
        <f>(GETPIVOTDATA(" %UG Cor",'FTE Pivot Table'!$A$3,"State","AR","Type2","Four-Year"))*100</f>
        <v>0</v>
      </c>
      <c r="I10" s="122" t="s">
        <v>535</v>
      </c>
      <c r="J10" s="331">
        <f>(GETPIVOTDATA(" %G OnC Trad",'FTE Pivot Table'!$A$3,"State","AR","Type2","Four-Year"))*100</f>
        <v>79.18495528089475</v>
      </c>
      <c r="K10" s="332">
        <f>(GETPIVOTDATA(" %G OffC Trad",'FTE Pivot Table'!$A$3,"State","AR","Type2","Four-Year"))*100</f>
        <v>11.399851854572612</v>
      </c>
      <c r="L10" s="333">
        <f aca="true" t="shared" si="1" ref="L10:L27">SUM(M10:O10)</f>
        <v>9.415192864532639</v>
      </c>
      <c r="M10" s="331">
        <f>(GETPIVOTDATA(" %G EL Web",'FTE Pivot Table'!$A$3,"State","AR","Type2","Four-Year"))*100</f>
        <v>5.2812008350015</v>
      </c>
      <c r="N10" s="331">
        <f>(GETPIVOTDATA(" % G EL CV",'FTE Pivot Table'!$A$3,"State","AR","Type2","Four-Year"))*100</f>
        <v>3.980949232643417</v>
      </c>
      <c r="O10" s="332">
        <f>(GETPIVOTDATA(" %G EL O",'FTE Pivot Table'!$A$3,"State","AR","Type2","Four-Year"))*100</f>
        <v>0.15304279688772168</v>
      </c>
      <c r="P10" s="331">
        <f>(GETPIVOTDATA(" %G Cor",'FTE Pivot Table'!$A$3,"State","AR","Type2","Four-Year"))*100</f>
        <v>0</v>
      </c>
      <c r="Q10" s="121">
        <f aca="true" t="shared" si="2" ref="Q10:Q27">SUM(B10,C10,D10,H10)</f>
        <v>100</v>
      </c>
      <c r="R10" s="121">
        <f>SUM(J10,K10,L10,P10)</f>
        <v>100.00000000000001</v>
      </c>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row>
    <row r="11" spans="1:41" ht="15.75" customHeight="1">
      <c r="A11" s="122" t="s">
        <v>536</v>
      </c>
      <c r="B11" s="318">
        <f>(GETPIVOTDATA(" %UG OnC Trad",'FTE Pivot Table'!$A$3,"State","DE","Type2","Four-Year"))*100</f>
        <v>0</v>
      </c>
      <c r="C11" s="319">
        <f>(GETPIVOTDATA(" %UG OffC Trad",'FTE Pivot Table'!$A$3,"State","DE","Type2","Four-Year"))*100</f>
        <v>0</v>
      </c>
      <c r="D11" s="340">
        <f t="shared" si="0"/>
        <v>0</v>
      </c>
      <c r="E11" s="318">
        <f>(GETPIVOTDATA(" %UG EL Web",'FTE Pivot Table'!$A$3,"State","DE","Type2","Four-Year"))*100</f>
        <v>0</v>
      </c>
      <c r="F11" s="318">
        <f>GETPIVOTDATA(" % UG EL CV",'FTE Pivot Table'!$A$3,"State","DE","Type2","Four-Year")*100</f>
        <v>0</v>
      </c>
      <c r="G11" s="319">
        <f>(GETPIVOTDATA(" %UG EL O",'FTE Pivot Table'!$A$3,"State","DE","Type2","Four-Year"))*100</f>
        <v>0</v>
      </c>
      <c r="H11" s="318">
        <f>(GETPIVOTDATA(" %UG Cor",'FTE Pivot Table'!$A$3,"State","DE","Type2","Four-Year"))*100</f>
        <v>0</v>
      </c>
      <c r="I11" s="122" t="s">
        <v>536</v>
      </c>
      <c r="J11" s="331">
        <f>(GETPIVOTDATA(" %G OnC Trad",'FTE Pivot Table'!$A$3,"State","DE","Type2","Four-Year"))*100</f>
        <v>0</v>
      </c>
      <c r="K11" s="332">
        <f>(GETPIVOTDATA(" %G OffC Trad",'FTE Pivot Table'!$A$3,"State","DE","Type2","Four-Year"))*100</f>
        <v>0</v>
      </c>
      <c r="L11" s="333">
        <f t="shared" si="1"/>
        <v>0</v>
      </c>
      <c r="M11" s="331">
        <f>(GETPIVOTDATA(" %G EL Web",'FTE Pivot Table'!$A$3,"State","DE","Type2","Four-Year"))*100</f>
        <v>0</v>
      </c>
      <c r="N11" s="331">
        <f>(GETPIVOTDATA(" % G EL CV",'FTE Pivot Table'!$A$3,"State","DE","Type2","Four-Year"))*100</f>
        <v>0</v>
      </c>
      <c r="O11" s="332">
        <f>(GETPIVOTDATA(" %G EL O",'FTE Pivot Table'!$A$3,"State","DE","Type2","Four-Year"))*100</f>
        <v>0</v>
      </c>
      <c r="P11" s="331">
        <f>(GETPIVOTDATA(" %G Cor",'FTE Pivot Table'!$A$3,"State","DE","Type2","Four-Year"))*100</f>
        <v>0</v>
      </c>
      <c r="Q11" s="121">
        <f t="shared" si="2"/>
        <v>0</v>
      </c>
      <c r="R11" s="121">
        <f aca="true" t="shared" si="3" ref="R11:R27">SUM(J11,K11,L11,P11)</f>
        <v>0</v>
      </c>
      <c r="S11" s="134"/>
      <c r="T11" s="274"/>
      <c r="U11" s="134"/>
      <c r="V11" s="134"/>
      <c r="W11" s="134"/>
      <c r="X11" s="134"/>
      <c r="Y11" s="134"/>
      <c r="Z11" s="134"/>
      <c r="AA11" s="134"/>
      <c r="AB11" s="134"/>
      <c r="AC11" s="134"/>
      <c r="AD11" s="134"/>
      <c r="AE11" s="134"/>
      <c r="AF11" s="134"/>
      <c r="AG11" s="134"/>
      <c r="AH11" s="134"/>
      <c r="AI11" s="134"/>
      <c r="AJ11" s="134"/>
      <c r="AK11" s="134"/>
      <c r="AL11" s="134"/>
      <c r="AM11" s="134"/>
      <c r="AN11" s="134"/>
      <c r="AO11" s="134"/>
    </row>
    <row r="12" spans="1:41" ht="15.75" customHeight="1">
      <c r="A12" s="122" t="s">
        <v>537</v>
      </c>
      <c r="B12" s="318">
        <f>(GETPIVOTDATA(" %UG OnC Trad",'FTE Pivot Table'!$A$3,"State","FL","Type2","Four-Year"))*100</f>
        <v>81.06840877314936</v>
      </c>
      <c r="C12" s="319">
        <f>(GETPIVOTDATA(" %UG OffC Trad",'FTE Pivot Table'!$A$3,"State","FL","Type2","Four-Year"))*100</f>
        <v>9.122452398355446</v>
      </c>
      <c r="D12" s="340">
        <f t="shared" si="0"/>
        <v>9.64849200309553</v>
      </c>
      <c r="E12" s="318">
        <f>(GETPIVOTDATA(" %UG EL Web",'FTE Pivot Table'!$A$3,"State","FL","Type2","Four-Year"))*100</f>
        <v>4.3944853180685435</v>
      </c>
      <c r="F12" s="318">
        <f>GETPIVOTDATA(" % UG EL CV",'FTE Pivot Table'!$A$3,"State","FL","Type2","Four-Year")*100</f>
        <v>0.13974269303928188</v>
      </c>
      <c r="G12" s="319">
        <f>(GETPIVOTDATA(" %UG EL O",'FTE Pivot Table'!$A$3,"State","FL","Type2","Four-Year"))*100</f>
        <v>5.114263991987704</v>
      </c>
      <c r="H12" s="318">
        <f>(GETPIVOTDATA(" %UG Cor",'FTE Pivot Table'!$A$3,"State","FL","Type2","Four-Year"))*100</f>
        <v>0.16064682539966624</v>
      </c>
      <c r="I12" s="122" t="s">
        <v>537</v>
      </c>
      <c r="J12" s="331">
        <f>(GETPIVOTDATA(" %G OnC Trad",'FTE Pivot Table'!$A$3,"State","FL","Type2","Four-Year"))*100</f>
        <v>74.46931875916205</v>
      </c>
      <c r="K12" s="332">
        <f>(GETPIVOTDATA(" %G OffC Trad",'FTE Pivot Table'!$A$3,"State","FL","Type2","Four-Year"))*100</f>
        <v>13.838280160969314</v>
      </c>
      <c r="L12" s="333">
        <f t="shared" si="1"/>
        <v>11.690152067506355</v>
      </c>
      <c r="M12" s="331">
        <f>(GETPIVOTDATA(" %G EL Web",'FTE Pivot Table'!$A$3,"State","FL","Type2","Four-Year"))*100</f>
        <v>6.9073595395393514</v>
      </c>
      <c r="N12" s="331">
        <f>(GETPIVOTDATA(" % G EL CV",'FTE Pivot Table'!$A$3,"State","FL","Type2","Four-Year"))*100</f>
        <v>0.28326846182119453</v>
      </c>
      <c r="O12" s="332">
        <f>(GETPIVOTDATA(" %G EL O",'FTE Pivot Table'!$A$3,"State","FL","Type2","Four-Year"))*100</f>
        <v>4.49952406614581</v>
      </c>
      <c r="P12" s="345">
        <f>(GETPIVOTDATA(" %G Cor",'FTE Pivot Table'!$A$3,"State","FL","Type2","Four-Year"))*100</f>
        <v>0.0022490123622854762</v>
      </c>
      <c r="Q12" s="121">
        <f t="shared" si="2"/>
        <v>100</v>
      </c>
      <c r="R12" s="121">
        <f t="shared" si="3"/>
        <v>100.00000000000001</v>
      </c>
      <c r="S12" s="134"/>
      <c r="U12" s="134"/>
      <c r="V12" s="134"/>
      <c r="W12" s="134"/>
      <c r="X12" s="134"/>
      <c r="Y12" s="134"/>
      <c r="Z12" s="134"/>
      <c r="AA12" s="134"/>
      <c r="AB12" s="134"/>
      <c r="AC12" s="134"/>
      <c r="AD12" s="134"/>
      <c r="AE12" s="134"/>
      <c r="AF12" s="134"/>
      <c r="AG12" s="134"/>
      <c r="AH12" s="134"/>
      <c r="AI12" s="134"/>
      <c r="AJ12" s="134"/>
      <c r="AK12" s="134"/>
      <c r="AL12" s="134"/>
      <c r="AM12" s="134"/>
      <c r="AN12" s="134"/>
      <c r="AO12" s="134"/>
    </row>
    <row r="13" spans="1:41" ht="15.75" customHeight="1">
      <c r="A13" s="122"/>
      <c r="B13" s="318"/>
      <c r="C13" s="319"/>
      <c r="D13" s="340"/>
      <c r="E13" s="318"/>
      <c r="F13" s="318"/>
      <c r="G13" s="319"/>
      <c r="H13" s="318"/>
      <c r="I13" s="122"/>
      <c r="J13" s="331"/>
      <c r="K13" s="332"/>
      <c r="L13" s="333"/>
      <c r="M13" s="331"/>
      <c r="N13" s="331"/>
      <c r="O13" s="332"/>
      <c r="P13" s="331"/>
      <c r="Q13" s="121"/>
      <c r="R13" s="121"/>
      <c r="S13" s="134"/>
      <c r="U13" s="134"/>
      <c r="V13" s="134"/>
      <c r="W13" s="134"/>
      <c r="X13" s="134"/>
      <c r="Y13" s="134"/>
      <c r="Z13" s="134"/>
      <c r="AA13" s="134"/>
      <c r="AB13" s="134"/>
      <c r="AC13" s="134"/>
      <c r="AD13" s="134"/>
      <c r="AE13" s="134"/>
      <c r="AF13" s="134"/>
      <c r="AG13" s="134"/>
      <c r="AH13" s="134"/>
      <c r="AI13" s="134"/>
      <c r="AJ13" s="134"/>
      <c r="AK13" s="134"/>
      <c r="AL13" s="134"/>
      <c r="AM13" s="134"/>
      <c r="AN13" s="134"/>
      <c r="AO13" s="134"/>
    </row>
    <row r="14" spans="1:41" ht="15.75" customHeight="1">
      <c r="A14" s="122" t="s">
        <v>538</v>
      </c>
      <c r="B14" s="318">
        <f>(GETPIVOTDATA(" %UG OnC Trad",'FTE Pivot Table'!$A$3,"State","GA","Type2","Four-Year"))*100</f>
        <v>96.44522149732579</v>
      </c>
      <c r="C14" s="319">
        <f>(GETPIVOTDATA(" %UG OffC Trad",'FTE Pivot Table'!$A$3,"State","GA","Type2","Four-Year"))*100</f>
        <v>1.725786309407408</v>
      </c>
      <c r="D14" s="340">
        <f t="shared" si="0"/>
        <v>1.8032750241377868</v>
      </c>
      <c r="E14" s="318">
        <f>(GETPIVOTDATA(" %UG EL Web",'FTE Pivot Table'!$A$3,"State","GA","Type2","Four-Year"))*100</f>
        <v>1.497853304842719</v>
      </c>
      <c r="F14" s="318">
        <f>GETPIVOTDATA(" % UG EL CV",'FTE Pivot Table'!$A$3,"State","GA","Type2","Four-Year")*100</f>
        <v>0.16802633180615023</v>
      </c>
      <c r="G14" s="319">
        <f>(GETPIVOTDATA(" %UG EL O",'FTE Pivot Table'!$A$3,"State","GA","Type2","Four-Year"))*100</f>
        <v>0.13739538748891783</v>
      </c>
      <c r="H14" s="321">
        <f>(GETPIVOTDATA(" %UG Cor",'FTE Pivot Table'!$A$3,"State","GA","Type2","Four-Year"))*100</f>
        <v>0.025717169129025365</v>
      </c>
      <c r="I14" s="122" t="s">
        <v>538</v>
      </c>
      <c r="J14" s="331">
        <f>(GETPIVOTDATA(" %G OnC Trad",'FTE Pivot Table'!$A$3,"State","GA","Type2","Four-Year"))*100</f>
        <v>86.97436074053525</v>
      </c>
      <c r="K14" s="332">
        <f>(GETPIVOTDATA(" %G OffC Trad",'FTE Pivot Table'!$A$3,"State","GA","Type2","Four-Year"))*100</f>
        <v>7.6422950347652145</v>
      </c>
      <c r="L14" s="333">
        <f t="shared" si="1"/>
        <v>5.362926869909985</v>
      </c>
      <c r="M14" s="331">
        <f>(GETPIVOTDATA(" %G EL Web",'FTE Pivot Table'!$A$3,"State","GA","Type2","Four-Year"))*100</f>
        <v>4.356241753129679</v>
      </c>
      <c r="N14" s="331">
        <f>(GETPIVOTDATA(" % G EL CV",'FTE Pivot Table'!$A$3,"State","GA","Type2","Four-Year"))*100</f>
        <v>0.5749451137186518</v>
      </c>
      <c r="O14" s="332">
        <f>(GETPIVOTDATA(" %G EL O",'FTE Pivot Table'!$A$3,"State","GA","Type2","Four-Year"))*100</f>
        <v>0.4317400030616535</v>
      </c>
      <c r="P14" s="335">
        <f>(GETPIVOTDATA(" %G Cor",'FTE Pivot Table'!$A$3,"State","GA","Type2","Four-Year"))*100</f>
        <v>0.020417354789556898</v>
      </c>
      <c r="Q14" s="121">
        <f t="shared" si="2"/>
        <v>100.00000000000001</v>
      </c>
      <c r="R14" s="121">
        <f t="shared" si="3"/>
        <v>100</v>
      </c>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row>
    <row r="15" spans="1:41" ht="15.75" customHeight="1">
      <c r="A15" s="122" t="s">
        <v>539</v>
      </c>
      <c r="B15" s="318">
        <f>(GETPIVOTDATA(" %UG OnC Trad",'FTE Pivot Table'!$A$3,"State","KY","Type2","Four-Year"))*100</f>
        <v>91.48809197083484</v>
      </c>
      <c r="C15" s="319">
        <f>(GETPIVOTDATA(" %UG OffC Trad",'FTE Pivot Table'!$A$3,"State","KY","Type2","Four-Year"))*100</f>
        <v>4.541918400481381</v>
      </c>
      <c r="D15" s="340">
        <f t="shared" si="0"/>
        <v>3.9699896286837673</v>
      </c>
      <c r="E15" s="318">
        <f>(GETPIVOTDATA(" %UG EL Web",'FTE Pivot Table'!$A$3,"State","KY","Type2","Four-Year"))*100</f>
        <v>2.6957580780089714</v>
      </c>
      <c r="F15" s="318">
        <f>GETPIVOTDATA(" % UG EL CV",'FTE Pivot Table'!$A$3,"State","KY","Type2","Four-Year")*100</f>
        <v>0.682451592614038</v>
      </c>
      <c r="G15" s="319">
        <f>(GETPIVOTDATA(" %UG EL O",'FTE Pivot Table'!$A$3,"State","KY","Type2","Four-Year"))*100</f>
        <v>0.5917799580607578</v>
      </c>
      <c r="H15" s="318">
        <f>(GETPIVOTDATA(" %UG Cor",'FTE Pivot Table'!$A$3,"State","KY","Type2","Four-Year"))*100</f>
        <v>0</v>
      </c>
      <c r="I15" s="122" t="s">
        <v>539</v>
      </c>
      <c r="J15" s="331">
        <f>(GETPIVOTDATA(" %G OnC Trad",'FTE Pivot Table'!$A$3,"State","KY","Type2","Four-Year"))*100</f>
        <v>75.90606598127232</v>
      </c>
      <c r="K15" s="332">
        <f>(GETPIVOTDATA(" %G OffC Trad",'FTE Pivot Table'!$A$3,"State","KY","Type2","Four-Year"))*100</f>
        <v>11.779611931653635</v>
      </c>
      <c r="L15" s="333">
        <f t="shared" si="1"/>
        <v>12.314322087074041</v>
      </c>
      <c r="M15" s="331">
        <f>(GETPIVOTDATA(" %G EL Web",'FTE Pivot Table'!$A$3,"State","KY","Type2","Four-Year"))*100</f>
        <v>9.462635148180325</v>
      </c>
      <c r="N15" s="331">
        <f>(GETPIVOTDATA(" % G EL CV",'FTE Pivot Table'!$A$3,"State","KY","Type2","Four-Year"))*100</f>
        <v>1.9237498793319818</v>
      </c>
      <c r="O15" s="332">
        <f>(GETPIVOTDATA(" %G EL O",'FTE Pivot Table'!$A$3,"State","KY","Type2","Four-Year"))*100</f>
        <v>0.9279370595617337</v>
      </c>
      <c r="P15" s="331">
        <f>(GETPIVOTDATA(" %G Cor",'FTE Pivot Table'!$A$3,"State","KY","Type2","Four-Year"))*100</f>
        <v>0</v>
      </c>
      <c r="Q15" s="121">
        <f t="shared" si="2"/>
        <v>99.99999999999999</v>
      </c>
      <c r="R15" s="121">
        <f t="shared" si="3"/>
        <v>100</v>
      </c>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row>
    <row r="16" spans="1:41" ht="15.75" customHeight="1">
      <c r="A16" s="122" t="s">
        <v>540</v>
      </c>
      <c r="B16" s="318">
        <f>(GETPIVOTDATA(" %UG OnC Trad",'FTE Pivot Table'!$A$3,"State","LA","Type2","Four-Year"))*100</f>
        <v>0</v>
      </c>
      <c r="C16" s="319">
        <f>(GETPIVOTDATA(" %UG OffC Trad",'FTE Pivot Table'!$A$3,"State","LA","Type2","Four-Year"))*100</f>
        <v>0</v>
      </c>
      <c r="D16" s="340">
        <f t="shared" si="0"/>
        <v>0</v>
      </c>
      <c r="E16" s="318">
        <f>(GETPIVOTDATA(" %UG EL Web",'FTE Pivot Table'!$A$3,"State","LA","Type2","Four-Year"))*100</f>
        <v>0</v>
      </c>
      <c r="F16" s="318">
        <f>GETPIVOTDATA(" % UG EL CV",'FTE Pivot Table'!$A$3,"State","LA","Type2","Four-Year")*100</f>
        <v>0</v>
      </c>
      <c r="G16" s="319">
        <f>(GETPIVOTDATA(" %UG EL O",'FTE Pivot Table'!$A$3,"State","LA","Type2","Four-Year"))*100</f>
        <v>0</v>
      </c>
      <c r="H16" s="318">
        <f>(GETPIVOTDATA(" %UG Cor",'FTE Pivot Table'!$A$3,"State","LA","Type2","Four-Year"))*100</f>
        <v>0</v>
      </c>
      <c r="I16" s="122" t="s">
        <v>540</v>
      </c>
      <c r="J16" s="331">
        <f>(GETPIVOTDATA(" %G OnC Trad",'FTE Pivot Table'!$A$3,"State","LA","Type2","Four-Year"))*100</f>
        <v>0</v>
      </c>
      <c r="K16" s="332">
        <f>(GETPIVOTDATA(" %G OffC Trad",'FTE Pivot Table'!$A$3,"State","LA","Type2","Four-Year"))*100</f>
        <v>0</v>
      </c>
      <c r="L16" s="333">
        <f t="shared" si="1"/>
        <v>0</v>
      </c>
      <c r="M16" s="331">
        <f>(GETPIVOTDATA(" %G EL Web",'FTE Pivot Table'!$A$3,"State","LA","Type2","Four-Year"))*100</f>
        <v>0</v>
      </c>
      <c r="N16" s="331">
        <f>(GETPIVOTDATA(" % G EL CV",'FTE Pivot Table'!$A$3,"State","LA","Type2","Four-Year"))*100</f>
        <v>0</v>
      </c>
      <c r="O16" s="332">
        <f>(GETPIVOTDATA(" %G EL O",'FTE Pivot Table'!$A$3,"State","LA","Type2","Four-Year"))*100</f>
        <v>0</v>
      </c>
      <c r="P16" s="331">
        <f>(GETPIVOTDATA(" %G Cor",'FTE Pivot Table'!$A$3,"State","LA","Type2","Four-Year"))*100</f>
        <v>0</v>
      </c>
      <c r="Q16" s="121">
        <f t="shared" si="2"/>
        <v>0</v>
      </c>
      <c r="R16" s="121">
        <f t="shared" si="3"/>
        <v>0</v>
      </c>
      <c r="S16" s="134"/>
      <c r="T16" s="274"/>
      <c r="U16" s="134"/>
      <c r="V16" s="134"/>
      <c r="W16" s="134"/>
      <c r="X16" s="134"/>
      <c r="Y16" s="134"/>
      <c r="Z16" s="134"/>
      <c r="AA16" s="134"/>
      <c r="AB16" s="134"/>
      <c r="AC16" s="134"/>
      <c r="AD16" s="134"/>
      <c r="AE16" s="134"/>
      <c r="AF16" s="134"/>
      <c r="AG16" s="134"/>
      <c r="AH16" s="134"/>
      <c r="AI16" s="134"/>
      <c r="AJ16" s="134"/>
      <c r="AK16" s="134"/>
      <c r="AL16" s="134"/>
      <c r="AM16" s="134"/>
      <c r="AN16" s="134"/>
      <c r="AO16" s="134"/>
    </row>
    <row r="17" spans="1:41" ht="15.75" customHeight="1">
      <c r="A17" s="122" t="s">
        <v>632</v>
      </c>
      <c r="B17" s="318">
        <f>(GETPIVOTDATA(" %UG OnC Trad",'FTE Pivot Table'!$A$3,"State","MD","Type2","Four-Year"))*100</f>
        <v>79.54891439959081</v>
      </c>
      <c r="C17" s="319">
        <f>(GETPIVOTDATA(" %UG OffC Trad",'FTE Pivot Table'!$A$3,"State","MD","Type2","Four-Year"))*100</f>
        <v>6.466686436098669</v>
      </c>
      <c r="D17" s="340">
        <f t="shared" si="0"/>
        <v>13.984399164310513</v>
      </c>
      <c r="E17" s="318">
        <f>(GETPIVOTDATA(" %UG EL Web",'FTE Pivot Table'!$A$3,"State","MD","Type2","Four-Year"))*100</f>
        <v>13.757711169941778</v>
      </c>
      <c r="F17" s="318">
        <f>GETPIVOTDATA(" % UG EL CV",'FTE Pivot Table'!$A$3,"State","MD","Type2","Four-Year")*100</f>
        <v>0.22668799436873438</v>
      </c>
      <c r="G17" s="319">
        <f>(GETPIVOTDATA(" %UG EL O",'FTE Pivot Table'!$A$3,"State","MD","Type2","Four-Year"))*100</f>
        <v>0</v>
      </c>
      <c r="H17" s="318">
        <f>(GETPIVOTDATA(" %UG Cor",'FTE Pivot Table'!$A$3,"State","MD","Type2","Four-Year"))*100</f>
        <v>0</v>
      </c>
      <c r="I17" s="122" t="s">
        <v>632</v>
      </c>
      <c r="J17" s="331">
        <f>(GETPIVOTDATA(" %G OnC Trad",'FTE Pivot Table'!$A$3,"State","MD","Type2","Four-Year"))*100</f>
        <v>58.342761661264674</v>
      </c>
      <c r="K17" s="332">
        <f>(GETPIVOTDATA(" %G OffC Trad",'FTE Pivot Table'!$A$3,"State","MD","Type2","Four-Year"))*100</f>
        <v>11.962635637066414</v>
      </c>
      <c r="L17" s="333">
        <f t="shared" si="1"/>
        <v>29.694602701668916</v>
      </c>
      <c r="M17" s="331">
        <f>(GETPIVOTDATA(" %G EL Web",'FTE Pivot Table'!$A$3,"State","MD","Type2","Four-Year"))*100</f>
        <v>29.36243029412357</v>
      </c>
      <c r="N17" s="331">
        <f>(GETPIVOTDATA(" % G EL CV",'FTE Pivot Table'!$A$3,"State","MD","Type2","Four-Year"))*100</f>
        <v>0.3321724075453466</v>
      </c>
      <c r="O17" s="332">
        <f>(GETPIVOTDATA(" %G EL O",'FTE Pivot Table'!$A$3,"State","MD","Type2","Four-Year"))*100</f>
        <v>0</v>
      </c>
      <c r="P17" s="331">
        <f>(GETPIVOTDATA(" %G Cor",'FTE Pivot Table'!$A$3,"State","MD","Type2","Four-Year"))*100</f>
        <v>0</v>
      </c>
      <c r="Q17" s="121">
        <f t="shared" si="2"/>
        <v>100</v>
      </c>
      <c r="R17" s="121">
        <f t="shared" si="3"/>
        <v>100</v>
      </c>
      <c r="S17" s="134"/>
      <c r="U17" s="134"/>
      <c r="V17" s="134"/>
      <c r="W17" s="134"/>
      <c r="X17" s="134"/>
      <c r="Y17" s="134"/>
      <c r="Z17" s="134"/>
      <c r="AA17" s="134"/>
      <c r="AB17" s="134"/>
      <c r="AC17" s="134"/>
      <c r="AD17" s="134"/>
      <c r="AE17" s="134"/>
      <c r="AF17" s="134"/>
      <c r="AG17" s="134"/>
      <c r="AH17" s="134"/>
      <c r="AI17" s="134"/>
      <c r="AJ17" s="134"/>
      <c r="AK17" s="134"/>
      <c r="AL17" s="134"/>
      <c r="AM17" s="134"/>
      <c r="AN17" s="134"/>
      <c r="AO17" s="134"/>
    </row>
    <row r="18" spans="1:41" ht="15.75" customHeight="1">
      <c r="A18" s="122"/>
      <c r="B18" s="318"/>
      <c r="C18" s="319"/>
      <c r="D18" s="340"/>
      <c r="E18" s="318"/>
      <c r="F18" s="318"/>
      <c r="G18" s="319"/>
      <c r="H18" s="318"/>
      <c r="I18" s="122"/>
      <c r="J18" s="331"/>
      <c r="K18" s="332"/>
      <c r="L18" s="333"/>
      <c r="M18" s="331"/>
      <c r="N18" s="331"/>
      <c r="O18" s="332"/>
      <c r="P18" s="331"/>
      <c r="Q18" s="121"/>
      <c r="R18" s="121"/>
      <c r="S18" s="134"/>
      <c r="U18" s="134"/>
      <c r="V18" s="134"/>
      <c r="W18" s="134"/>
      <c r="X18" s="134"/>
      <c r="Y18" s="134"/>
      <c r="Z18" s="134"/>
      <c r="AA18" s="134"/>
      <c r="AB18" s="134"/>
      <c r="AC18" s="134"/>
      <c r="AD18" s="134"/>
      <c r="AE18" s="134"/>
      <c r="AF18" s="134"/>
      <c r="AG18" s="134"/>
      <c r="AH18" s="134"/>
      <c r="AI18" s="134"/>
      <c r="AJ18" s="134"/>
      <c r="AK18" s="134"/>
      <c r="AL18" s="134"/>
      <c r="AM18" s="134"/>
      <c r="AN18" s="134"/>
      <c r="AO18" s="134"/>
    </row>
    <row r="19" spans="1:41" ht="15.75" customHeight="1">
      <c r="A19" s="122" t="s">
        <v>168</v>
      </c>
      <c r="B19" s="318">
        <f>(GETPIVOTDATA(" %UG OnC Trad",'FTE Pivot Table'!$A$3,"State","MS","Type2","Four-Year"))*100</f>
        <v>91.90939988135321</v>
      </c>
      <c r="C19" s="319">
        <f>(GETPIVOTDATA(" %UG OffC Trad",'FTE Pivot Table'!$A$3,"State","MS","Type2","Four-Year"))*100</f>
        <v>4.695741082807392</v>
      </c>
      <c r="D19" s="340">
        <f t="shared" si="0"/>
        <v>2.836412263872052</v>
      </c>
      <c r="E19" s="318">
        <f>(GETPIVOTDATA(" %UG EL Web",'FTE Pivot Table'!$A$3,"State","MS","Type2","Four-Year"))*100</f>
        <v>2.1988014954522037</v>
      </c>
      <c r="F19" s="318">
        <f>GETPIVOTDATA(" % UG EL CV",'FTE Pivot Table'!$A$3,"State","MS","Type2","Four-Year")*100</f>
        <v>0.6225319119527053</v>
      </c>
      <c r="G19" s="343">
        <f>(GETPIVOTDATA(" %UG EL O",'FTE Pivot Table'!$A$3,"State","MS","Type2","Four-Year"))*100</f>
        <v>0.015078856467142973</v>
      </c>
      <c r="H19" s="318">
        <f>(GETPIVOTDATA(" %UG Cor",'FTE Pivot Table'!$A$3,"State","MS","Type2","Four-Year"))*100</f>
        <v>0.5584467719673476</v>
      </c>
      <c r="I19" s="122" t="s">
        <v>168</v>
      </c>
      <c r="J19" s="331">
        <f>(GETPIVOTDATA(" %G OnC Trad",'FTE Pivot Table'!$A$3,"State","MS","Type2","Four-Year"))*100</f>
        <v>82.06331491167916</v>
      </c>
      <c r="K19" s="332">
        <f>(GETPIVOTDATA(" %G OffC Trad",'FTE Pivot Table'!$A$3,"State","MS","Type2","Four-Year"))*100</f>
        <v>11.648670817141552</v>
      </c>
      <c r="L19" s="333">
        <f t="shared" si="1"/>
        <v>6.278153531713484</v>
      </c>
      <c r="M19" s="331">
        <f>(GETPIVOTDATA(" %G EL Web",'FTE Pivot Table'!$A$3,"State","MS","Type2","Four-Year"))*100</f>
        <v>4.6336511180733915</v>
      </c>
      <c r="N19" s="331">
        <f>(GETPIVOTDATA(" % G EL CV",'FTE Pivot Table'!$A$3,"State","MS","Type2","Four-Year"))*100</f>
        <v>1.2585889281824416</v>
      </c>
      <c r="O19" s="332">
        <f>(GETPIVOTDATA(" %G EL O",'FTE Pivot Table'!$A$3,"State","MS","Type2","Four-Year"))*100</f>
        <v>0.38591348545765036</v>
      </c>
      <c r="P19" s="335">
        <f>(GETPIVOTDATA(" %G Cor",'FTE Pivot Table'!$A$3,"State","MS","Type2","Four-Year"))*100</f>
        <v>0.00986073946581685</v>
      </c>
      <c r="Q19" s="121">
        <f t="shared" si="2"/>
        <v>100</v>
      </c>
      <c r="R19" s="121">
        <f t="shared" si="3"/>
        <v>100.00000000000001</v>
      </c>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row>
    <row r="20" spans="1:41" ht="15.75" customHeight="1">
      <c r="A20" s="122" t="s">
        <v>176</v>
      </c>
      <c r="B20" s="318">
        <f>(GETPIVOTDATA(" %UG OnC Trad",'FTE Pivot Table'!$A$3,"State","NC","Type2","Four-Year"))*100</f>
        <v>97.02733432342805</v>
      </c>
      <c r="C20" s="319">
        <f>(GETPIVOTDATA(" %UG OffC Trad",'FTE Pivot Table'!$A$3,"State","NC","Type2","Four-Year"))*100</f>
        <v>1.6610316053651708</v>
      </c>
      <c r="D20" s="340">
        <f t="shared" si="0"/>
        <v>1.3116340712067804</v>
      </c>
      <c r="E20" s="318">
        <f>(GETPIVOTDATA(" %UG EL Web",'FTE Pivot Table'!$A$3,"State","NC","Type2","Four-Year"))*100</f>
        <v>1.2491741367749805</v>
      </c>
      <c r="F20" s="318">
        <f>GETPIVOTDATA(" % UG EL CV",'FTE Pivot Table'!$A$3,"State","NC","Type2","Four-Year")*100</f>
        <v>0.05531534287533228</v>
      </c>
      <c r="G20" s="343">
        <f>(GETPIVOTDATA(" %UG EL O",'FTE Pivot Table'!$A$3,"State","NC","Type2","Four-Year"))*100</f>
        <v>0.007144591556467684</v>
      </c>
      <c r="H20" s="318">
        <f>(GETPIVOTDATA(" %UG Cor",'FTE Pivot Table'!$A$3,"State","NC","Type2","Four-Year"))*100</f>
        <v>0</v>
      </c>
      <c r="I20" s="122" t="s">
        <v>176</v>
      </c>
      <c r="J20" s="331">
        <f>(GETPIVOTDATA(" %G OnC Trad",'FTE Pivot Table'!$A$3,"State","NC","Type2","Four-Year"))*100</f>
        <v>84.56812311705829</v>
      </c>
      <c r="K20" s="332">
        <f>(GETPIVOTDATA(" %G OffC Trad",'FTE Pivot Table'!$A$3,"State","NC","Type2","Four-Year"))*100</f>
        <v>8.338860952282134</v>
      </c>
      <c r="L20" s="333">
        <f t="shared" si="1"/>
        <v>7.093015930659573</v>
      </c>
      <c r="M20" s="331">
        <f>(GETPIVOTDATA(" %G EL Web",'FTE Pivot Table'!$A$3,"State","NC","Type2","Four-Year"))*100</f>
        <v>6.6275842390599475</v>
      </c>
      <c r="N20" s="331">
        <f>(GETPIVOTDATA(" % G EL CV",'FTE Pivot Table'!$A$3,"State","NC","Type2","Four-Year"))*100</f>
        <v>0.33350997009527267</v>
      </c>
      <c r="O20" s="332">
        <f>(GETPIVOTDATA(" %G EL O",'FTE Pivot Table'!$A$3,"State","NC","Type2","Four-Year"))*100</f>
        <v>0.1319217215043523</v>
      </c>
      <c r="P20" s="331">
        <f>(GETPIVOTDATA(" %G Cor",'FTE Pivot Table'!$A$3,"State","NC","Type2","Four-Year"))*100</f>
        <v>0</v>
      </c>
      <c r="Q20" s="121">
        <f t="shared" si="2"/>
        <v>100</v>
      </c>
      <c r="R20" s="121">
        <f t="shared" si="3"/>
        <v>100</v>
      </c>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row>
    <row r="21" spans="1:41" ht="15.75" customHeight="1">
      <c r="A21" s="122" t="s">
        <v>169</v>
      </c>
      <c r="B21" s="318">
        <f>(GETPIVOTDATA(" %UG OnC Trad",'FTE Pivot Table'!$A$3,"State","OK","Type2","Four-Year"))*100</f>
        <v>96.72655683088482</v>
      </c>
      <c r="C21" s="319">
        <f>(GETPIVOTDATA(" %UG OffC Trad",'FTE Pivot Table'!$A$3,"State","OK","Type2","Four-Year"))*100</f>
        <v>0.3433022626087292</v>
      </c>
      <c r="D21" s="340">
        <f t="shared" si="0"/>
        <v>2.8777256068035775</v>
      </c>
      <c r="E21" s="318">
        <f>(GETPIVOTDATA(" %UG EL Web",'FTE Pivot Table'!$A$3,"State","OK","Type2","Four-Year"))*100</f>
        <v>1.4656987188318569</v>
      </c>
      <c r="F21" s="318">
        <f>GETPIVOTDATA(" % UG EL CV",'FTE Pivot Table'!$A$3,"State","OK","Type2","Four-Year")*100</f>
        <v>1.068904129814029</v>
      </c>
      <c r="G21" s="319">
        <f>(GETPIVOTDATA(" %UG EL O",'FTE Pivot Table'!$A$3,"State","OK","Type2","Four-Year"))*100</f>
        <v>0.34312275815769194</v>
      </c>
      <c r="H21" s="318">
        <f>(GETPIVOTDATA(" %UG Cor",'FTE Pivot Table'!$A$3,"State","OK","Type2","Four-Year"))*100</f>
        <v>0.052415299702875257</v>
      </c>
      <c r="I21" s="122" t="s">
        <v>169</v>
      </c>
      <c r="J21" s="331">
        <f>(GETPIVOTDATA(" %G OnC Trad",'FTE Pivot Table'!$A$3,"State","OK","Type2","Four-Year"))*100</f>
        <v>88.46649767762165</v>
      </c>
      <c r="K21" s="332">
        <f>(GETPIVOTDATA(" %G OffC Trad",'FTE Pivot Table'!$A$3,"State","OK","Type2","Four-Year"))*100</f>
        <v>6.682149188999106</v>
      </c>
      <c r="L21" s="333">
        <f t="shared" si="1"/>
        <v>4.830840012307872</v>
      </c>
      <c r="M21" s="331">
        <f>(GETPIVOTDATA(" %G EL Web",'FTE Pivot Table'!$A$3,"State","OK","Type2","Four-Year"))*100</f>
        <v>1.8238362466849332</v>
      </c>
      <c r="N21" s="331">
        <f>(GETPIVOTDATA(" % G EL CV",'FTE Pivot Table'!$A$3,"State","OK","Type2","Four-Year"))*100</f>
        <v>2.535201980981406</v>
      </c>
      <c r="O21" s="332">
        <f>(GETPIVOTDATA(" %G EL O",'FTE Pivot Table'!$A$3,"State","OK","Type2","Four-Year"))*100</f>
        <v>0.4718017846415333</v>
      </c>
      <c r="P21" s="335">
        <f>(GETPIVOTDATA(" %G Cor",'FTE Pivot Table'!$A$3,"State","OK","Type2","Four-Year"))*100</f>
        <v>0.02051312107137101</v>
      </c>
      <c r="Q21" s="121">
        <f t="shared" si="2"/>
        <v>100</v>
      </c>
      <c r="R21" s="121">
        <f t="shared" si="3"/>
        <v>100</v>
      </c>
      <c r="S21" s="134"/>
      <c r="T21" s="274"/>
      <c r="U21" s="134"/>
      <c r="V21" s="134"/>
      <c r="W21" s="134"/>
      <c r="X21" s="134"/>
      <c r="Y21" s="134"/>
      <c r="Z21" s="134"/>
      <c r="AA21" s="134"/>
      <c r="AB21" s="134"/>
      <c r="AC21" s="134"/>
      <c r="AD21" s="134"/>
      <c r="AE21" s="134"/>
      <c r="AF21" s="134"/>
      <c r="AG21" s="134"/>
      <c r="AH21" s="134"/>
      <c r="AI21" s="134"/>
      <c r="AJ21" s="134"/>
      <c r="AK21" s="134"/>
      <c r="AL21" s="134"/>
      <c r="AM21" s="134"/>
      <c r="AN21" s="134"/>
      <c r="AO21" s="134"/>
    </row>
    <row r="22" spans="1:41" ht="15.75" customHeight="1">
      <c r="A22" s="122" t="s">
        <v>542</v>
      </c>
      <c r="B22" s="318">
        <f>(GETPIVOTDATA(" %UG OnC Trad",'FTE Pivot Table'!$A$3,"State","SC","Type2","Four-Year"))*100</f>
        <v>0</v>
      </c>
      <c r="C22" s="319">
        <f>(GETPIVOTDATA(" %UG OffC Trad",'FTE Pivot Table'!$A$3,"State","SC","Type2","Four-Year"))*100</f>
        <v>0</v>
      </c>
      <c r="D22" s="340">
        <f t="shared" si="0"/>
        <v>0</v>
      </c>
      <c r="E22" s="318">
        <f>(GETPIVOTDATA(" %UG EL Web",'FTE Pivot Table'!$A$3,"State","SC","Type2","Four-Year"))*100</f>
        <v>0</v>
      </c>
      <c r="F22" s="318">
        <f>GETPIVOTDATA(" % UG EL CV",'FTE Pivot Table'!$A$3,"State","SC","Type2","Four-Year")*100</f>
        <v>0</v>
      </c>
      <c r="G22" s="319">
        <f>(GETPIVOTDATA(" %UG EL O",'FTE Pivot Table'!$A$3,"State","SC","Type2","Four-Year"))*100</f>
        <v>0</v>
      </c>
      <c r="H22" s="318">
        <f>(GETPIVOTDATA(" %UG Cor",'FTE Pivot Table'!$A$3,"State","SC","Type2","Four-Year"))*100</f>
        <v>0</v>
      </c>
      <c r="I22" s="122" t="s">
        <v>542</v>
      </c>
      <c r="J22" s="331">
        <f>(GETPIVOTDATA(" %G OnC Trad",'FTE Pivot Table'!$A$3,"State","SC","Type2","Four-Year"))*100</f>
        <v>0</v>
      </c>
      <c r="K22" s="332">
        <f>(GETPIVOTDATA(" %G OffC Trad",'FTE Pivot Table'!$A$3,"State","SC","Type2","Four-Year"))*100</f>
        <v>0</v>
      </c>
      <c r="L22" s="333">
        <f t="shared" si="1"/>
        <v>0</v>
      </c>
      <c r="M22" s="331">
        <f>(GETPIVOTDATA(" %G EL Web",'FTE Pivot Table'!$A$3,"State","SC","Type2","Four-Year"))*100</f>
        <v>0</v>
      </c>
      <c r="N22" s="331">
        <f>(GETPIVOTDATA(" % G EL CV",'FTE Pivot Table'!$A$3,"State","SC","Type2","Four-Year"))*100</f>
        <v>0</v>
      </c>
      <c r="O22" s="332">
        <f>(GETPIVOTDATA(" %G EL O",'FTE Pivot Table'!$A$3,"State","SC","Type2","Four-Year"))*100</f>
        <v>0</v>
      </c>
      <c r="P22" s="331">
        <f>(GETPIVOTDATA(" %G Cor",'FTE Pivot Table'!$A$3,"State","SC","Type2","Four-Year"))*100</f>
        <v>0</v>
      </c>
      <c r="Q22" s="121">
        <f t="shared" si="2"/>
        <v>0</v>
      </c>
      <c r="R22" s="121">
        <f t="shared" si="3"/>
        <v>0</v>
      </c>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row>
    <row r="23" spans="1:41" ht="15.75" customHeight="1">
      <c r="A23" s="122"/>
      <c r="B23" s="318"/>
      <c r="C23" s="319"/>
      <c r="D23" s="340"/>
      <c r="E23" s="318"/>
      <c r="F23" s="318"/>
      <c r="G23" s="319"/>
      <c r="H23" s="318"/>
      <c r="I23" s="122"/>
      <c r="J23" s="331"/>
      <c r="K23" s="332"/>
      <c r="L23" s="333"/>
      <c r="M23" s="331"/>
      <c r="N23" s="331"/>
      <c r="O23" s="332"/>
      <c r="P23" s="331"/>
      <c r="Q23" s="121"/>
      <c r="R23" s="121"/>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row>
    <row r="24" spans="1:41" ht="15.75" customHeight="1">
      <c r="A24" s="122" t="s">
        <v>543</v>
      </c>
      <c r="B24" s="318">
        <f>(GETPIVOTDATA(" %UG OnC Trad",'FTE Pivot Table'!$A$3,"State","TN","Type2","Four-Year"))*100</f>
        <v>0</v>
      </c>
      <c r="C24" s="319">
        <f>(GETPIVOTDATA(" %UG OffC Trad",'FTE Pivot Table'!$A$3,"State","TN","Type2","Four-Year"))*100</f>
        <v>0</v>
      </c>
      <c r="D24" s="340">
        <f t="shared" si="0"/>
        <v>0</v>
      </c>
      <c r="E24" s="318">
        <f>(GETPIVOTDATA(" %UG EL Web",'FTE Pivot Table'!$A$3,"State","TN","Type2","Four-Year"))*100</f>
        <v>0</v>
      </c>
      <c r="F24" s="318">
        <f>GETPIVOTDATA(" % UG EL CV",'FTE Pivot Table'!$A$3,"State","TN","Type2","Four-Year")*100</f>
        <v>0</v>
      </c>
      <c r="G24" s="319">
        <f>(GETPIVOTDATA(" %UG EL O",'FTE Pivot Table'!$A$3,"State","TN","Type2","Four-Year"))*100</f>
        <v>0</v>
      </c>
      <c r="H24" s="318">
        <f>(GETPIVOTDATA(" %UG Cor",'FTE Pivot Table'!$A$3,"State","TN","Type2","Four-Year"))*100</f>
        <v>0</v>
      </c>
      <c r="I24" s="122" t="s">
        <v>543</v>
      </c>
      <c r="J24" s="331">
        <f>(GETPIVOTDATA(" %G OnC Trad",'FTE Pivot Table'!$A$3,"State","TN","Type2","Four-Year"))*100</f>
        <v>0</v>
      </c>
      <c r="K24" s="332">
        <f>(GETPIVOTDATA(" %G OffC Trad",'FTE Pivot Table'!$A$3,"State","TN","Type2","Four-Year"))*100</f>
        <v>0</v>
      </c>
      <c r="L24" s="333">
        <f t="shared" si="1"/>
        <v>0</v>
      </c>
      <c r="M24" s="331">
        <f>(GETPIVOTDATA(" %G EL Web",'FTE Pivot Table'!$A$3,"State","TN","Type2","Four-Year"))*100</f>
        <v>0</v>
      </c>
      <c r="N24" s="331">
        <f>(GETPIVOTDATA(" % G EL CV",'FTE Pivot Table'!$A$3,"State","TN","Type2","Four-Year"))*100</f>
        <v>0</v>
      </c>
      <c r="O24" s="332">
        <f>(GETPIVOTDATA(" %G EL O",'FTE Pivot Table'!$A$3,"State","TN","Type2","Four-Year"))*100</f>
        <v>0</v>
      </c>
      <c r="P24" s="331">
        <f>(GETPIVOTDATA(" %G Cor",'FTE Pivot Table'!$A$3,"State","TN","Type2","Four-Year"))*100</f>
        <v>0</v>
      </c>
      <c r="Q24" s="121">
        <f t="shared" si="2"/>
        <v>0</v>
      </c>
      <c r="R24" s="121">
        <f t="shared" si="3"/>
        <v>0</v>
      </c>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row>
    <row r="25" spans="1:41" ht="15.75" customHeight="1">
      <c r="A25" s="122" t="s">
        <v>277</v>
      </c>
      <c r="B25" s="318">
        <f>(GETPIVOTDATA(" %UG OnC Trad",'FTE Pivot Table'!$A$3,"State","TX","Type2","Four-Year"))*100</f>
        <v>96.33932555425714</v>
      </c>
      <c r="C25" s="319">
        <f>(GETPIVOTDATA(" %UG OffC Trad",'FTE Pivot Table'!$A$3,"State","TX","Type2","Four-Year"))*100</f>
        <v>1.498480383463268</v>
      </c>
      <c r="D25" s="340">
        <f t="shared" si="0"/>
        <v>2.1621940622795783</v>
      </c>
      <c r="E25" s="318">
        <f>(GETPIVOTDATA(" %UG EL Web",'FTE Pivot Table'!$A$3,"State","TX","Type2","Four-Year"))*100</f>
        <v>1.6418580055407492</v>
      </c>
      <c r="F25" s="318">
        <f>GETPIVOTDATA(" % UG EL CV",'FTE Pivot Table'!$A$3,"State","TX","Type2","Four-Year")*100</f>
        <v>0.2453939787067428</v>
      </c>
      <c r="G25" s="319">
        <f>(GETPIVOTDATA(" %UG EL O",'FTE Pivot Table'!$A$3,"State","TX","Type2","Four-Year"))*100</f>
        <v>0.2749420780320865</v>
      </c>
      <c r="H25" s="318">
        <f>(GETPIVOTDATA(" %UG Cor",'FTE Pivot Table'!$A$3,"State","TX","Type2","Four-Year"))*100</f>
        <v>0</v>
      </c>
      <c r="I25" s="122" t="s">
        <v>277</v>
      </c>
      <c r="J25" s="331">
        <f>(GETPIVOTDATA(" %G OnC Trad",'FTE Pivot Table'!$A$3,"State","TX","Type2","Four-Year"))*100</f>
        <v>85.90333532627264</v>
      </c>
      <c r="K25" s="332">
        <f>(GETPIVOTDATA(" %G OffC Trad",'FTE Pivot Table'!$A$3,"State","TX","Type2","Four-Year"))*100</f>
        <v>6.525867877614547</v>
      </c>
      <c r="L25" s="333">
        <f t="shared" si="1"/>
        <v>7.57079679611282</v>
      </c>
      <c r="M25" s="331">
        <f>(GETPIVOTDATA(" %G EL Web",'FTE Pivot Table'!$A$3,"State","TX","Type2","Four-Year"))*100</f>
        <v>6.402080249022511</v>
      </c>
      <c r="N25" s="331">
        <f>(GETPIVOTDATA(" % G EL CV",'FTE Pivot Table'!$A$3,"State","TX","Type2","Four-Year"))*100</f>
        <v>0.8387546027407661</v>
      </c>
      <c r="O25" s="332">
        <f>(GETPIVOTDATA(" %G EL O",'FTE Pivot Table'!$A$3,"State","TX","Type2","Four-Year"))*100</f>
        <v>0.32996194434954257</v>
      </c>
      <c r="P25" s="331">
        <f>(GETPIVOTDATA(" %G Cor",'FTE Pivot Table'!$A$3,"State","TX","Type2","Four-Year"))*100</f>
        <v>0</v>
      </c>
      <c r="Q25" s="121">
        <f t="shared" si="2"/>
        <v>100</v>
      </c>
      <c r="R25" s="121">
        <f t="shared" si="3"/>
        <v>100</v>
      </c>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row>
    <row r="26" spans="1:41" ht="15.75" customHeight="1">
      <c r="A26" s="122" t="s">
        <v>544</v>
      </c>
      <c r="B26" s="318">
        <f>(GETPIVOTDATA(" %UG OnC Trad",'FTE Pivot Table'!$A$3,"State","VA","Type2","Four-Year"))*100</f>
        <v>0</v>
      </c>
      <c r="C26" s="319">
        <f>(GETPIVOTDATA(" %UG OffC Trad",'FTE Pivot Table'!$A$3,"State","VA","Type2","Four-Year"))*100</f>
        <v>0</v>
      </c>
      <c r="D26" s="340">
        <f t="shared" si="0"/>
        <v>0</v>
      </c>
      <c r="E26" s="318">
        <f>(GETPIVOTDATA(" %UG EL Web",'FTE Pivot Table'!$A$3,"State","VA","Type2","Four-Year"))*100</f>
        <v>0</v>
      </c>
      <c r="F26" s="318">
        <f>GETPIVOTDATA(" % UG EL CV",'FTE Pivot Table'!$A$3,"State","VA","Type2","Four-Year")*100</f>
        <v>0</v>
      </c>
      <c r="G26" s="319">
        <f>(GETPIVOTDATA(" %UG EL O",'FTE Pivot Table'!$A$3,"State","VA","Type2","Four-Year"))*100</f>
        <v>0</v>
      </c>
      <c r="H26" s="318">
        <f>(GETPIVOTDATA(" %UG Cor",'FTE Pivot Table'!$A$3,"State","VA","Type2","Four-Year"))*100</f>
        <v>0</v>
      </c>
      <c r="I26" s="122" t="s">
        <v>544</v>
      </c>
      <c r="J26" s="331">
        <f>(GETPIVOTDATA(" %G OnC Trad",'FTE Pivot Table'!$A$3,"State","VA","Type2","Four-Year"))*100</f>
        <v>0</v>
      </c>
      <c r="K26" s="332">
        <f>(GETPIVOTDATA(" %G OffC Trad",'FTE Pivot Table'!$A$3,"State","VA","Type2","Four-Year"))*100</f>
        <v>0</v>
      </c>
      <c r="L26" s="333">
        <f t="shared" si="1"/>
        <v>0</v>
      </c>
      <c r="M26" s="331">
        <f>(GETPIVOTDATA(" %G EL Web",'FTE Pivot Table'!$A$3,"State","VA","Type2","Four-Year"))*100</f>
        <v>0</v>
      </c>
      <c r="N26" s="331">
        <f>(GETPIVOTDATA(" % G EL CV",'FTE Pivot Table'!$A$3,"State","VA","Type2","Four-Year"))*100</f>
        <v>0</v>
      </c>
      <c r="O26" s="332">
        <f>(GETPIVOTDATA(" %G EL O",'FTE Pivot Table'!$A$3,"State","VA","Type2","Four-Year"))*100</f>
        <v>0</v>
      </c>
      <c r="P26" s="331">
        <f>(GETPIVOTDATA(" %G Cor",'FTE Pivot Table'!$A$3,"State","VA","Type2","Four-Year"))*100</f>
        <v>0</v>
      </c>
      <c r="Q26" s="121">
        <f t="shared" si="2"/>
        <v>0</v>
      </c>
      <c r="R26" s="121">
        <f t="shared" si="3"/>
        <v>0</v>
      </c>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row>
    <row r="27" spans="1:41" ht="15.75" customHeight="1">
      <c r="A27" s="116" t="s">
        <v>633</v>
      </c>
      <c r="B27" s="317">
        <f>(GETPIVOTDATA(" %UG OnC Trad",'FTE Pivot Table'!$A$3,"State","WV","Type2","Four-Year"))*100</f>
        <v>91.4615851216656</v>
      </c>
      <c r="C27" s="320">
        <f>(GETPIVOTDATA(" %UG OffC Trad",'FTE Pivot Table'!$A$3,"State","WV","Type2","Four-Year"))*100</f>
        <v>6.531438843497092</v>
      </c>
      <c r="D27" s="342">
        <f t="shared" si="0"/>
        <v>2.0069760348372916</v>
      </c>
      <c r="E27" s="317">
        <f>(GETPIVOTDATA(" %UG EL Web",'FTE Pivot Table'!$A$3,"State","WV","Type2","Four-Year"))*100</f>
        <v>1.4474269387269532</v>
      </c>
      <c r="F27" s="317">
        <f>GETPIVOTDATA(" % UG EL CV",'FTE Pivot Table'!$A$3,"State","WV","Type2","Four-Year")*100</f>
        <v>0.36132070186408005</v>
      </c>
      <c r="G27" s="320">
        <f>(GETPIVOTDATA(" %UG EL O",'FTE Pivot Table'!$A$3,"State","WV","Type2","Four-Year"))*100</f>
        <v>0.19822839424625832</v>
      </c>
      <c r="H27" s="317">
        <f>(GETPIVOTDATA(" %UG Cor",'FTE Pivot Table'!$A$3,"State","WV","Type2","Four-Year"))*100</f>
        <v>0</v>
      </c>
      <c r="I27" s="116" t="s">
        <v>633</v>
      </c>
      <c r="J27" s="337">
        <f>(GETPIVOTDATA(" %G OnC Trad",'FTE Pivot Table'!$A$3,"State","WV","Type2","Four-Year"))*100</f>
        <v>58.36806369940041</v>
      </c>
      <c r="K27" s="338">
        <f>(GETPIVOTDATA(" %G OffC Trad",'FTE Pivot Table'!$A$3,"State","WV","Type2","Four-Year"))*100</f>
        <v>29.878338475231686</v>
      </c>
      <c r="L27" s="339">
        <f t="shared" si="1"/>
        <v>11.753597825367903</v>
      </c>
      <c r="M27" s="337">
        <f>(GETPIVOTDATA(" %G EL Web",'FTE Pivot Table'!$A$3,"State","WV","Type2","Four-Year"))*100</f>
        <v>7.07236545365977</v>
      </c>
      <c r="N27" s="337">
        <f>(GETPIVOTDATA(" % G EL CV",'FTE Pivot Table'!$A$3,"State","WV","Type2","Four-Year"))*100</f>
        <v>3.0935584943559395</v>
      </c>
      <c r="O27" s="338">
        <f>(GETPIVOTDATA(" %G EL O",'FTE Pivot Table'!$A$3,"State","WV","Type2","Four-Year"))*100</f>
        <v>1.5876738773521928</v>
      </c>
      <c r="P27" s="337">
        <f>(GETPIVOTDATA(" %G Cor",'FTE Pivot Table'!$A$3,"State","WV","Type2","Four-Year"))*100</f>
        <v>0</v>
      </c>
      <c r="Q27" s="121">
        <f t="shared" si="2"/>
        <v>100</v>
      </c>
      <c r="R27" s="121">
        <f t="shared" si="3"/>
        <v>100</v>
      </c>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row>
    <row r="28" spans="1:41" s="279" customFormat="1" ht="18" customHeight="1">
      <c r="A28" s="347" t="s">
        <v>634</v>
      </c>
      <c r="B28" s="283"/>
      <c r="C28" s="283"/>
      <c r="D28" s="284"/>
      <c r="E28" s="283"/>
      <c r="F28" s="284"/>
      <c r="G28" s="284"/>
      <c r="H28" s="283"/>
      <c r="I28" s="347" t="s">
        <v>634</v>
      </c>
      <c r="J28" s="283"/>
      <c r="K28" s="283"/>
      <c r="L28" s="284"/>
      <c r="M28" s="283"/>
      <c r="N28" s="284"/>
      <c r="O28" s="284"/>
      <c r="P28" s="283"/>
      <c r="Q28" s="283"/>
      <c r="R28" s="283"/>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row>
    <row r="29" spans="1:18" s="279" customFormat="1" ht="13.5" customHeight="1">
      <c r="A29" s="347" t="s">
        <v>635</v>
      </c>
      <c r="B29" s="278"/>
      <c r="H29" s="277"/>
      <c r="I29" s="347" t="s">
        <v>635</v>
      </c>
      <c r="P29" s="280"/>
      <c r="Q29" s="281"/>
      <c r="R29" s="282"/>
    </row>
    <row r="30" spans="1:18" s="279" customFormat="1" ht="13.5" customHeight="1">
      <c r="A30" s="348" t="s">
        <v>639</v>
      </c>
      <c r="H30" s="277"/>
      <c r="I30" s="348" t="s">
        <v>639</v>
      </c>
      <c r="Q30" s="281"/>
      <c r="R30" s="282"/>
    </row>
    <row r="31" spans="8:16" ht="12.75">
      <c r="H31" s="351" t="s">
        <v>643</v>
      </c>
      <c r="I31" s="120"/>
      <c r="P31" s="351" t="s">
        <v>642</v>
      </c>
    </row>
    <row r="32" spans="1:18" ht="18">
      <c r="A32" s="113" t="s">
        <v>578</v>
      </c>
      <c r="B32" s="114"/>
      <c r="C32" s="114"/>
      <c r="D32" s="114"/>
      <c r="E32" s="114"/>
      <c r="F32" s="114"/>
      <c r="G32" s="114"/>
      <c r="H32" s="132"/>
      <c r="I32" s="113" t="s">
        <v>594</v>
      </c>
      <c r="J32" s="115"/>
      <c r="K32" s="115"/>
      <c r="L32" s="114"/>
      <c r="M32" s="115"/>
      <c r="N32" s="115"/>
      <c r="O32" s="115"/>
      <c r="P32" s="115"/>
      <c r="Q32" s="270"/>
      <c r="R32" s="271"/>
    </row>
    <row r="33" spans="1:18" ht="12.75">
      <c r="A33" s="293"/>
      <c r="B33" s="115"/>
      <c r="C33" s="115"/>
      <c r="D33" s="115"/>
      <c r="E33" s="115"/>
      <c r="F33" s="115"/>
      <c r="G33" s="115"/>
      <c r="H33" s="127"/>
      <c r="I33" s="293"/>
      <c r="J33" s="115"/>
      <c r="K33" s="115"/>
      <c r="L33" s="115"/>
      <c r="M33" s="115"/>
      <c r="N33" s="115"/>
      <c r="O33" s="115"/>
      <c r="P33" s="115"/>
      <c r="R33" s="273"/>
    </row>
    <row r="34" spans="1:18" ht="15.75">
      <c r="A34" s="124" t="s">
        <v>617</v>
      </c>
      <c r="B34" s="115"/>
      <c r="C34" s="115"/>
      <c r="D34" s="115"/>
      <c r="E34" s="115"/>
      <c r="F34" s="115"/>
      <c r="G34" s="115"/>
      <c r="H34" s="127"/>
      <c r="I34" s="124" t="s">
        <v>618</v>
      </c>
      <c r="J34" s="115"/>
      <c r="K34" s="115"/>
      <c r="L34" s="115"/>
      <c r="M34" s="115"/>
      <c r="N34" s="115"/>
      <c r="O34" s="115"/>
      <c r="P34" s="115"/>
      <c r="R34" s="273" t="s">
        <v>2</v>
      </c>
    </row>
    <row r="35" spans="1:18" ht="15.75">
      <c r="A35" s="124" t="s">
        <v>547</v>
      </c>
      <c r="B35" s="115"/>
      <c r="C35" s="115"/>
      <c r="D35" s="115"/>
      <c r="E35" s="115"/>
      <c r="F35" s="115"/>
      <c r="G35" s="115"/>
      <c r="H35" s="127"/>
      <c r="I35" s="124" t="s">
        <v>547</v>
      </c>
      <c r="J35" s="115"/>
      <c r="K35" s="115"/>
      <c r="L35" s="115"/>
      <c r="M35" s="115"/>
      <c r="N35" s="115"/>
      <c r="O35" s="115"/>
      <c r="P35" s="115"/>
      <c r="R35" s="273" t="s">
        <v>2</v>
      </c>
    </row>
    <row r="36" spans="1:16" ht="12.75">
      <c r="A36" s="116"/>
      <c r="B36" s="117"/>
      <c r="C36" s="117"/>
      <c r="D36" s="117"/>
      <c r="E36" s="117"/>
      <c r="F36" s="117"/>
      <c r="G36" s="117"/>
      <c r="H36" s="117"/>
      <c r="I36" s="118"/>
      <c r="L36" s="119"/>
      <c r="P36" s="116"/>
    </row>
    <row r="37" spans="1:18" s="305" customFormat="1" ht="12">
      <c r="A37" s="300"/>
      <c r="B37" s="301" t="s">
        <v>279</v>
      </c>
      <c r="C37" s="301"/>
      <c r="D37" s="301"/>
      <c r="E37" s="301"/>
      <c r="F37" s="301"/>
      <c r="G37" s="301"/>
      <c r="H37" s="302"/>
      <c r="I37" s="300"/>
      <c r="J37" s="301" t="s">
        <v>279</v>
      </c>
      <c r="K37" s="301"/>
      <c r="L37" s="301"/>
      <c r="M37" s="301"/>
      <c r="N37" s="301"/>
      <c r="O37" s="301"/>
      <c r="P37" s="302"/>
      <c r="Q37" s="303"/>
      <c r="R37" s="304"/>
    </row>
    <row r="38" spans="1:18" s="305" customFormat="1" ht="12">
      <c r="A38" s="300"/>
      <c r="B38" s="301" t="s">
        <v>173</v>
      </c>
      <c r="C38" s="301"/>
      <c r="D38" s="370" t="s">
        <v>629</v>
      </c>
      <c r="E38" s="371"/>
      <c r="F38" s="371"/>
      <c r="G38" s="371"/>
      <c r="H38" s="306" t="s">
        <v>2</v>
      </c>
      <c r="I38" s="300"/>
      <c r="J38" s="301" t="s">
        <v>173</v>
      </c>
      <c r="K38" s="301"/>
      <c r="L38" s="370" t="s">
        <v>629</v>
      </c>
      <c r="M38" s="371"/>
      <c r="N38" s="371"/>
      <c r="O38" s="371"/>
      <c r="P38" s="306" t="s">
        <v>2</v>
      </c>
      <c r="Q38" s="303"/>
      <c r="R38" s="304"/>
    </row>
    <row r="39" spans="1:20" s="305" customFormat="1" ht="40.5" customHeight="1">
      <c r="A39" s="300"/>
      <c r="B39" s="307" t="s">
        <v>612</v>
      </c>
      <c r="C39" s="308" t="s">
        <v>611</v>
      </c>
      <c r="D39" s="309" t="s">
        <v>626</v>
      </c>
      <c r="E39" s="310" t="s">
        <v>0</v>
      </c>
      <c r="F39" s="307" t="s">
        <v>174</v>
      </c>
      <c r="G39" s="311" t="s">
        <v>631</v>
      </c>
      <c r="H39" s="312" t="s">
        <v>630</v>
      </c>
      <c r="I39" s="300"/>
      <c r="J39" s="307" t="s">
        <v>612</v>
      </c>
      <c r="K39" s="308" t="s">
        <v>611</v>
      </c>
      <c r="L39" s="309" t="s">
        <v>626</v>
      </c>
      <c r="M39" s="310" t="s">
        <v>0</v>
      </c>
      <c r="N39" s="307" t="s">
        <v>174</v>
      </c>
      <c r="O39" s="311" t="s">
        <v>631</v>
      </c>
      <c r="P39" s="312" t="s">
        <v>630</v>
      </c>
      <c r="Q39" s="313"/>
      <c r="R39" s="314"/>
      <c r="T39" s="315"/>
    </row>
    <row r="40" spans="1:41" ht="15.75" customHeight="1">
      <c r="A40" s="123" t="s">
        <v>534</v>
      </c>
      <c r="B40" s="318">
        <f>(GETPIVOTDATA(" %UG OnC Trad",'FTE Pivot Table'!$A$3,"State","AL","Type",1,"Type2","Four-Year"))*100</f>
        <v>0</v>
      </c>
      <c r="C40" s="319">
        <f>(GETPIVOTDATA(" %UG OffC Trad",'FTE Pivot Table'!$A$3,"State","AL","Type",1,"Type2","Four-Year"))*100</f>
        <v>0</v>
      </c>
      <c r="D40" s="340">
        <f>SUM(E40:G40)</f>
        <v>0</v>
      </c>
      <c r="E40" s="318">
        <f>(GETPIVOTDATA(" %UG EL Web",'FTE Pivot Table'!$A$3,"State","AL","Type",1,"Type2","Four-Year"))*100</f>
        <v>0</v>
      </c>
      <c r="F40" s="341">
        <f>(GETPIVOTDATA(" % UG EL CV",'FTE Pivot Table'!$A$3,"State","AL","Type",1,"Type2","Four-Year"))*100</f>
        <v>0</v>
      </c>
      <c r="G40" s="319">
        <f>(GETPIVOTDATA(" %UG EL O",'FTE Pivot Table'!$A$3,"State","AL","Type",1,"Type2","Four-Year"))*100</f>
        <v>0</v>
      </c>
      <c r="H40" s="318">
        <f>(GETPIVOTDATA(" %UG Cor",'FTE Pivot Table'!$A$3,"State","AL","Type",1,"Type2","Four-Year"))*100</f>
        <v>0</v>
      </c>
      <c r="I40" s="123" t="s">
        <v>534</v>
      </c>
      <c r="J40" s="331">
        <f>(GETPIVOTDATA(" %G OnC Trad",'FTE Pivot Table'!$A$3,"State","AL","Type",1,"Type2","Four-Year"))*100</f>
        <v>0</v>
      </c>
      <c r="K40" s="332">
        <f>(GETPIVOTDATA(" %G OffC Trad",'FTE Pivot Table'!$A$3,"State","AL","Type",1,"Type2","Four-Year"))*100</f>
        <v>0</v>
      </c>
      <c r="L40" s="333">
        <f>SUM(M40:O40)</f>
        <v>0</v>
      </c>
      <c r="M40" s="331">
        <f>(GETPIVOTDATA(" %G EL Web",'FTE Pivot Table'!$A$3,"State","AL","Type",1,"Type2","Four-Year"))*100</f>
        <v>0</v>
      </c>
      <c r="N40" s="334">
        <f>(GETPIVOTDATA(" % G EL CV",'FTE Pivot Table'!$A$3,"State","AL","Type",1,"Type2","Four-Year"))*100</f>
        <v>0</v>
      </c>
      <c r="O40" s="332">
        <f>(GETPIVOTDATA(" %G EL O",'FTE Pivot Table'!$A$3,"State","AL","Type",1,"Type2","Four-Year"))*100</f>
        <v>0</v>
      </c>
      <c r="P40" s="331">
        <f>(GETPIVOTDATA(" %G Cor",'FTE Pivot Table'!$A$3,"State","AL","Type",1,"Type2","Four-Year"))*100</f>
        <v>0</v>
      </c>
      <c r="Q40" s="121">
        <f>SUM(B40,C40,D40,H40)</f>
        <v>0</v>
      </c>
      <c r="R40" s="121">
        <f>SUM(J40,K40,L40,P40)</f>
        <v>0</v>
      </c>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row>
    <row r="41" spans="1:41" ht="15.75" customHeight="1">
      <c r="A41" s="122" t="s">
        <v>535</v>
      </c>
      <c r="B41" s="318">
        <f>(GETPIVOTDATA(" %UG OnC Trad",'FTE Pivot Table'!$A$3,"State","AR","Type",1,"Type2","Four-Year"))*100</f>
        <v>0</v>
      </c>
      <c r="C41" s="319">
        <f>(GETPIVOTDATA(" %UG OffC Trad",'FTE Pivot Table'!$A$3,"State","AR","Type",1,"Type2","Four-Year"))*100</f>
        <v>0</v>
      </c>
      <c r="D41" s="340">
        <f aca="true" t="shared" si="4" ref="D41:D58">SUM(E41:G41)</f>
        <v>0</v>
      </c>
      <c r="E41" s="318">
        <f>(GETPIVOTDATA(" %UG EL Web",'FTE Pivot Table'!$A$3,"State","AR","Type",1,"Type2","Four-Year"))*100</f>
        <v>0</v>
      </c>
      <c r="F41" s="318">
        <f>(GETPIVOTDATA(" % UG EL CV",'FTE Pivot Table'!$A$3,"State","AR","Type",1,"Type2","Four-Year"))*100</f>
        <v>0</v>
      </c>
      <c r="G41" s="319">
        <f>(GETPIVOTDATA(" %UG EL O",'FTE Pivot Table'!$A$3,"State","AR","Type",1,"Type2","Four-Year"))*100</f>
        <v>0</v>
      </c>
      <c r="H41" s="318">
        <f>(GETPIVOTDATA(" %UG Cor",'FTE Pivot Table'!$A$3,"State","AR","Type",1,"Type2","Four-Year"))*100</f>
        <v>0</v>
      </c>
      <c r="I41" s="122" t="s">
        <v>535</v>
      </c>
      <c r="J41" s="331">
        <f>(GETPIVOTDATA(" %G OnC Trad",'FTE Pivot Table'!$A$3,"State","AR","Type",1,"Type2","Four-Year"))*100</f>
        <v>0</v>
      </c>
      <c r="K41" s="332">
        <f>(GETPIVOTDATA(" %G OffC Trad",'FTE Pivot Table'!$A$3,"State","AR","Type",1,"Type2","Four-Year"))*100</f>
        <v>0</v>
      </c>
      <c r="L41" s="333">
        <f aca="true" t="shared" si="5" ref="L41:L58">SUM(M41:O41)</f>
        <v>0</v>
      </c>
      <c r="M41" s="331">
        <f>(GETPIVOTDATA(" %G EL Web",'FTE Pivot Table'!$A$3,"State","AR","Type",1,"Type2","Four-Year"))*100</f>
        <v>0</v>
      </c>
      <c r="N41" s="331">
        <f>(GETPIVOTDATA(" % G EL CV",'FTE Pivot Table'!$A$3,"State","AR","Type",1,"Type2","Four-Year"))*100</f>
        <v>0</v>
      </c>
      <c r="O41" s="332">
        <f>(GETPIVOTDATA(" %G EL O",'FTE Pivot Table'!$A$3,"State","AR","Type",1,"Type2","Four-Year"))*100</f>
        <v>0</v>
      </c>
      <c r="P41" s="331">
        <f>(GETPIVOTDATA(" %G Cor",'FTE Pivot Table'!$A$3,"State","AR","Type",1,"Type2","Four-Year"))*100</f>
        <v>0</v>
      </c>
      <c r="Q41" s="121">
        <f aca="true" t="shared" si="6" ref="Q41:Q58">SUM(B41,C41,D41,H41)</f>
        <v>0</v>
      </c>
      <c r="R41" s="121">
        <f>SUM(J41,K41,L41,P41)</f>
        <v>0</v>
      </c>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row>
    <row r="42" spans="1:41" ht="15.75" customHeight="1">
      <c r="A42" s="122" t="s">
        <v>536</v>
      </c>
      <c r="B42" s="318">
        <f>(GETPIVOTDATA(" %UG OnC Trad",'FTE Pivot Table'!$A$3,"State","DE","Type",1,"Type2","Four-Year"))*100</f>
        <v>0</v>
      </c>
      <c r="C42" s="319">
        <f>(GETPIVOTDATA(" %UG OffC Trad",'FTE Pivot Table'!$A$3,"State","DE","Type",1,"Type2","Four-Year"))*100</f>
        <v>0</v>
      </c>
      <c r="D42" s="340">
        <f t="shared" si="4"/>
        <v>0</v>
      </c>
      <c r="E42" s="318">
        <f>(GETPIVOTDATA(" %UG EL Web",'FTE Pivot Table'!$A$3,"State","DE","Type",1,"Type2","Four-Year"))*100</f>
        <v>0</v>
      </c>
      <c r="F42" s="318">
        <f>(GETPIVOTDATA(" % UG EL CV",'FTE Pivot Table'!$A$3,"State","DE","Type",1,"Type2","Four-Year"))*100</f>
        <v>0</v>
      </c>
      <c r="G42" s="319">
        <f>(GETPIVOTDATA(" %UG EL O",'FTE Pivot Table'!$A$3,"State","DE","Type",1,"Type2","Four-Year"))*100</f>
        <v>0</v>
      </c>
      <c r="H42" s="318">
        <f>(GETPIVOTDATA(" %UG Cor",'FTE Pivot Table'!$A$3,"State","DE","Type",1,"Type2","Four-Year"))*100</f>
        <v>0</v>
      </c>
      <c r="I42" s="122" t="s">
        <v>536</v>
      </c>
      <c r="J42" s="331">
        <f>(GETPIVOTDATA(" %G OnC Trad",'FTE Pivot Table'!$A$3,"State","DE","Type",1,"Type2","Four-Year"))*100</f>
        <v>0</v>
      </c>
      <c r="K42" s="332">
        <f>(GETPIVOTDATA(" %G OffC Trad",'FTE Pivot Table'!$A$3,"State","DE","Type",1,"Type2","Four-Year"))*100</f>
        <v>0</v>
      </c>
      <c r="L42" s="333">
        <f t="shared" si="5"/>
        <v>0</v>
      </c>
      <c r="M42" s="331">
        <f>(GETPIVOTDATA(" %G EL Web",'FTE Pivot Table'!$A$3,"State","DE","Type",1,"Type2","Four-Year"))*100</f>
        <v>0</v>
      </c>
      <c r="N42" s="331">
        <f>(GETPIVOTDATA(" % G EL CV",'FTE Pivot Table'!$A$3,"State","DE","Type",1,"Type2","Four-Year"))*100</f>
        <v>0</v>
      </c>
      <c r="O42" s="332">
        <f>(GETPIVOTDATA(" %G EL O",'FTE Pivot Table'!$A$3,"State","DE","Type",1,"Type2","Four-Year"))*100</f>
        <v>0</v>
      </c>
      <c r="P42" s="331">
        <f>(GETPIVOTDATA(" %G Cor",'FTE Pivot Table'!$A$3,"State","DE","Type",1,"Type2","Four-Year"))*100</f>
        <v>0</v>
      </c>
      <c r="Q42" s="121">
        <f t="shared" si="6"/>
        <v>0</v>
      </c>
      <c r="R42" s="121">
        <f aca="true" t="shared" si="7" ref="R42:R58">SUM(J42,K42,L42,P42)</f>
        <v>0</v>
      </c>
      <c r="S42" s="134"/>
      <c r="T42" s="274"/>
      <c r="U42" s="134"/>
      <c r="V42" s="134"/>
      <c r="W42" s="134"/>
      <c r="X42" s="134"/>
      <c r="Y42" s="134"/>
      <c r="Z42" s="134"/>
      <c r="AA42" s="134"/>
      <c r="AB42" s="134"/>
      <c r="AC42" s="134"/>
      <c r="AD42" s="134"/>
      <c r="AE42" s="134"/>
      <c r="AF42" s="134"/>
      <c r="AG42" s="134"/>
      <c r="AH42" s="134"/>
      <c r="AI42" s="134"/>
      <c r="AJ42" s="134"/>
      <c r="AK42" s="134"/>
      <c r="AL42" s="134"/>
      <c r="AM42" s="134"/>
      <c r="AN42" s="134"/>
      <c r="AO42" s="134"/>
    </row>
    <row r="43" spans="1:41" ht="15.75" customHeight="1">
      <c r="A43" s="122" t="s">
        <v>537</v>
      </c>
      <c r="B43" s="318">
        <f>(GETPIVOTDATA(" %UG OnC Trad",'FTE Pivot Table'!$A$3,"State","FL","Type",1,"Type2","Four-Year"))*100</f>
        <v>79.67386774570826</v>
      </c>
      <c r="C43" s="319">
        <f>(GETPIVOTDATA(" %UG OffC Trad",'FTE Pivot Table'!$A$3,"State","FL","Type",1,"Type2","Four-Year"))*100</f>
        <v>6.002892210428473</v>
      </c>
      <c r="D43" s="340">
        <f t="shared" si="4"/>
        <v>13.978479342588663</v>
      </c>
      <c r="E43" s="318">
        <f>(GETPIVOTDATA(" %UG EL Web",'FTE Pivot Table'!$A$3,"State","FL","Type",1,"Type2","Four-Year"))*100</f>
        <v>3.825438008561404</v>
      </c>
      <c r="F43" s="318">
        <f>(GETPIVOTDATA(" % UG EL CV",'FTE Pivot Table'!$A$3,"State","FL","Type",1,"Type2","Four-Year"))*100</f>
        <v>0.10796817416253608</v>
      </c>
      <c r="G43" s="319">
        <f>(GETPIVOTDATA(" %UG EL O",'FTE Pivot Table'!$A$3,"State","FL","Type",1,"Type2","Four-Year"))*100</f>
        <v>10.045073159864723</v>
      </c>
      <c r="H43" s="318">
        <f>(GETPIVOTDATA(" %UG Cor",'FTE Pivot Table'!$A$3,"State","FL","Type",1,"Type2","Four-Year"))*100</f>
        <v>0.3447607012746083</v>
      </c>
      <c r="I43" s="122" t="s">
        <v>537</v>
      </c>
      <c r="J43" s="331">
        <f>(GETPIVOTDATA(" %G OnC Trad",'FTE Pivot Table'!$A$3,"State","FL","Type",1,"Type2","Four-Year"))*100</f>
        <v>78.80173128521636</v>
      </c>
      <c r="K43" s="332">
        <f>(GETPIVOTDATA(" %G OffC Trad",'FTE Pivot Table'!$A$3,"State","FL","Type",1,"Type2","Four-Year"))*100</f>
        <v>9.858172484222765</v>
      </c>
      <c r="L43" s="333">
        <f t="shared" si="5"/>
        <v>11.336280585799589</v>
      </c>
      <c r="M43" s="331">
        <f>(GETPIVOTDATA(" %G EL Web",'FTE Pivot Table'!$A$3,"State","FL","Type",1,"Type2","Four-Year"))*100</f>
        <v>5.2030858754460905</v>
      </c>
      <c r="N43" s="331">
        <f>(GETPIVOTDATA(" % G EL CV",'FTE Pivot Table'!$A$3,"State","FL","Type",1,"Type2","Four-Year"))*100</f>
        <v>0.407728897349526</v>
      </c>
      <c r="O43" s="332">
        <f>(GETPIVOTDATA(" %G EL O",'FTE Pivot Table'!$A$3,"State","FL","Type",1,"Type2","Four-Year"))*100</f>
        <v>5.725465813003972</v>
      </c>
      <c r="P43" s="345">
        <f>(GETPIVOTDATA(" %G Cor",'FTE Pivot Table'!$A$3,"State","FL","Type",1,"Type2","Four-Year"))*100</f>
        <v>0.003815644761292356</v>
      </c>
      <c r="Q43" s="121">
        <f t="shared" si="6"/>
        <v>100.00000000000001</v>
      </c>
      <c r="R43" s="121">
        <f t="shared" si="7"/>
        <v>100</v>
      </c>
      <c r="S43" s="134"/>
      <c r="U43" s="134"/>
      <c r="V43" s="134"/>
      <c r="W43" s="134"/>
      <c r="X43" s="134"/>
      <c r="Y43" s="134"/>
      <c r="Z43" s="134"/>
      <c r="AA43" s="134"/>
      <c r="AB43" s="134"/>
      <c r="AC43" s="134"/>
      <c r="AD43" s="134"/>
      <c r="AE43" s="134"/>
      <c r="AF43" s="134"/>
      <c r="AG43" s="134"/>
      <c r="AH43" s="134"/>
      <c r="AI43" s="134"/>
      <c r="AJ43" s="134"/>
      <c r="AK43" s="134"/>
      <c r="AL43" s="134"/>
      <c r="AM43" s="134"/>
      <c r="AN43" s="134"/>
      <c r="AO43" s="134"/>
    </row>
    <row r="44" spans="1:41" ht="15.75" customHeight="1">
      <c r="A44" s="122"/>
      <c r="B44" s="318"/>
      <c r="C44" s="319"/>
      <c r="D44" s="340"/>
      <c r="E44" s="318"/>
      <c r="F44" s="318"/>
      <c r="G44" s="319"/>
      <c r="H44" s="318"/>
      <c r="I44" s="122"/>
      <c r="J44" s="331"/>
      <c r="K44" s="332"/>
      <c r="L44" s="333">
        <f t="shared" si="5"/>
        <v>0</v>
      </c>
      <c r="M44" s="331"/>
      <c r="N44" s="331"/>
      <c r="O44" s="332"/>
      <c r="P44" s="331"/>
      <c r="Q44" s="121"/>
      <c r="R44" s="121"/>
      <c r="S44" s="134"/>
      <c r="U44" s="134"/>
      <c r="V44" s="134"/>
      <c r="W44" s="134"/>
      <c r="X44" s="134"/>
      <c r="Y44" s="134"/>
      <c r="Z44" s="134"/>
      <c r="AA44" s="134"/>
      <c r="AB44" s="134"/>
      <c r="AC44" s="134"/>
      <c r="AD44" s="134"/>
      <c r="AE44" s="134"/>
      <c r="AF44" s="134"/>
      <c r="AG44" s="134"/>
      <c r="AH44" s="134"/>
      <c r="AI44" s="134"/>
      <c r="AJ44" s="134"/>
      <c r="AK44" s="134"/>
      <c r="AL44" s="134"/>
      <c r="AM44" s="134"/>
      <c r="AN44" s="134"/>
      <c r="AO44" s="134"/>
    </row>
    <row r="45" spans="1:41" ht="15.75" customHeight="1">
      <c r="A45" s="122" t="s">
        <v>538</v>
      </c>
      <c r="B45" s="318">
        <f>(GETPIVOTDATA(" %UG OnC Trad",'FTE Pivot Table'!$A$3,"State","GA","Type",1,"Type2","Four-Year"))*100</f>
        <v>98.6544174779469</v>
      </c>
      <c r="C45" s="319">
        <f>(GETPIVOTDATA(" %UG OffC Trad",'FTE Pivot Table'!$A$3,"State","GA","Type",1,"Type2","Four-Year"))*100</f>
        <v>1.1765898210910999</v>
      </c>
      <c r="D45" s="340">
        <f t="shared" si="4"/>
        <v>0.1689927009620104</v>
      </c>
      <c r="E45" s="318">
        <f>(GETPIVOTDATA(" %UG EL Web",'FTE Pivot Table'!$A$3,"State","GA","Type",1,"Type2","Four-Year"))*100</f>
        <v>0.16644906670482118</v>
      </c>
      <c r="F45" s="322">
        <f>(GETPIVOTDATA(" % UG EL CV",'FTE Pivot Table'!$A$3,"State","GA","Type",1,"Type2","Four-Year"))*100</f>
        <v>0.0025436342571892446</v>
      </c>
      <c r="G45" s="319">
        <f>(GETPIVOTDATA(" %UG EL O",'FTE Pivot Table'!$A$3,"State","GA","Type",1,"Type2","Four-Year"))*100</f>
        <v>0</v>
      </c>
      <c r="H45" s="318">
        <f>(GETPIVOTDATA(" %UG Cor",'FTE Pivot Table'!$A$3,"State","GA","Type",1,"Type2","Four-Year"))*100</f>
        <v>0</v>
      </c>
      <c r="I45" s="122" t="s">
        <v>538</v>
      </c>
      <c r="J45" s="331">
        <f>(GETPIVOTDATA(" %G OnC Trad",'FTE Pivot Table'!$A$3,"State","GA","Type",1,"Type2","Four-Year"))*100</f>
        <v>93.04844197832021</v>
      </c>
      <c r="K45" s="332">
        <f>(GETPIVOTDATA(" %G OffC Trad",'FTE Pivot Table'!$A$3,"State","GA","Type",1,"Type2","Four-Year"))*100</f>
        <v>4.02612698621802</v>
      </c>
      <c r="L45" s="333">
        <f t="shared" si="5"/>
        <v>2.9254310354617656</v>
      </c>
      <c r="M45" s="331">
        <f>(GETPIVOTDATA(" %G EL Web",'FTE Pivot Table'!$A$3,"State","GA","Type",1,"Type2","Four-Year"))*100</f>
        <v>2.7183694709366044</v>
      </c>
      <c r="N45" s="331">
        <f>(GETPIVOTDATA(" % G EL CV",'FTE Pivot Table'!$A$3,"State","GA","Type",1,"Type2","Four-Year"))*100</f>
        <v>0.1291358748141637</v>
      </c>
      <c r="O45" s="332">
        <f>(GETPIVOTDATA(" %G EL O",'FTE Pivot Table'!$A$3,"State","GA","Type",1,"Type2","Four-Year"))*100</f>
        <v>0.07792568971099759</v>
      </c>
      <c r="P45" s="331">
        <f>(GETPIVOTDATA(" %G Cor",'FTE Pivot Table'!$A$3,"State","GA","Type",1,"Type2","Four-Year"))*100</f>
        <v>0</v>
      </c>
      <c r="Q45" s="121">
        <f t="shared" si="6"/>
        <v>100</v>
      </c>
      <c r="R45" s="121">
        <f t="shared" si="7"/>
        <v>100</v>
      </c>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row>
    <row r="46" spans="1:41" ht="15.75" customHeight="1">
      <c r="A46" s="122" t="s">
        <v>539</v>
      </c>
      <c r="B46" s="318">
        <f>(GETPIVOTDATA(" %UG OnC Trad",'FTE Pivot Table'!$A$3,"State","KY","Type",1,"Type2","Four-Year"))*100</f>
        <v>98.36407128623408</v>
      </c>
      <c r="C46" s="319">
        <f>(GETPIVOTDATA(" %UG OffC Trad",'FTE Pivot Table'!$A$3,"State","KY","Type",1,"Type2","Four-Year"))*100</f>
        <v>0.5401327944106945</v>
      </c>
      <c r="D46" s="340">
        <f t="shared" si="4"/>
        <v>1.0957959193552291</v>
      </c>
      <c r="E46" s="318">
        <f>(GETPIVOTDATA(" %UG EL Web",'FTE Pivot Table'!$A$3,"State","KY","Type",1,"Type2","Four-Year"))*100</f>
        <v>0.72669845342111</v>
      </c>
      <c r="F46" s="318">
        <f>(GETPIVOTDATA(" % UG EL CV",'FTE Pivot Table'!$A$3,"State","KY","Type",1,"Type2","Four-Year"))*100</f>
        <v>0.16579132076385023</v>
      </c>
      <c r="G46" s="319">
        <f>(GETPIVOTDATA(" %UG EL O",'FTE Pivot Table'!$A$3,"State","KY","Type",1,"Type2","Four-Year"))*100</f>
        <v>0.20330614517026888</v>
      </c>
      <c r="H46" s="318">
        <f>(GETPIVOTDATA(" %UG Cor",'FTE Pivot Table'!$A$3,"State","KY","Type",1,"Type2","Four-Year"))*100</f>
        <v>0</v>
      </c>
      <c r="I46" s="122" t="s">
        <v>539</v>
      </c>
      <c r="J46" s="331">
        <f>(GETPIVOTDATA(" %G OnC Trad",'FTE Pivot Table'!$A$3,"State","KY","Type",1,"Type2","Four-Year"))*100</f>
        <v>92.43649498951292</v>
      </c>
      <c r="K46" s="332">
        <f>(GETPIVOTDATA(" %G OffC Trad",'FTE Pivot Table'!$A$3,"State","KY","Type",1,"Type2","Four-Year"))*100</f>
        <v>4.821719878816126</v>
      </c>
      <c r="L46" s="333">
        <f t="shared" si="5"/>
        <v>2.7417851316709387</v>
      </c>
      <c r="M46" s="331">
        <f>(GETPIVOTDATA(" %G EL Web",'FTE Pivot Table'!$A$3,"State","KY","Type",1,"Type2","Four-Year"))*100</f>
        <v>1.625495222558844</v>
      </c>
      <c r="N46" s="331">
        <f>(GETPIVOTDATA(" % G EL CV",'FTE Pivot Table'!$A$3,"State","KY","Type",1,"Type2","Four-Year"))*100</f>
        <v>1.1127942204614307</v>
      </c>
      <c r="O46" s="346">
        <f>(GETPIVOTDATA(" %G EL O",'FTE Pivot Table'!$A$3,"State","KY","Type",1,"Type2","Four-Year"))*100</f>
        <v>0.003495688650664181</v>
      </c>
      <c r="P46" s="331">
        <f>(GETPIVOTDATA(" %G Cor",'FTE Pivot Table'!$A$3,"State","KY","Type",1,"Type2","Four-Year"))*100</f>
        <v>0</v>
      </c>
      <c r="Q46" s="121">
        <f t="shared" si="6"/>
        <v>100</v>
      </c>
      <c r="R46" s="121">
        <f t="shared" si="7"/>
        <v>99.99999999999999</v>
      </c>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row>
    <row r="47" spans="1:41" ht="15.75" customHeight="1">
      <c r="A47" s="122" t="s">
        <v>540</v>
      </c>
      <c r="B47" s="318">
        <f>(GETPIVOTDATA(" %UG OnC Trad",'FTE Pivot Table'!$A$3,"State","LA","Type",1,"Type2","Four-Year"))*100</f>
        <v>0</v>
      </c>
      <c r="C47" s="319">
        <f>(GETPIVOTDATA(" %UG OffC Trad",'FTE Pivot Table'!$A$3,"State","LA","Type",1,"Type2","Four-Year"))*100</f>
        <v>0</v>
      </c>
      <c r="D47" s="340">
        <f t="shared" si="4"/>
        <v>0</v>
      </c>
      <c r="E47" s="318">
        <f>(GETPIVOTDATA(" %UG EL Web",'FTE Pivot Table'!$A$3,"State","LA","Type",1,"Type2","Four-Year"))*100</f>
        <v>0</v>
      </c>
      <c r="F47" s="318">
        <f>(GETPIVOTDATA(" % UG EL CV",'FTE Pivot Table'!$A$3,"State","LA","Type",1,"Type2","Four-Year"))*100</f>
        <v>0</v>
      </c>
      <c r="G47" s="319">
        <f>(GETPIVOTDATA(" %UG EL O",'FTE Pivot Table'!$A$3,"State","LA","Type",1,"Type2","Four-Year"))*100</f>
        <v>0</v>
      </c>
      <c r="H47" s="318">
        <f>(GETPIVOTDATA(" %UG Cor",'FTE Pivot Table'!$A$3,"State","LA","Type",1,"Type2","Four-Year"))*100</f>
        <v>0</v>
      </c>
      <c r="I47" s="122" t="s">
        <v>540</v>
      </c>
      <c r="J47" s="331">
        <f>(GETPIVOTDATA(" %G OnC Trad",'FTE Pivot Table'!$A$3,"State","LA","Type",1,"Type2","Four-Year"))*100</f>
        <v>0</v>
      </c>
      <c r="K47" s="332">
        <f>(GETPIVOTDATA(" %G OffC Trad",'FTE Pivot Table'!$A$3,"State","LA","Type",1,"Type2","Four-Year"))*100</f>
        <v>0</v>
      </c>
      <c r="L47" s="333">
        <f t="shared" si="5"/>
        <v>0</v>
      </c>
      <c r="M47" s="331">
        <f>(GETPIVOTDATA(" %G EL Web",'FTE Pivot Table'!$A$3,"State","LA","Type",1,"Type2","Four-Year"))*100</f>
        <v>0</v>
      </c>
      <c r="N47" s="331">
        <f>(GETPIVOTDATA(" % G EL CV",'FTE Pivot Table'!$A$3,"State","LA","Type",1,"Type2","Four-Year"))*100</f>
        <v>0</v>
      </c>
      <c r="O47" s="332">
        <f>(GETPIVOTDATA(" %G EL O",'FTE Pivot Table'!$A$3,"State","LA","Type",1,"Type2","Four-Year"))*100</f>
        <v>0</v>
      </c>
      <c r="P47" s="331">
        <f>(GETPIVOTDATA(" %G Cor",'FTE Pivot Table'!$A$3,"State","LA","Type",1,"Type2","Four-Year"))*100</f>
        <v>0</v>
      </c>
      <c r="Q47" s="121">
        <f t="shared" si="6"/>
        <v>0</v>
      </c>
      <c r="R47" s="121">
        <f t="shared" si="7"/>
        <v>0</v>
      </c>
      <c r="S47" s="134"/>
      <c r="T47" s="274"/>
      <c r="U47" s="134"/>
      <c r="V47" s="134"/>
      <c r="W47" s="134"/>
      <c r="X47" s="134"/>
      <c r="Y47" s="134"/>
      <c r="Z47" s="134"/>
      <c r="AA47" s="134"/>
      <c r="AB47" s="134"/>
      <c r="AC47" s="134"/>
      <c r="AD47" s="134"/>
      <c r="AE47" s="134"/>
      <c r="AF47" s="134"/>
      <c r="AG47" s="134"/>
      <c r="AH47" s="134"/>
      <c r="AI47" s="134"/>
      <c r="AJ47" s="134"/>
      <c r="AK47" s="134"/>
      <c r="AL47" s="134"/>
      <c r="AM47" s="134"/>
      <c r="AN47" s="134"/>
      <c r="AO47" s="134"/>
    </row>
    <row r="48" spans="1:41" ht="15.75" customHeight="1">
      <c r="A48" s="122" t="s">
        <v>541</v>
      </c>
      <c r="B48" s="318">
        <f>(GETPIVOTDATA(" %UG OnC Trad",'FTE Pivot Table'!$A$3,"State","MD","Type",1,"Type2","Four-Year"))*100</f>
        <v>0</v>
      </c>
      <c r="C48" s="319">
        <f>(GETPIVOTDATA(" %UG OffC Trad",'FTE Pivot Table'!$A$3,"State","MD","Type",1,"Type2","Four-Year"))*100</f>
        <v>0</v>
      </c>
      <c r="D48" s="340">
        <f t="shared" si="4"/>
        <v>0</v>
      </c>
      <c r="E48" s="318">
        <f>(GETPIVOTDATA(" %UG EL Web",'FTE Pivot Table'!$A$3,"State","MD","Type",1,"Type2","Four-Year"))*100</f>
        <v>0</v>
      </c>
      <c r="F48" s="318">
        <f>(GETPIVOTDATA(" % UG EL CV",'FTE Pivot Table'!$A$3,"State","MD","Type",1,"Type2","Four-Year"))*100</f>
        <v>0</v>
      </c>
      <c r="G48" s="319">
        <f>(GETPIVOTDATA(" %UG EL O",'FTE Pivot Table'!$A$3,"State","MD","Type",1,"Type2","Four-Year"))*100</f>
        <v>0</v>
      </c>
      <c r="H48" s="318">
        <f>(GETPIVOTDATA(" %UG Cor",'FTE Pivot Table'!$A$3,"State","MD","Type",1,"Type2","Four-Year"))*100</f>
        <v>0</v>
      </c>
      <c r="I48" s="122" t="s">
        <v>541</v>
      </c>
      <c r="J48" s="331">
        <f>(GETPIVOTDATA(" %G OnC Trad",'FTE Pivot Table'!$A$3,"State","MD","Type",1,"Type2","Four-Year"))*100</f>
        <v>0</v>
      </c>
      <c r="K48" s="332">
        <f>(GETPIVOTDATA(" %G OffC Trad",'FTE Pivot Table'!$A$3,"State","MD","Type",1,"Type2","Four-Year"))*100</f>
        <v>0</v>
      </c>
      <c r="L48" s="333">
        <f t="shared" si="5"/>
        <v>0</v>
      </c>
      <c r="M48" s="331">
        <f>(GETPIVOTDATA(" %G EL Web",'FTE Pivot Table'!$A$3,"State","MD","Type",1,"Type2","Four-Year"))*100</f>
        <v>0</v>
      </c>
      <c r="N48" s="331">
        <f>(GETPIVOTDATA(" % G EL CV",'FTE Pivot Table'!$A$3,"State","MD","Type",1,"Type2","Four-Year"))*100</f>
        <v>0</v>
      </c>
      <c r="O48" s="332">
        <f>(GETPIVOTDATA(" %G EL O",'FTE Pivot Table'!$A$3,"State","MD","Type",1,"Type2","Four-Year"))*100</f>
        <v>0</v>
      </c>
      <c r="P48" s="331">
        <f>(GETPIVOTDATA(" %G Cor",'FTE Pivot Table'!$A$3,"State","MD","Type",1,"Type2","Four-Year"))*100</f>
        <v>0</v>
      </c>
      <c r="Q48" s="121">
        <f t="shared" si="6"/>
        <v>0</v>
      </c>
      <c r="R48" s="121">
        <f t="shared" si="7"/>
        <v>0</v>
      </c>
      <c r="S48" s="134"/>
      <c r="U48" s="134"/>
      <c r="V48" s="134"/>
      <c r="W48" s="134"/>
      <c r="X48" s="134"/>
      <c r="Y48" s="134"/>
      <c r="Z48" s="134"/>
      <c r="AA48" s="134"/>
      <c r="AB48" s="134"/>
      <c r="AC48" s="134"/>
      <c r="AD48" s="134"/>
      <c r="AE48" s="134"/>
      <c r="AF48" s="134"/>
      <c r="AG48" s="134"/>
      <c r="AH48" s="134"/>
      <c r="AI48" s="134"/>
      <c r="AJ48" s="134"/>
      <c r="AK48" s="134"/>
      <c r="AL48" s="134"/>
      <c r="AM48" s="134"/>
      <c r="AN48" s="134"/>
      <c r="AO48" s="134"/>
    </row>
    <row r="49" spans="1:41" ht="15.75" customHeight="1">
      <c r="A49" s="122"/>
      <c r="B49" s="318"/>
      <c r="C49" s="319"/>
      <c r="D49" s="340"/>
      <c r="E49" s="318"/>
      <c r="F49" s="318"/>
      <c r="G49" s="319"/>
      <c r="H49" s="318"/>
      <c r="I49" s="122"/>
      <c r="J49" s="331"/>
      <c r="K49" s="332"/>
      <c r="L49" s="333">
        <f t="shared" si="5"/>
        <v>0</v>
      </c>
      <c r="M49" s="331"/>
      <c r="N49" s="331"/>
      <c r="O49" s="332"/>
      <c r="P49" s="331"/>
      <c r="Q49" s="121"/>
      <c r="R49" s="121"/>
      <c r="S49" s="134"/>
      <c r="U49" s="134"/>
      <c r="V49" s="134"/>
      <c r="W49" s="134"/>
      <c r="X49" s="134"/>
      <c r="Y49" s="134"/>
      <c r="Z49" s="134"/>
      <c r="AA49" s="134"/>
      <c r="AB49" s="134"/>
      <c r="AC49" s="134"/>
      <c r="AD49" s="134"/>
      <c r="AE49" s="134"/>
      <c r="AF49" s="134"/>
      <c r="AG49" s="134"/>
      <c r="AH49" s="134"/>
      <c r="AI49" s="134"/>
      <c r="AJ49" s="134"/>
      <c r="AK49" s="134"/>
      <c r="AL49" s="134"/>
      <c r="AM49" s="134"/>
      <c r="AN49" s="134"/>
      <c r="AO49" s="134"/>
    </row>
    <row r="50" spans="1:41" ht="15.75" customHeight="1">
      <c r="A50" s="122" t="s">
        <v>168</v>
      </c>
      <c r="B50" s="318">
        <f>(GETPIVOTDATA(" %UG OnC Trad",'FTE Pivot Table'!$A$3,"State","MS","Type",1,"Type2","Four-Year"))*100</f>
        <v>82.62922553051101</v>
      </c>
      <c r="C50" s="319">
        <f>(GETPIVOTDATA(" %UG OffC Trad",'FTE Pivot Table'!$A$3,"State","MS","Type",1,"Type2","Four-Year"))*100</f>
        <v>10.82377961847981</v>
      </c>
      <c r="D50" s="340">
        <f t="shared" si="4"/>
        <v>6.203826984482332</v>
      </c>
      <c r="E50" s="318">
        <f>(GETPIVOTDATA(" %UG EL Web",'FTE Pivot Table'!$A$3,"State","MS","Type",1,"Type2","Four-Year"))*100</f>
        <v>5.452097889738544</v>
      </c>
      <c r="F50" s="318">
        <f>(GETPIVOTDATA(" % UG EL CV",'FTE Pivot Table'!$A$3,"State","MS","Type",1,"Type2","Four-Year"))*100</f>
        <v>0.7075443908991292</v>
      </c>
      <c r="G50" s="343">
        <f>(GETPIVOTDATA(" %UG EL O",'FTE Pivot Table'!$A$3,"State","MS","Type",1,"Type2","Four-Year"))*100</f>
        <v>0.04418470384465836</v>
      </c>
      <c r="H50" s="318">
        <f>(GETPIVOTDATA(" %UG Cor",'FTE Pivot Table'!$A$3,"State","MS","Type",1,"Type2","Four-Year"))*100</f>
        <v>0.3431678665268466</v>
      </c>
      <c r="I50" s="122" t="s">
        <v>168</v>
      </c>
      <c r="J50" s="331">
        <f>(GETPIVOTDATA(" %G OnC Trad",'FTE Pivot Table'!$A$3,"State","MS","Type",1,"Type2","Four-Year"))*100</f>
        <v>74.36436298491009</v>
      </c>
      <c r="K50" s="332">
        <f>(GETPIVOTDATA(" %G OffC Trad",'FTE Pivot Table'!$A$3,"State","MS","Type",1,"Type2","Four-Year"))*100</f>
        <v>15.115758285674913</v>
      </c>
      <c r="L50" s="333">
        <f t="shared" si="5"/>
        <v>10.51298835526769</v>
      </c>
      <c r="M50" s="331">
        <f>(GETPIVOTDATA(" %G EL Web",'FTE Pivot Table'!$A$3,"State","MS","Type",1,"Type2","Four-Year"))*100</f>
        <v>8.202990422379935</v>
      </c>
      <c r="N50" s="331">
        <f>(GETPIVOTDATA(" % G EL CV",'FTE Pivot Table'!$A$3,"State","MS","Type",1,"Type2","Four-Year"))*100</f>
        <v>2.1239578309102183</v>
      </c>
      <c r="O50" s="332">
        <f>(GETPIVOTDATA(" %G EL O",'FTE Pivot Table'!$A$3,"State","MS","Type",1,"Type2","Four-Year"))*100</f>
        <v>0.1860401019775374</v>
      </c>
      <c r="P50" s="335">
        <f>(GETPIVOTDATA(" %G Cor",'FTE Pivot Table'!$A$3,"State","MS","Type",1,"Type2","Four-Year"))*100</f>
        <v>0.006890374147316199</v>
      </c>
      <c r="Q50" s="121">
        <f t="shared" si="6"/>
        <v>99.99999999999999</v>
      </c>
      <c r="R50" s="121">
        <f t="shared" si="7"/>
        <v>100.00000000000001</v>
      </c>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row>
    <row r="51" spans="1:41" ht="15.75" customHeight="1">
      <c r="A51" s="122" t="s">
        <v>176</v>
      </c>
      <c r="B51" s="318">
        <f>(GETPIVOTDATA(" %UG OnC Trad",'FTE Pivot Table'!$A$3,"State","NC","Type",1,"Type2","Four-Year"))*100</f>
        <v>97.66835797552149</v>
      </c>
      <c r="C51" s="319">
        <f>(GETPIVOTDATA(" %UG OffC Trad",'FTE Pivot Table'!$A$3,"State","NC","Type",1,"Type2","Four-Year"))*100</f>
        <v>1.7505046647389382</v>
      </c>
      <c r="D51" s="340">
        <f t="shared" si="4"/>
        <v>0.5811373597395748</v>
      </c>
      <c r="E51" s="318">
        <f>(GETPIVOTDATA(" %UG EL Web",'FTE Pivot Table'!$A$3,"State","NC","Type",1,"Type2","Four-Year"))*100</f>
        <v>0.5811373597395748</v>
      </c>
      <c r="F51" s="318">
        <f>(GETPIVOTDATA(" % UG EL CV",'FTE Pivot Table'!$A$3,"State","NC","Type",1,"Type2","Four-Year"))*100</f>
        <v>0</v>
      </c>
      <c r="G51" s="319">
        <f>(GETPIVOTDATA(" %UG EL O",'FTE Pivot Table'!$A$3,"State","NC","Type",1,"Type2","Four-Year"))*100</f>
        <v>0</v>
      </c>
      <c r="H51" s="318">
        <f>(GETPIVOTDATA(" %UG Cor",'FTE Pivot Table'!$A$3,"State","NC","Type",1,"Type2","Four-Year"))*100</f>
        <v>0</v>
      </c>
      <c r="I51" s="122" t="s">
        <v>176</v>
      </c>
      <c r="J51" s="331">
        <f>(GETPIVOTDATA(" %G OnC Trad",'FTE Pivot Table'!$A$3,"State","NC","Type",1,"Type2","Four-Year"))*100</f>
        <v>92.17804667242869</v>
      </c>
      <c r="K51" s="332">
        <f>(GETPIVOTDATA(" %G OffC Trad",'FTE Pivot Table'!$A$3,"State","NC","Type",1,"Type2","Four-Year"))*100</f>
        <v>6.4381371920335315</v>
      </c>
      <c r="L51" s="333">
        <f t="shared" si="5"/>
        <v>1.3838161355377738</v>
      </c>
      <c r="M51" s="331">
        <f>(GETPIVOTDATA(" %G EL Web",'FTE Pivot Table'!$A$3,"State","NC","Type",1,"Type2","Four-Year"))*100</f>
        <v>1.2904155165844184</v>
      </c>
      <c r="N51" s="331">
        <f>(GETPIVOTDATA(" % G EL CV",'FTE Pivot Table'!$A$3,"State","NC","Type",1,"Type2","Four-Year"))*100</f>
        <v>0</v>
      </c>
      <c r="O51" s="332">
        <f>(GETPIVOTDATA(" %G EL O",'FTE Pivot Table'!$A$3,"State","NC","Type",1,"Type2","Four-Year"))*100</f>
        <v>0.09340061895335545</v>
      </c>
      <c r="P51" s="331">
        <f>(GETPIVOTDATA(" %G Cor",'FTE Pivot Table'!$A$3,"State","NC","Type",1,"Type2","Four-Year"))*100</f>
        <v>0</v>
      </c>
      <c r="Q51" s="121">
        <f t="shared" si="6"/>
        <v>100</v>
      </c>
      <c r="R51" s="121">
        <f t="shared" si="7"/>
        <v>100</v>
      </c>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row>
    <row r="52" spans="1:41" ht="15.75" customHeight="1">
      <c r="A52" s="122" t="s">
        <v>169</v>
      </c>
      <c r="B52" s="318">
        <f>(GETPIVOTDATA(" %UG OnC Trad",'FTE Pivot Table'!$A$3,"State","OK","Type",1,"Type2","Four-Year"))*100</f>
        <v>97.68422165095157</v>
      </c>
      <c r="C52" s="319">
        <f>(GETPIVOTDATA(" %UG OffC Trad",'FTE Pivot Table'!$A$3,"State","OK","Type",1,"Type2","Four-Year"))*100</f>
        <v>0.49096725926983453</v>
      </c>
      <c r="D52" s="340">
        <f t="shared" si="4"/>
        <v>1.716531301480411</v>
      </c>
      <c r="E52" s="318">
        <f>(GETPIVOTDATA(" %UG EL Web",'FTE Pivot Table'!$A$3,"State","OK","Type",1,"Type2","Four-Year"))*100</f>
        <v>1.3485839729226365</v>
      </c>
      <c r="F52" s="318">
        <f>(GETPIVOTDATA(" % UG EL CV",'FTE Pivot Table'!$A$3,"State","OK","Type",1,"Type2","Four-Year"))*100</f>
        <v>0.21637416599996107</v>
      </c>
      <c r="G52" s="319">
        <f>(GETPIVOTDATA(" %UG EL O",'FTE Pivot Table'!$A$3,"State","OK","Type",1,"Type2","Four-Year"))*100</f>
        <v>0.15157316255781333</v>
      </c>
      <c r="H52" s="318">
        <f>(GETPIVOTDATA(" %UG Cor",'FTE Pivot Table'!$A$3,"State","OK","Type",1,"Type2","Four-Year"))*100</f>
        <v>0.10827978829818102</v>
      </c>
      <c r="I52" s="122" t="s">
        <v>169</v>
      </c>
      <c r="J52" s="331">
        <f>(GETPIVOTDATA(" %G OnC Trad",'FTE Pivot Table'!$A$3,"State","OK","Type",1,"Type2","Four-Year"))*100</f>
        <v>87.00278021181535</v>
      </c>
      <c r="K52" s="332">
        <f>(GETPIVOTDATA(" %G OffC Trad",'FTE Pivot Table'!$A$3,"State","OK","Type",1,"Type2","Four-Year"))*100</f>
        <v>8.933458821493092</v>
      </c>
      <c r="L52" s="333">
        <f t="shared" si="5"/>
        <v>4.03347072123238</v>
      </c>
      <c r="M52" s="331">
        <f>(GETPIVOTDATA(" %G EL Web",'FTE Pivot Table'!$A$3,"State","OK","Type",1,"Type2","Four-Year"))*100</f>
        <v>1.8606865067774425</v>
      </c>
      <c r="N52" s="331">
        <f>(GETPIVOTDATA(" % G EL CV",'FTE Pivot Table'!$A$3,"State","OK","Type",1,"Type2","Four-Year"))*100</f>
        <v>1.951016345914603</v>
      </c>
      <c r="O52" s="332">
        <f>(GETPIVOTDATA(" %G EL O",'FTE Pivot Table'!$A$3,"State","OK","Type",1,"Type2","Four-Year"))*100</f>
        <v>0.22176786854033473</v>
      </c>
      <c r="P52" s="335">
        <f>(GETPIVOTDATA(" %G Cor",'FTE Pivot Table'!$A$3,"State","OK","Type",1,"Type2","Four-Year"))*100</f>
        <v>0.030290245459167666</v>
      </c>
      <c r="Q52" s="121">
        <f t="shared" si="6"/>
        <v>100</v>
      </c>
      <c r="R52" s="121">
        <f t="shared" si="7"/>
        <v>99.99999999999999</v>
      </c>
      <c r="S52" s="134"/>
      <c r="T52" s="274"/>
      <c r="U52" s="134"/>
      <c r="V52" s="134"/>
      <c r="W52" s="134"/>
      <c r="X52" s="134"/>
      <c r="Y52" s="134"/>
      <c r="Z52" s="134"/>
      <c r="AA52" s="134"/>
      <c r="AB52" s="134"/>
      <c r="AC52" s="134"/>
      <c r="AD52" s="134"/>
      <c r="AE52" s="134"/>
      <c r="AF52" s="134"/>
      <c r="AG52" s="134"/>
      <c r="AH52" s="134"/>
      <c r="AI52" s="134"/>
      <c r="AJ52" s="134"/>
      <c r="AK52" s="134"/>
      <c r="AL52" s="134"/>
      <c r="AM52" s="134"/>
      <c r="AN52" s="134"/>
      <c r="AO52" s="134"/>
    </row>
    <row r="53" spans="1:41" ht="15.75" customHeight="1">
      <c r="A53" s="122" t="s">
        <v>542</v>
      </c>
      <c r="B53" s="318">
        <f>(GETPIVOTDATA(" %UG OnC Trad",'FTE Pivot Table'!$A$3,"State","SC","Type",1,"Type2","Four-Year"))*100</f>
        <v>0</v>
      </c>
      <c r="C53" s="319">
        <f>(GETPIVOTDATA(" %UG OffC Trad",'FTE Pivot Table'!$A$3,"State","SC","Type",1,"Type2","Four-Year"))*100</f>
        <v>0</v>
      </c>
      <c r="D53" s="340">
        <f t="shared" si="4"/>
        <v>0</v>
      </c>
      <c r="E53" s="318">
        <f>(GETPIVOTDATA(" %UG EL Web",'FTE Pivot Table'!$A$3,"State","SC","Type",1,"Type2","Four-Year"))*100</f>
        <v>0</v>
      </c>
      <c r="F53" s="318">
        <f>(GETPIVOTDATA(" % UG EL CV",'FTE Pivot Table'!$A$3,"State","SC","Type",1,"Type2","Four-Year"))*100</f>
        <v>0</v>
      </c>
      <c r="G53" s="319">
        <f>(GETPIVOTDATA(" %UG EL O",'FTE Pivot Table'!$A$3,"State","SC","Type",1,"Type2","Four-Year"))*100</f>
        <v>0</v>
      </c>
      <c r="H53" s="318">
        <f>(GETPIVOTDATA(" %UG Cor",'FTE Pivot Table'!$A$3,"State","SC","Type",1,"Type2","Four-Year"))*100</f>
        <v>0</v>
      </c>
      <c r="I53" s="122" t="s">
        <v>542</v>
      </c>
      <c r="J53" s="331">
        <f>(GETPIVOTDATA(" %G OnC Trad",'FTE Pivot Table'!$A$3,"State","SC","Type",1,"Type2","Four-Year"))*100</f>
        <v>0</v>
      </c>
      <c r="K53" s="332">
        <f>(GETPIVOTDATA(" %G OffC Trad",'FTE Pivot Table'!$A$3,"State","SC","Type",1,"Type2","Four-Year"))*100</f>
        <v>0</v>
      </c>
      <c r="L53" s="333">
        <f t="shared" si="5"/>
        <v>0</v>
      </c>
      <c r="M53" s="331">
        <f>(GETPIVOTDATA(" %G EL Web",'FTE Pivot Table'!$A$3,"State","SC","Type",1,"Type2","Four-Year"))*100</f>
        <v>0</v>
      </c>
      <c r="N53" s="331">
        <f>(GETPIVOTDATA(" % G EL CV",'FTE Pivot Table'!$A$3,"State","SC","Type",1,"Type2","Four-Year"))*100</f>
        <v>0</v>
      </c>
      <c r="O53" s="332">
        <f>(GETPIVOTDATA(" %G EL O",'FTE Pivot Table'!$A$3,"State","SC","Type",1,"Type2","Four-Year"))*100</f>
        <v>0</v>
      </c>
      <c r="P53" s="331">
        <f>(GETPIVOTDATA(" %G Cor",'FTE Pivot Table'!$A$3,"State","SC","Type",1,"Type2","Four-Year"))*100</f>
        <v>0</v>
      </c>
      <c r="Q53" s="121">
        <f t="shared" si="6"/>
        <v>0</v>
      </c>
      <c r="R53" s="121">
        <f t="shared" si="7"/>
        <v>0</v>
      </c>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row>
    <row r="54" spans="1:41" ht="15.75" customHeight="1">
      <c r="A54" s="122"/>
      <c r="B54" s="318"/>
      <c r="C54" s="319"/>
      <c r="D54" s="340"/>
      <c r="E54" s="318"/>
      <c r="F54" s="318"/>
      <c r="G54" s="319"/>
      <c r="H54" s="318"/>
      <c r="I54" s="122"/>
      <c r="J54" s="331"/>
      <c r="K54" s="332"/>
      <c r="L54" s="333">
        <f t="shared" si="5"/>
        <v>0</v>
      </c>
      <c r="M54" s="331"/>
      <c r="N54" s="331"/>
      <c r="O54" s="332"/>
      <c r="P54" s="331"/>
      <c r="Q54" s="121"/>
      <c r="R54" s="121"/>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row>
    <row r="55" spans="1:41" ht="15.75" customHeight="1">
      <c r="A55" s="122" t="s">
        <v>543</v>
      </c>
      <c r="B55" s="318">
        <f>(GETPIVOTDATA(" %UG OnC Trad",'FTE Pivot Table'!$A$3,"State","TN","Type",1,"Type2","Four-Year"))*100</f>
        <v>0</v>
      </c>
      <c r="C55" s="319">
        <f>(GETPIVOTDATA(" %UG OffC Trad",'FTE Pivot Table'!$A$3,"State","TN","Type",1,"Type2","Four-Year"))*100</f>
        <v>0</v>
      </c>
      <c r="D55" s="340">
        <f t="shared" si="4"/>
        <v>0</v>
      </c>
      <c r="E55" s="318">
        <f>(GETPIVOTDATA(" %UG EL Web",'FTE Pivot Table'!$A$3,"State","TN","Type",1,"Type2","Four-Year"))*100</f>
        <v>0</v>
      </c>
      <c r="F55" s="318">
        <f>(GETPIVOTDATA(" % UG EL CV",'FTE Pivot Table'!$A$3,"State","TN","Type",1,"Type2","Four-Year"))*100</f>
        <v>0</v>
      </c>
      <c r="G55" s="319">
        <f>(GETPIVOTDATA(" %UG EL O",'FTE Pivot Table'!$A$3,"State","TN","Type",1,"Type2","Four-Year"))*100</f>
        <v>0</v>
      </c>
      <c r="H55" s="318">
        <f>(GETPIVOTDATA(" %UG Cor",'FTE Pivot Table'!$A$3,"State","TN","Type",1,"Type2","Four-Year"))*100</f>
        <v>0</v>
      </c>
      <c r="I55" s="122" t="s">
        <v>543</v>
      </c>
      <c r="J55" s="331">
        <f>(GETPIVOTDATA(" %G OnC Trad",'FTE Pivot Table'!$A$3,"State","TN","Type",1,"Type2","Four-Year"))*100</f>
        <v>0</v>
      </c>
      <c r="K55" s="332">
        <f>(GETPIVOTDATA(" %G OffC Trad",'FTE Pivot Table'!$A$3,"State","TN","Type",1,"Type2","Four-Year"))*100</f>
        <v>0</v>
      </c>
      <c r="L55" s="333">
        <f t="shared" si="5"/>
        <v>0</v>
      </c>
      <c r="M55" s="331">
        <f>(GETPIVOTDATA(" %G EL Web",'FTE Pivot Table'!$A$3,"State","TN","Type",1,"Type2","Four-Year"))*100</f>
        <v>0</v>
      </c>
      <c r="N55" s="331">
        <f>(GETPIVOTDATA(" % G EL CV",'FTE Pivot Table'!$A$3,"State","TN","Type",1,"Type2","Four-Year"))*100</f>
        <v>0</v>
      </c>
      <c r="O55" s="332">
        <f>(GETPIVOTDATA(" %G EL O",'FTE Pivot Table'!$A$3,"State","TN","Type",1,"Type2","Four-Year"))*100</f>
        <v>0</v>
      </c>
      <c r="P55" s="331">
        <f>(GETPIVOTDATA(" %G Cor",'FTE Pivot Table'!$A$3,"State","TN","Type",1,"Type2","Four-Year"))*100</f>
        <v>0</v>
      </c>
      <c r="Q55" s="121">
        <f t="shared" si="6"/>
        <v>0</v>
      </c>
      <c r="R55" s="121">
        <f t="shared" si="7"/>
        <v>0</v>
      </c>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row>
    <row r="56" spans="1:41" ht="15.75" customHeight="1">
      <c r="A56" s="122" t="s">
        <v>277</v>
      </c>
      <c r="B56" s="318">
        <f>(GETPIVOTDATA(" %UG OnC Trad",'FTE Pivot Table'!$A$3,"State","TX","Type",1,"Type2","Four-Year"))*100</f>
        <v>97.54009561570327</v>
      </c>
      <c r="C56" s="319">
        <f>(GETPIVOTDATA(" %UG OffC Trad",'FTE Pivot Table'!$A$3,"State","TX","Type",1,"Type2","Four-Year"))*100</f>
        <v>0.5401954464839229</v>
      </c>
      <c r="D56" s="340">
        <f t="shared" si="4"/>
        <v>1.9197089378128185</v>
      </c>
      <c r="E56" s="318">
        <f>(GETPIVOTDATA(" %UG EL Web",'FTE Pivot Table'!$A$3,"State","TX","Type",1,"Type2","Four-Year"))*100</f>
        <v>1.3812636111874563</v>
      </c>
      <c r="F56" s="318">
        <f>(GETPIVOTDATA(" % UG EL CV",'FTE Pivot Table'!$A$3,"State","TX","Type",1,"Type2","Four-Year"))*100</f>
        <v>0.08215703505046384</v>
      </c>
      <c r="G56" s="319">
        <f>(GETPIVOTDATA(" %UG EL O",'FTE Pivot Table'!$A$3,"State","TX","Type",1,"Type2","Four-Year"))*100</f>
        <v>0.45628829157489836</v>
      </c>
      <c r="H56" s="318">
        <f>(GETPIVOTDATA(" %UG Cor",'FTE Pivot Table'!$A$3,"State","TX","Type",1,"Type2","Four-Year"))*100</f>
        <v>0</v>
      </c>
      <c r="I56" s="122" t="s">
        <v>277</v>
      </c>
      <c r="J56" s="331">
        <f>(GETPIVOTDATA(" %G OnC Trad",'FTE Pivot Table'!$A$3,"State","TX","Type",1,"Type2","Four-Year"))*100</f>
        <v>92.91588365036863</v>
      </c>
      <c r="K56" s="332">
        <f>(GETPIVOTDATA(" %G OffC Trad",'FTE Pivot Table'!$A$3,"State","TX","Type",1,"Type2","Four-Year"))*100</f>
        <v>1.8545089813067805</v>
      </c>
      <c r="L56" s="333">
        <f t="shared" si="5"/>
        <v>5.22960736832459</v>
      </c>
      <c r="M56" s="331">
        <f>(GETPIVOTDATA(" %G EL Web",'FTE Pivot Table'!$A$3,"State","TX","Type",1,"Type2","Four-Year"))*100</f>
        <v>4.45820293522839</v>
      </c>
      <c r="N56" s="331">
        <f>(GETPIVOTDATA(" % G EL CV",'FTE Pivot Table'!$A$3,"State","TX","Type",1,"Type2","Four-Year"))*100</f>
        <v>0.5121773941468668</v>
      </c>
      <c r="O56" s="332">
        <f>(GETPIVOTDATA(" %G EL O",'FTE Pivot Table'!$A$3,"State","TX","Type",1,"Type2","Four-Year"))*100</f>
        <v>0.25922703894933335</v>
      </c>
      <c r="P56" s="331">
        <f>(GETPIVOTDATA(" %G Cor",'FTE Pivot Table'!$A$3,"State","TX","Type",1,"Type2","Four-Year"))*100</f>
        <v>0</v>
      </c>
      <c r="Q56" s="121">
        <f t="shared" si="6"/>
        <v>100</v>
      </c>
      <c r="R56" s="121">
        <f t="shared" si="7"/>
        <v>100</v>
      </c>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row>
    <row r="57" spans="1:41" ht="15.75" customHeight="1">
      <c r="A57" s="122" t="s">
        <v>544</v>
      </c>
      <c r="B57" s="318">
        <f>(GETPIVOTDATA(" %UG OnC Trad",'FTE Pivot Table'!$A$3,"State","VA","Type",1,"Type2","Four-Year"))*100</f>
        <v>0</v>
      </c>
      <c r="C57" s="319">
        <f>(GETPIVOTDATA(" %UG OffC Trad",'FTE Pivot Table'!$A$3,"State","VA","Type",1,"Type2","Four-Year"))*100</f>
        <v>0</v>
      </c>
      <c r="D57" s="340">
        <f t="shared" si="4"/>
        <v>0</v>
      </c>
      <c r="E57" s="318">
        <f>(GETPIVOTDATA(" %UG EL Web",'FTE Pivot Table'!$A$3,"State","VA","Type",1,"Type2","Four-Year"))*100</f>
        <v>0</v>
      </c>
      <c r="F57" s="318">
        <f>(GETPIVOTDATA(" % UG EL CV",'FTE Pivot Table'!$A$3,"State","VA","Type",1,"Type2","Four-Year"))*100</f>
        <v>0</v>
      </c>
      <c r="G57" s="319">
        <f>(GETPIVOTDATA(" %UG EL O",'FTE Pivot Table'!$A$3,"State","VA","Type",1,"Type2","Four-Year"))*100</f>
        <v>0</v>
      </c>
      <c r="H57" s="318">
        <f>(GETPIVOTDATA(" %UG Cor",'FTE Pivot Table'!$A$3,"State","VA","Type",1,"Type2","Four-Year"))*100</f>
        <v>0</v>
      </c>
      <c r="I57" s="122" t="s">
        <v>544</v>
      </c>
      <c r="J57" s="331">
        <f>(GETPIVOTDATA(" %G OnC Trad",'FTE Pivot Table'!$A$3,"State","VA","Type",1,"Type2","Four-Year"))*100</f>
        <v>0</v>
      </c>
      <c r="K57" s="332">
        <f>(GETPIVOTDATA(" %G OffC Trad",'FTE Pivot Table'!$A$3,"State","VA","Type",1,"Type2","Four-Year"))*100</f>
        <v>0</v>
      </c>
      <c r="L57" s="333">
        <f t="shared" si="5"/>
        <v>0</v>
      </c>
      <c r="M57" s="331">
        <f>(GETPIVOTDATA(" %G EL Web",'FTE Pivot Table'!$A$3,"State","VA","Type",1,"Type2","Four-Year"))*100</f>
        <v>0</v>
      </c>
      <c r="N57" s="331">
        <f>(GETPIVOTDATA(" % G EL CV",'FTE Pivot Table'!$A$3,"State","VA","Type",1,"Type2","Four-Year"))*100</f>
        <v>0</v>
      </c>
      <c r="O57" s="332">
        <f>(GETPIVOTDATA(" %G EL O",'FTE Pivot Table'!$A$3,"State","VA","Type",1,"Type2","Four-Year"))*100</f>
        <v>0</v>
      </c>
      <c r="P57" s="331">
        <f>(GETPIVOTDATA(" %G Cor",'FTE Pivot Table'!$A$3,"State","VA","Type",1,"Type2","Four-Year"))*100</f>
        <v>0</v>
      </c>
      <c r="Q57" s="121">
        <f t="shared" si="6"/>
        <v>0</v>
      </c>
      <c r="R57" s="121">
        <f t="shared" si="7"/>
        <v>0</v>
      </c>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row>
    <row r="58" spans="1:41" ht="15.75" customHeight="1">
      <c r="A58" s="116" t="s">
        <v>637</v>
      </c>
      <c r="B58" s="317">
        <f>(GETPIVOTDATA(" %UG OnC Trad",'FTE Pivot Table'!$A$3,"State","WV","Type",1,"Type2","Four-Year"))*100</f>
        <v>98.98163743009992</v>
      </c>
      <c r="C58" s="320">
        <f>(GETPIVOTDATA(" %UG OffC Trad",'FTE Pivot Table'!$A$3,"State","WV","Type",1,"Type2","Four-Year"))*100</f>
        <v>0.151816522795925</v>
      </c>
      <c r="D58" s="342">
        <f t="shared" si="4"/>
        <v>0.8665460471041535</v>
      </c>
      <c r="E58" s="317">
        <f>(GETPIVOTDATA(" %UG EL Web",'FTE Pivot Table'!$A$3,"State","WV","Type",1,"Type2","Four-Year"))*100</f>
        <v>0.7547840766546438</v>
      </c>
      <c r="F58" s="317">
        <f>(GETPIVOTDATA(" % UG EL CV",'FTE Pivot Table'!$A$3,"State","WV","Type",1,"Type2","Four-Year"))*100</f>
        <v>0</v>
      </c>
      <c r="G58" s="320">
        <f>(GETPIVOTDATA(" %UG EL O",'FTE Pivot Table'!$A$3,"State","WV","Type",1,"Type2","Four-Year"))*100</f>
        <v>0.11176197044950976</v>
      </c>
      <c r="H58" s="317">
        <f>(GETPIVOTDATA(" %UG Cor",'FTE Pivot Table'!$A$3,"State","WV","Type",1,"Type2","Four-Year"))*100</f>
        <v>0</v>
      </c>
      <c r="I58" s="116" t="s">
        <v>623</v>
      </c>
      <c r="J58" s="337">
        <f>(GETPIVOTDATA(" %G OnC Trad",'FTE Pivot Table'!$A$3,"State","WV","Type",1,"Type2","Four-Year"))*100</f>
        <v>72.81135630684494</v>
      </c>
      <c r="K58" s="338">
        <f>(GETPIVOTDATA(" %G OffC Trad",'FTE Pivot Table'!$A$3,"State","WV","Type",1,"Type2","Four-Year"))*100</f>
        <v>20.168858933942097</v>
      </c>
      <c r="L58" s="339">
        <f t="shared" si="5"/>
        <v>7.019784759212958</v>
      </c>
      <c r="M58" s="337">
        <f>(GETPIVOTDATA(" %G EL Web",'FTE Pivot Table'!$A$3,"State","WV","Type",1,"Type2","Four-Year"))*100</f>
        <v>1.6913070261260283</v>
      </c>
      <c r="N58" s="337">
        <f>(GETPIVOTDATA(" % G EL CV",'FTE Pivot Table'!$A$3,"State","WV","Type",1,"Type2","Four-Year"))*100</f>
        <v>3.061927021053013</v>
      </c>
      <c r="O58" s="338">
        <f>(GETPIVOTDATA(" %G EL O",'FTE Pivot Table'!$A$3,"State","WV","Type",1,"Type2","Four-Year"))*100</f>
        <v>2.266550712033917</v>
      </c>
      <c r="P58" s="337">
        <f>(GETPIVOTDATA(" %G Cor",'FTE Pivot Table'!$A$3,"State","WV","Type",1,"Type2","Four-Year"))*100</f>
        <v>0</v>
      </c>
      <c r="Q58" s="121">
        <f t="shared" si="6"/>
        <v>100</v>
      </c>
      <c r="R58" s="121">
        <f t="shared" si="7"/>
        <v>99.99999999999999</v>
      </c>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row>
    <row r="59" spans="1:41" s="279" customFormat="1" ht="18" customHeight="1">
      <c r="A59" s="347" t="s">
        <v>634</v>
      </c>
      <c r="B59" s="283"/>
      <c r="C59" s="283"/>
      <c r="D59" s="284"/>
      <c r="E59" s="283"/>
      <c r="F59" s="284"/>
      <c r="G59" s="284"/>
      <c r="H59" s="283"/>
      <c r="I59" s="347" t="s">
        <v>634</v>
      </c>
      <c r="J59" s="283"/>
      <c r="K59" s="283"/>
      <c r="L59" s="284"/>
      <c r="M59" s="283"/>
      <c r="N59" s="284"/>
      <c r="O59" s="284"/>
      <c r="P59" s="283"/>
      <c r="Q59" s="283"/>
      <c r="R59" s="283"/>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row>
    <row r="60" spans="1:18" s="279" customFormat="1" ht="13.5" customHeight="1">
      <c r="A60" s="348" t="s">
        <v>638</v>
      </c>
      <c r="B60" s="278"/>
      <c r="H60" s="277"/>
      <c r="I60" s="348" t="s">
        <v>638</v>
      </c>
      <c r="P60" s="280"/>
      <c r="Q60" s="281"/>
      <c r="R60" s="282"/>
    </row>
    <row r="61" spans="8:18" s="279" customFormat="1" ht="13.5" customHeight="1">
      <c r="H61" s="351" t="s">
        <v>642</v>
      </c>
      <c r="P61" s="351" t="s">
        <v>642</v>
      </c>
      <c r="Q61" s="281"/>
      <c r="R61" s="282"/>
    </row>
    <row r="62" spans="1:18" ht="18">
      <c r="A62" s="113" t="s">
        <v>579</v>
      </c>
      <c r="B62" s="114"/>
      <c r="C62" s="114"/>
      <c r="D62" s="114"/>
      <c r="E62" s="114"/>
      <c r="F62" s="114"/>
      <c r="G62" s="114"/>
      <c r="H62" s="132"/>
      <c r="I62" s="113" t="s">
        <v>595</v>
      </c>
      <c r="J62" s="115"/>
      <c r="K62" s="115"/>
      <c r="L62" s="114"/>
      <c r="M62" s="115"/>
      <c r="N62" s="115"/>
      <c r="O62" s="115"/>
      <c r="P62" s="115"/>
      <c r="Q62" s="270"/>
      <c r="R62" s="271"/>
    </row>
    <row r="63" spans="1:18" ht="12.75">
      <c r="A63" s="293"/>
      <c r="B63" s="115"/>
      <c r="C63" s="115"/>
      <c r="D63" s="115"/>
      <c r="E63" s="115"/>
      <c r="F63" s="115"/>
      <c r="G63" s="115"/>
      <c r="H63" s="127"/>
      <c r="I63" s="293"/>
      <c r="J63" s="115"/>
      <c r="K63" s="115"/>
      <c r="L63" s="115"/>
      <c r="M63" s="115"/>
      <c r="N63" s="115"/>
      <c r="O63" s="115"/>
      <c r="P63" s="115"/>
      <c r="R63" s="273"/>
    </row>
    <row r="64" spans="1:18" ht="15.75">
      <c r="A64" s="124" t="s">
        <v>617</v>
      </c>
      <c r="B64" s="115"/>
      <c r="C64" s="115"/>
      <c r="D64" s="115"/>
      <c r="E64" s="115"/>
      <c r="F64" s="115"/>
      <c r="G64" s="115"/>
      <c r="H64" s="127"/>
      <c r="I64" s="124" t="s">
        <v>618</v>
      </c>
      <c r="J64" s="115"/>
      <c r="K64" s="115"/>
      <c r="L64" s="115"/>
      <c r="M64" s="115"/>
      <c r="N64" s="115"/>
      <c r="O64" s="115"/>
      <c r="P64" s="115"/>
      <c r="R64" s="273" t="s">
        <v>2</v>
      </c>
    </row>
    <row r="65" spans="1:18" ht="15.75">
      <c r="A65" s="124" t="s">
        <v>548</v>
      </c>
      <c r="B65" s="115"/>
      <c r="C65" s="115"/>
      <c r="D65" s="115"/>
      <c r="E65" s="115"/>
      <c r="F65" s="115"/>
      <c r="G65" s="115"/>
      <c r="H65" s="127"/>
      <c r="I65" s="124" t="s">
        <v>548</v>
      </c>
      <c r="J65" s="115"/>
      <c r="K65" s="115"/>
      <c r="L65" s="115"/>
      <c r="M65" s="115"/>
      <c r="N65" s="115"/>
      <c r="O65" s="115"/>
      <c r="P65" s="115"/>
      <c r="R65" s="273" t="s">
        <v>2</v>
      </c>
    </row>
    <row r="66" spans="1:16" ht="12.75">
      <c r="A66" s="116"/>
      <c r="B66" s="117"/>
      <c r="C66" s="117"/>
      <c r="D66" s="117"/>
      <c r="E66" s="117"/>
      <c r="F66" s="117"/>
      <c r="G66" s="117"/>
      <c r="H66" s="117"/>
      <c r="I66" s="118"/>
      <c r="L66" s="119"/>
      <c r="P66" s="116"/>
    </row>
    <row r="67" spans="1:18" s="305" customFormat="1" ht="12">
      <c r="A67" s="300"/>
      <c r="B67" s="301" t="s">
        <v>279</v>
      </c>
      <c r="C67" s="301"/>
      <c r="D67" s="301"/>
      <c r="E67" s="301"/>
      <c r="F67" s="301"/>
      <c r="G67" s="301"/>
      <c r="H67" s="302"/>
      <c r="I67" s="300"/>
      <c r="J67" s="301" t="s">
        <v>279</v>
      </c>
      <c r="K67" s="301"/>
      <c r="L67" s="301"/>
      <c r="M67" s="301"/>
      <c r="N67" s="301"/>
      <c r="O67" s="301"/>
      <c r="P67" s="302"/>
      <c r="Q67" s="303"/>
      <c r="R67" s="304"/>
    </row>
    <row r="68" spans="1:18" s="305" customFormat="1" ht="12">
      <c r="A68" s="300"/>
      <c r="B68" s="301" t="s">
        <v>173</v>
      </c>
      <c r="C68" s="301"/>
      <c r="D68" s="370" t="s">
        <v>629</v>
      </c>
      <c r="E68" s="371"/>
      <c r="F68" s="371"/>
      <c r="G68" s="371"/>
      <c r="H68" s="306" t="s">
        <v>2</v>
      </c>
      <c r="I68" s="300"/>
      <c r="J68" s="301" t="s">
        <v>173</v>
      </c>
      <c r="K68" s="301"/>
      <c r="L68" s="370" t="s">
        <v>629</v>
      </c>
      <c r="M68" s="371"/>
      <c r="N68" s="371"/>
      <c r="O68" s="371"/>
      <c r="P68" s="306" t="s">
        <v>2</v>
      </c>
      <c r="Q68" s="303"/>
      <c r="R68" s="304"/>
    </row>
    <row r="69" spans="1:20" s="305" customFormat="1" ht="40.5" customHeight="1">
      <c r="A69" s="300"/>
      <c r="B69" s="307" t="s">
        <v>612</v>
      </c>
      <c r="C69" s="308" t="s">
        <v>611</v>
      </c>
      <c r="D69" s="309" t="s">
        <v>626</v>
      </c>
      <c r="E69" s="310" t="s">
        <v>0</v>
      </c>
      <c r="F69" s="307" t="s">
        <v>174</v>
      </c>
      <c r="G69" s="311" t="s">
        <v>631</v>
      </c>
      <c r="H69" s="312" t="s">
        <v>630</v>
      </c>
      <c r="I69" s="300"/>
      <c r="J69" s="307" t="s">
        <v>612</v>
      </c>
      <c r="K69" s="308" t="s">
        <v>611</v>
      </c>
      <c r="L69" s="309" t="s">
        <v>626</v>
      </c>
      <c r="M69" s="310" t="s">
        <v>0</v>
      </c>
      <c r="N69" s="307" t="s">
        <v>174</v>
      </c>
      <c r="O69" s="311" t="s">
        <v>631</v>
      </c>
      <c r="P69" s="312" t="s">
        <v>630</v>
      </c>
      <c r="Q69" s="313"/>
      <c r="R69" s="314"/>
      <c r="T69" s="315"/>
    </row>
    <row r="70" spans="1:41" ht="15.75" customHeight="1">
      <c r="A70" s="123" t="s">
        <v>534</v>
      </c>
      <c r="B70" s="318">
        <f>GETPIVOTDATA(" %UG OnC Trad",'FTE Pivot Table'!$A$3,"State","AL","Type",2,"Type2","Four-Year")*100</f>
        <v>0</v>
      </c>
      <c r="C70" s="319">
        <f>GETPIVOTDATA(" %UG OffC Trad",'FTE Pivot Table'!$A$3,"State","AL","Type",2,"Type2","Four-Year")*100</f>
        <v>0</v>
      </c>
      <c r="D70" s="340">
        <f>SUM(E70:G70)</f>
        <v>0</v>
      </c>
      <c r="E70" s="318">
        <f>GETPIVOTDATA(" %UG EL Web",'FTE Pivot Table'!$A$3,"State","AL","Type",2,"Type2","Four-Year")*100</f>
        <v>0</v>
      </c>
      <c r="F70" s="341">
        <f>GETPIVOTDATA(" % UG EL CV",'FTE Pivot Table'!$A$3,"State","AL","Type",2,"Type2","Four-Year")*100</f>
        <v>0</v>
      </c>
      <c r="G70" s="319">
        <f>GETPIVOTDATA(" %UG EL O",'FTE Pivot Table'!$A$3,"State","AL","Type",2,"Type2","Four-Year")*100</f>
        <v>0</v>
      </c>
      <c r="H70" s="318">
        <f>GETPIVOTDATA(" %UG Cor",'FTE Pivot Table'!$A$3,"State","AL","Type",2,"Type2","Four-Year")*100</f>
        <v>0</v>
      </c>
      <c r="I70" s="123" t="s">
        <v>534</v>
      </c>
      <c r="J70" s="331">
        <f>GETPIVOTDATA(" %G OnC Trad",'FTE Pivot Table'!$A$3,"State","AL","Type",2,"Type2","Four-Year")*100</f>
        <v>0</v>
      </c>
      <c r="K70" s="332">
        <f>GETPIVOTDATA(" %G OffC Trad",'FTE Pivot Table'!$A$3,"State","AL","Type",2,"Type2","Four-Year")*100</f>
        <v>0</v>
      </c>
      <c r="L70" s="333">
        <f aca="true" t="shared" si="8" ref="L70:L88">SUM(M70:O70)</f>
        <v>0</v>
      </c>
      <c r="M70" s="331">
        <f>GETPIVOTDATA(" %G EL Web",'FTE Pivot Table'!$A$3,"State","AL","Type",2,"Type2","Four-Year")*100</f>
        <v>0</v>
      </c>
      <c r="N70" s="334">
        <f>GETPIVOTDATA(" % G EL CV",'FTE Pivot Table'!$A$3,"State","AL","Type",2,"Type2","Four-Year")*100</f>
        <v>0</v>
      </c>
      <c r="O70" s="332">
        <f>GETPIVOTDATA(" %G EL O",'FTE Pivot Table'!$A$3,"State","AL","Type",2,"Type2","Four-Year")*100</f>
        <v>0</v>
      </c>
      <c r="P70" s="331">
        <f>GETPIVOTDATA(" %G Cor",'FTE Pivot Table'!$A$3,"State","AL","Type",2,"Type2","Four-Year")*100</f>
        <v>0</v>
      </c>
      <c r="Q70" s="121">
        <f aca="true" t="shared" si="9" ref="Q70:Q88">SUM(B70,C70,D70,H70)</f>
        <v>0</v>
      </c>
      <c r="R70" s="121">
        <f aca="true" t="shared" si="10" ref="R70:R88">SUM(J70,K70,L70,P70)</f>
        <v>0</v>
      </c>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row>
    <row r="71" spans="1:41" ht="15.75" customHeight="1">
      <c r="A71" s="122" t="s">
        <v>535</v>
      </c>
      <c r="B71" s="318">
        <f>GETPIVOTDATA(" %UG OnC Trad",'FTE Pivot Table'!$A$3,"State","AR","Type",2,"Type2","Four-Year")*100</f>
        <v>98.53581020225465</v>
      </c>
      <c r="C71" s="319">
        <f>GETPIVOTDATA(" %UG OffC Trad",'FTE Pivot Table'!$A$3,"State","AR","Type",2,"Type2","Four-Year")*100</f>
        <v>0.8201204330801861</v>
      </c>
      <c r="D71" s="340">
        <f aca="true" t="shared" si="11" ref="D71:D88">SUM(E71:G71)</f>
        <v>0.6440693646651627</v>
      </c>
      <c r="E71" s="318">
        <f>GETPIVOTDATA(" %UG EL Web",'FTE Pivot Table'!$A$3,"State","AR","Type",2,"Type2","Four-Year")*100</f>
        <v>0.08353582380743768</v>
      </c>
      <c r="F71" s="318">
        <f>GETPIVOTDATA(" % UG EL CV",'FTE Pivot Table'!$A$3,"State","AR","Type",2,"Type2","Four-Year")*100</f>
        <v>0.5605335408577251</v>
      </c>
      <c r="G71" s="319">
        <f>GETPIVOTDATA(" %UG EL O",'FTE Pivot Table'!$A$3,"State","AR","Type",2,"Type2","Four-Year")*100</f>
        <v>0</v>
      </c>
      <c r="H71" s="318">
        <f>GETPIVOTDATA(" %UG Cor",'FTE Pivot Table'!$A$3,"State","AR","Type",2,"Type2","Four-Year")*100</f>
        <v>0</v>
      </c>
      <c r="I71" s="122" t="s">
        <v>535</v>
      </c>
      <c r="J71" s="331">
        <f>GETPIVOTDATA(" %G OnC Trad",'FTE Pivot Table'!$A$3,"State","AR","Type",2,"Type2","Four-Year")*100</f>
        <v>87.97612980650676</v>
      </c>
      <c r="K71" s="332">
        <f>GETPIVOTDATA(" %G OffC Trad",'FTE Pivot Table'!$A$3,"State","AR","Type",2,"Type2","Four-Year")*100</f>
        <v>2.4823686070788606</v>
      </c>
      <c r="L71" s="333">
        <f t="shared" si="8"/>
        <v>9.541501586414375</v>
      </c>
      <c r="M71" s="331">
        <f>GETPIVOTDATA(" %G EL Web",'FTE Pivot Table'!$A$3,"State","AR","Type",2,"Type2","Four-Year")*100</f>
        <v>1.7064229232767265</v>
      </c>
      <c r="N71" s="331">
        <f>GETPIVOTDATA(" % G EL CV",'FTE Pivot Table'!$A$3,"State","AR","Type",2,"Type2","Four-Year")*100</f>
        <v>7.835078663137648</v>
      </c>
      <c r="O71" s="332">
        <f>GETPIVOTDATA(" %G EL O",'FTE Pivot Table'!$A$3,"State","AR","Type",2,"Type2","Four-Year")*100</f>
        <v>0</v>
      </c>
      <c r="P71" s="331">
        <f>GETPIVOTDATA(" %G Cor",'FTE Pivot Table'!$A$3,"State","AR","Type",2,"Type2","Four-Year")*100</f>
        <v>0</v>
      </c>
      <c r="Q71" s="121">
        <f t="shared" si="9"/>
        <v>100</v>
      </c>
      <c r="R71" s="121">
        <f t="shared" si="10"/>
        <v>99.99999999999999</v>
      </c>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row>
    <row r="72" spans="1:41" ht="15.75" customHeight="1">
      <c r="A72" s="122" t="s">
        <v>536</v>
      </c>
      <c r="B72" s="318">
        <f>GETPIVOTDATA(" %UG OnC Trad",'FTE Pivot Table'!$A$3,"State","DE","Type",2,"Type2","Four-Year")*100</f>
        <v>0</v>
      </c>
      <c r="C72" s="319">
        <f>GETPIVOTDATA(" %UG OffC Trad",'FTE Pivot Table'!$A$3,"State","DE","Type",2,"Type2","Four-Year")*100</f>
        <v>0</v>
      </c>
      <c r="D72" s="340">
        <f t="shared" si="11"/>
        <v>0</v>
      </c>
      <c r="E72" s="318">
        <f>GETPIVOTDATA(" %UG EL Web",'FTE Pivot Table'!$A$3,"State","DE","Type",2,"Type2","Four-Year")*100</f>
        <v>0</v>
      </c>
      <c r="F72" s="318">
        <f>GETPIVOTDATA(" % UG EL CV",'FTE Pivot Table'!$A$3,"State","DE","Type",2,"Type2","Four-Year")*100</f>
        <v>0</v>
      </c>
      <c r="G72" s="319">
        <f>GETPIVOTDATA(" %UG EL O",'FTE Pivot Table'!$A$3,"State","DE","Type",2,"Type2","Four-Year")*100</f>
        <v>0</v>
      </c>
      <c r="H72" s="318">
        <f>GETPIVOTDATA(" %UG Cor",'FTE Pivot Table'!$A$3,"State","DE","Type",2,"Type2","Four-Year")*100</f>
        <v>0</v>
      </c>
      <c r="I72" s="122" t="s">
        <v>536</v>
      </c>
      <c r="J72" s="331">
        <f>GETPIVOTDATA(" %G OnC Trad",'FTE Pivot Table'!$A$3,"State","DE","Type",2,"Type2","Four-Year")*100</f>
        <v>0</v>
      </c>
      <c r="K72" s="332">
        <f>GETPIVOTDATA(" %G OffC Trad",'FTE Pivot Table'!$A$3,"State","DE","Type",2,"Type2","Four-Year")*100</f>
        <v>0</v>
      </c>
      <c r="L72" s="333">
        <f t="shared" si="8"/>
        <v>0</v>
      </c>
      <c r="M72" s="331">
        <f>GETPIVOTDATA(" %G EL Web",'FTE Pivot Table'!$A$3,"State","DE","Type",2,"Type2","Four-Year")*100</f>
        <v>0</v>
      </c>
      <c r="N72" s="331">
        <f>GETPIVOTDATA(" % G EL CV",'FTE Pivot Table'!$A$3,"State","DE","Type",2,"Type2","Four-Year")*100</f>
        <v>0</v>
      </c>
      <c r="O72" s="332">
        <f>GETPIVOTDATA(" %G EL O",'FTE Pivot Table'!$A$3,"State","DE","Type",2,"Type2","Four-Year")*100</f>
        <v>0</v>
      </c>
      <c r="P72" s="331">
        <f>GETPIVOTDATA(" %G Cor",'FTE Pivot Table'!$A$3,"State","DE","Type",2,"Type2","Four-Year")*100</f>
        <v>0</v>
      </c>
      <c r="Q72" s="121">
        <f t="shared" si="9"/>
        <v>0</v>
      </c>
      <c r="R72" s="121">
        <f t="shared" si="10"/>
        <v>0</v>
      </c>
      <c r="S72" s="134"/>
      <c r="T72" s="274"/>
      <c r="U72" s="134"/>
      <c r="V72" s="134"/>
      <c r="W72" s="134"/>
      <c r="X72" s="134"/>
      <c r="Y72" s="134"/>
      <c r="Z72" s="134"/>
      <c r="AA72" s="134"/>
      <c r="AB72" s="134"/>
      <c r="AC72" s="134"/>
      <c r="AD72" s="134"/>
      <c r="AE72" s="134"/>
      <c r="AF72" s="134"/>
      <c r="AG72" s="134"/>
      <c r="AH72" s="134"/>
      <c r="AI72" s="134"/>
      <c r="AJ72" s="134"/>
      <c r="AK72" s="134"/>
      <c r="AL72" s="134"/>
      <c r="AM72" s="134"/>
      <c r="AN72" s="134"/>
      <c r="AO72" s="134"/>
    </row>
    <row r="73" spans="1:41" ht="15.75" customHeight="1">
      <c r="A73" s="122" t="s">
        <v>537</v>
      </c>
      <c r="B73" s="318">
        <f>GETPIVOTDATA(" %UG OnC Trad",'FTE Pivot Table'!$A$3,"State","FL","Type",2,"Type2","Four-Year")*100</f>
        <v>77.27370132430117</v>
      </c>
      <c r="C73" s="319">
        <f>GETPIVOTDATA(" %UG OffC Trad",'FTE Pivot Table'!$A$3,"State","FL","Type",2,"Type2","Four-Year")*100</f>
        <v>15.575062679009461</v>
      </c>
      <c r="D73" s="340">
        <f t="shared" si="11"/>
        <v>7.151235996689368</v>
      </c>
      <c r="E73" s="318">
        <f>GETPIVOTDATA(" %UG EL Web",'FTE Pivot Table'!$A$3,"State","FL","Type",2,"Type2","Four-Year")*100</f>
        <v>5.852427272758056</v>
      </c>
      <c r="F73" s="318">
        <f>GETPIVOTDATA(" % UG EL CV",'FTE Pivot Table'!$A$3,"State","FL","Type",2,"Type2","Four-Year")*100</f>
        <v>0.23722003657948443</v>
      </c>
      <c r="G73" s="319">
        <f>GETPIVOTDATA(" %UG EL O",'FTE Pivot Table'!$A$3,"State","FL","Type",2,"Type2","Four-Year")*100</f>
        <v>1.061588687351828</v>
      </c>
      <c r="H73" s="318">
        <f>GETPIVOTDATA(" %UG Cor",'FTE Pivot Table'!$A$3,"State","FL","Type",2,"Type2","Four-Year")*100</f>
        <v>0</v>
      </c>
      <c r="I73" s="122" t="s">
        <v>537</v>
      </c>
      <c r="J73" s="331">
        <f>GETPIVOTDATA(" %G OnC Trad",'FTE Pivot Table'!$A$3,"State","FL","Type",2,"Type2","Four-Year")*100</f>
        <v>64.68463990948169</v>
      </c>
      <c r="K73" s="332">
        <f>GETPIVOTDATA(" %G OffC Trad",'FTE Pivot Table'!$A$3,"State","FL","Type",2,"Type2","Four-Year")*100</f>
        <v>21.442230247145307</v>
      </c>
      <c r="L73" s="333">
        <f t="shared" si="8"/>
        <v>13.873129843373006</v>
      </c>
      <c r="M73" s="331">
        <f>GETPIVOTDATA(" %G EL Web",'FTE Pivot Table'!$A$3,"State","FL","Type",2,"Type2","Four-Year")*100</f>
        <v>10.169210731777815</v>
      </c>
      <c r="N73" s="331">
        <f>GETPIVOTDATA(" % G EL CV",'FTE Pivot Table'!$A$3,"State","FL","Type",2,"Type2","Four-Year")*100</f>
        <v>0.14134674188710236</v>
      </c>
      <c r="O73" s="332">
        <f>GETPIVOTDATA(" %G EL O",'FTE Pivot Table'!$A$3,"State","FL","Type",2,"Type2","Four-Year")*100</f>
        <v>3.5625723697080893</v>
      </c>
      <c r="P73" s="331">
        <f>GETPIVOTDATA(" %G Cor",'FTE Pivot Table'!$A$3,"State","FL","Type",2,"Type2","Four-Year")*100</f>
        <v>0</v>
      </c>
      <c r="Q73" s="121">
        <f t="shared" si="9"/>
        <v>100</v>
      </c>
      <c r="R73" s="121">
        <f t="shared" si="10"/>
        <v>100</v>
      </c>
      <c r="S73" s="134"/>
      <c r="U73" s="134"/>
      <c r="V73" s="134"/>
      <c r="W73" s="134"/>
      <c r="X73" s="134"/>
      <c r="Y73" s="134"/>
      <c r="Z73" s="134"/>
      <c r="AA73" s="134"/>
      <c r="AB73" s="134"/>
      <c r="AC73" s="134"/>
      <c r="AD73" s="134"/>
      <c r="AE73" s="134"/>
      <c r="AF73" s="134"/>
      <c r="AG73" s="134"/>
      <c r="AH73" s="134"/>
      <c r="AI73" s="134"/>
      <c r="AJ73" s="134"/>
      <c r="AK73" s="134"/>
      <c r="AL73" s="134"/>
      <c r="AM73" s="134"/>
      <c r="AN73" s="134"/>
      <c r="AO73" s="134"/>
    </row>
    <row r="74" spans="1:41" ht="15.75" customHeight="1">
      <c r="A74" s="122"/>
      <c r="B74" s="318"/>
      <c r="C74" s="319"/>
      <c r="D74" s="340">
        <f t="shared" si="11"/>
        <v>0</v>
      </c>
      <c r="E74" s="318"/>
      <c r="F74" s="318"/>
      <c r="G74" s="319"/>
      <c r="H74" s="318"/>
      <c r="I74" s="122"/>
      <c r="J74" s="331"/>
      <c r="K74" s="332"/>
      <c r="L74" s="333">
        <f t="shared" si="8"/>
        <v>0</v>
      </c>
      <c r="M74" s="331"/>
      <c r="N74" s="331"/>
      <c r="O74" s="332"/>
      <c r="P74" s="331"/>
      <c r="Q74" s="121">
        <f t="shared" si="9"/>
        <v>0</v>
      </c>
      <c r="R74" s="121">
        <f t="shared" si="10"/>
        <v>0</v>
      </c>
      <c r="S74" s="134"/>
      <c r="U74" s="134"/>
      <c r="V74" s="134"/>
      <c r="W74" s="134"/>
      <c r="X74" s="134"/>
      <c r="Y74" s="134"/>
      <c r="Z74" s="134"/>
      <c r="AA74" s="134"/>
      <c r="AB74" s="134"/>
      <c r="AC74" s="134"/>
      <c r="AD74" s="134"/>
      <c r="AE74" s="134"/>
      <c r="AF74" s="134"/>
      <c r="AG74" s="134"/>
      <c r="AH74" s="134"/>
      <c r="AI74" s="134"/>
      <c r="AJ74" s="134"/>
      <c r="AK74" s="134"/>
      <c r="AL74" s="134"/>
      <c r="AM74" s="134"/>
      <c r="AN74" s="134"/>
      <c r="AO74" s="134"/>
    </row>
    <row r="75" spans="1:41" ht="15.75" customHeight="1">
      <c r="A75" s="122" t="s">
        <v>538</v>
      </c>
      <c r="B75" s="318">
        <f>GETPIVOTDATA(" %UG OnC Trad",'FTE Pivot Table'!$A$3,"State","GA","Type",2,"Type2","Four-Year")*100</f>
        <v>97.41162254900544</v>
      </c>
      <c r="C75" s="319">
        <f>GETPIVOTDATA(" %UG OffC Trad",'FTE Pivot Table'!$A$3,"State","GA","Type",2,"Type2","Four-Year")*100</f>
        <v>2.063706346063232</v>
      </c>
      <c r="D75" s="340">
        <f t="shared" si="11"/>
        <v>0.5246711049313302</v>
      </c>
      <c r="E75" s="318">
        <f>GETPIVOTDATA(" %UG EL Web",'FTE Pivot Table'!$A$3,"State","GA","Type",2,"Type2","Four-Year")*100</f>
        <v>0.09134769650595062</v>
      </c>
      <c r="F75" s="318">
        <f>GETPIVOTDATA(" % UG EL CV",'FTE Pivot Table'!$A$3,"State","GA","Type",2,"Type2","Four-Year")*100</f>
        <v>0.3188497128039985</v>
      </c>
      <c r="G75" s="319">
        <f>GETPIVOTDATA(" %UG EL O",'FTE Pivot Table'!$A$3,"State","GA","Type",2,"Type2","Four-Year")*100</f>
        <v>0.11447369562138114</v>
      </c>
      <c r="H75" s="318">
        <f>GETPIVOTDATA(" %UG Cor",'FTE Pivot Table'!$A$3,"State","GA","Type",2,"Type2","Four-Year")*100</f>
        <v>0</v>
      </c>
      <c r="I75" s="122" t="s">
        <v>538</v>
      </c>
      <c r="J75" s="331">
        <f>GETPIVOTDATA(" %G OnC Trad",'FTE Pivot Table'!$A$3,"State","GA","Type",2,"Type2","Four-Year")*100</f>
        <v>96.92509883998784</v>
      </c>
      <c r="K75" s="332">
        <f>GETPIVOTDATA(" %G OffC Trad",'FTE Pivot Table'!$A$3,"State","GA","Type",2,"Type2","Four-Year")*100</f>
        <v>1.513012121475431</v>
      </c>
      <c r="L75" s="333">
        <f t="shared" si="8"/>
        <v>1.5618890385367339</v>
      </c>
      <c r="M75" s="331">
        <f>GETPIVOTDATA(" %G EL Web",'FTE Pivot Table'!$A$3,"State","GA","Type",2,"Type2","Four-Year")*100</f>
        <v>0.17432767085197898</v>
      </c>
      <c r="N75" s="335">
        <f>GETPIVOTDATA(" % G EL CV",'FTE Pivot Table'!$A$3,"State","GA","Type",2,"Type2","Four-Year")*100</f>
        <v>0.008406829734544033</v>
      </c>
      <c r="O75" s="332">
        <f>GETPIVOTDATA(" %G EL O",'FTE Pivot Table'!$A$3,"State","GA","Type",2,"Type2","Four-Year")*100</f>
        <v>1.3791545379502108</v>
      </c>
      <c r="P75" s="331">
        <f>GETPIVOTDATA(" %G Cor",'FTE Pivot Table'!$A$3,"State","GA","Type",2,"Type2","Four-Year")*100</f>
        <v>0</v>
      </c>
      <c r="Q75" s="121">
        <f t="shared" si="9"/>
        <v>100</v>
      </c>
      <c r="R75" s="121">
        <f t="shared" si="10"/>
        <v>100</v>
      </c>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row>
    <row r="76" spans="1:41" ht="15.75" customHeight="1">
      <c r="A76" s="122" t="s">
        <v>539</v>
      </c>
      <c r="B76" s="318">
        <f>GETPIVOTDATA(" %UG OnC Trad",'FTE Pivot Table'!$A$3,"State","KY","Type",2,"Type2","Four-Year")*100</f>
        <v>88.57075064650029</v>
      </c>
      <c r="C76" s="319">
        <f>GETPIVOTDATA(" %UG OffC Trad",'FTE Pivot Table'!$A$3,"State","KY","Type",2,"Type2","Four-Year")*100</f>
        <v>1.4049994138774058</v>
      </c>
      <c r="D76" s="340">
        <f t="shared" si="11"/>
        <v>10.02424993962231</v>
      </c>
      <c r="E76" s="318">
        <f>GETPIVOTDATA(" %UG EL Web",'FTE Pivot Table'!$A$3,"State","KY","Type",2,"Type2","Four-Year")*100</f>
        <v>9.714946691090795</v>
      </c>
      <c r="F76" s="318">
        <f>GETPIVOTDATA(" % UG EL CV",'FTE Pivot Table'!$A$3,"State","KY","Type",2,"Type2","Four-Year")*100</f>
        <v>0</v>
      </c>
      <c r="G76" s="319">
        <f>GETPIVOTDATA(" %UG EL O",'FTE Pivot Table'!$A$3,"State","KY","Type",2,"Type2","Four-Year")*100</f>
        <v>0.30930324853151575</v>
      </c>
      <c r="H76" s="318">
        <f>GETPIVOTDATA(" %UG Cor",'FTE Pivot Table'!$A$3,"State","KY","Type",2,"Type2","Four-Year")*100</f>
        <v>0</v>
      </c>
      <c r="I76" s="122" t="s">
        <v>539</v>
      </c>
      <c r="J76" s="331">
        <f>GETPIVOTDATA(" %G OnC Trad",'FTE Pivot Table'!$A$3,"State","KY","Type",2,"Type2","Four-Year")*100</f>
        <v>76.51508717438517</v>
      </c>
      <c r="K76" s="332">
        <f>GETPIVOTDATA(" %G OffC Trad",'FTE Pivot Table'!$A$3,"State","KY","Type",2,"Type2","Four-Year")*100</f>
        <v>10.395408937042744</v>
      </c>
      <c r="L76" s="333">
        <f t="shared" si="8"/>
        <v>13.089503888572088</v>
      </c>
      <c r="M76" s="331">
        <f>GETPIVOTDATA(" %G EL Web",'FTE Pivot Table'!$A$3,"State","KY","Type",2,"Type2","Four-Year")*100</f>
        <v>13.042185850693391</v>
      </c>
      <c r="N76" s="335">
        <f>GETPIVOTDATA(" % G EL CV",'FTE Pivot Table'!$A$3,"State","KY","Type",2,"Type2","Four-Year")*100</f>
        <v>0.040038339743511966</v>
      </c>
      <c r="O76" s="336">
        <f>GETPIVOTDATA(" %G EL O",'FTE Pivot Table'!$A$3,"State","KY","Type",2,"Type2","Four-Year")*100</f>
        <v>0.0072796981351839945</v>
      </c>
      <c r="P76" s="331">
        <f>GETPIVOTDATA(" %G Cor",'FTE Pivot Table'!$A$3,"State","KY","Type",2,"Type2","Four-Year")*100</f>
        <v>0</v>
      </c>
      <c r="Q76" s="121">
        <f t="shared" si="9"/>
        <v>100</v>
      </c>
      <c r="R76" s="121">
        <f t="shared" si="10"/>
        <v>100</v>
      </c>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row>
    <row r="77" spans="1:41" ht="15.75" customHeight="1">
      <c r="A77" s="122" t="s">
        <v>540</v>
      </c>
      <c r="B77" s="318">
        <f>GETPIVOTDATA(" %UG OnC Trad",'FTE Pivot Table'!$A$3,"State","LA","Type",2,"Type2","Four-Year")*100</f>
        <v>0</v>
      </c>
      <c r="C77" s="319">
        <f>GETPIVOTDATA(" %UG OffC Trad",'FTE Pivot Table'!$A$3,"State","LA","Type",2,"Type2","Four-Year")*100</f>
        <v>0</v>
      </c>
      <c r="D77" s="340">
        <f t="shared" si="11"/>
        <v>0</v>
      </c>
      <c r="E77" s="318">
        <f>GETPIVOTDATA(" %UG EL Web",'FTE Pivot Table'!$A$3,"State","LA","Type",2,"Type2","Four-Year")*100</f>
        <v>0</v>
      </c>
      <c r="F77" s="318">
        <f>GETPIVOTDATA(" % UG EL CV",'FTE Pivot Table'!$A$3,"State","LA","Type",2,"Type2","Four-Year")*100</f>
        <v>0</v>
      </c>
      <c r="G77" s="319">
        <f>GETPIVOTDATA(" %UG EL O",'FTE Pivot Table'!$A$3,"State","LA","Type",2,"Type2","Four-Year")*100</f>
        <v>0</v>
      </c>
      <c r="H77" s="318">
        <f>GETPIVOTDATA(" %UG Cor",'FTE Pivot Table'!$A$3,"State","LA","Type",2,"Type2","Four-Year")*100</f>
        <v>0</v>
      </c>
      <c r="I77" s="122" t="s">
        <v>540</v>
      </c>
      <c r="J77" s="331">
        <f>GETPIVOTDATA(" %G OnC Trad",'FTE Pivot Table'!$A$3,"State","LA","Type",2,"Type2","Four-Year")*100</f>
        <v>0</v>
      </c>
      <c r="K77" s="332">
        <f>GETPIVOTDATA(" %G OffC Trad",'FTE Pivot Table'!$A$3,"State","LA","Type",2,"Type2","Four-Year")*100</f>
        <v>0</v>
      </c>
      <c r="L77" s="333">
        <f t="shared" si="8"/>
        <v>0</v>
      </c>
      <c r="M77" s="331">
        <f>GETPIVOTDATA(" %G EL Web",'FTE Pivot Table'!$A$3,"State","LA","Type",2,"Type2","Four-Year")*100</f>
        <v>0</v>
      </c>
      <c r="N77" s="331">
        <f>GETPIVOTDATA(" % G EL CV",'FTE Pivot Table'!$A$3,"State","LA","Type",2,"Type2","Four-Year")*100</f>
        <v>0</v>
      </c>
      <c r="O77" s="332">
        <f>GETPIVOTDATA(" %G EL O",'FTE Pivot Table'!$A$3,"State","LA","Type",2,"Type2","Four-Year")*100</f>
        <v>0</v>
      </c>
      <c r="P77" s="331">
        <f>GETPIVOTDATA(" %G Cor",'FTE Pivot Table'!$A$3,"State","LA","Type",2,"Type2","Four-Year")*100</f>
        <v>0</v>
      </c>
      <c r="Q77" s="121">
        <f t="shared" si="9"/>
        <v>0</v>
      </c>
      <c r="R77" s="121">
        <f t="shared" si="10"/>
        <v>0</v>
      </c>
      <c r="S77" s="134"/>
      <c r="T77" s="274"/>
      <c r="U77" s="134"/>
      <c r="V77" s="134"/>
      <c r="W77" s="134"/>
      <c r="X77" s="134"/>
      <c r="Y77" s="134"/>
      <c r="Z77" s="134"/>
      <c r="AA77" s="134"/>
      <c r="AB77" s="134"/>
      <c r="AC77" s="134"/>
      <c r="AD77" s="134"/>
      <c r="AE77" s="134"/>
      <c r="AF77" s="134"/>
      <c r="AG77" s="134"/>
      <c r="AH77" s="134"/>
      <c r="AI77" s="134"/>
      <c r="AJ77" s="134"/>
      <c r="AK77" s="134"/>
      <c r="AL77" s="134"/>
      <c r="AM77" s="134"/>
      <c r="AN77" s="134"/>
      <c r="AO77" s="134"/>
    </row>
    <row r="78" spans="1:41" ht="15.75" customHeight="1">
      <c r="A78" s="122" t="s">
        <v>541</v>
      </c>
      <c r="B78" s="318">
        <f>GETPIVOTDATA(" %UG OnC Trad",'FTE Pivot Table'!$A$3,"State","MD","Type",2,"Type2","Four-Year")*100</f>
        <v>99.16077172840343</v>
      </c>
      <c r="C78" s="319">
        <f>GETPIVOTDATA(" %UG OffC Trad",'FTE Pivot Table'!$A$3,"State","MD","Type",2,"Type2","Four-Year")*100</f>
        <v>0.8392282715965679</v>
      </c>
      <c r="D78" s="340">
        <f t="shared" si="11"/>
        <v>0</v>
      </c>
      <c r="E78" s="318">
        <f>GETPIVOTDATA(" %UG EL Web",'FTE Pivot Table'!$A$3,"State","MD","Type",2,"Type2","Four-Year")*100</f>
        <v>0</v>
      </c>
      <c r="F78" s="318">
        <f>GETPIVOTDATA(" % UG EL CV",'FTE Pivot Table'!$A$3,"State","MD","Type",2,"Type2","Four-Year")*100</f>
        <v>0</v>
      </c>
      <c r="G78" s="319">
        <f>GETPIVOTDATA(" %UG EL O",'FTE Pivot Table'!$A$3,"State","MD","Type",2,"Type2","Four-Year")*100</f>
        <v>0</v>
      </c>
      <c r="H78" s="318">
        <f>GETPIVOTDATA(" %UG Cor",'FTE Pivot Table'!$A$3,"State","MD","Type",2,"Type2","Four-Year")*100</f>
        <v>0</v>
      </c>
      <c r="I78" s="122" t="s">
        <v>541</v>
      </c>
      <c r="J78" s="331">
        <f>GETPIVOTDATA(" %G OnC Trad",'FTE Pivot Table'!$A$3,"State","MD","Type",2,"Type2","Four-Year")*100</f>
        <v>86.54283548142531</v>
      </c>
      <c r="K78" s="332">
        <f>GETPIVOTDATA(" %G OffC Trad",'FTE Pivot Table'!$A$3,"State","MD","Type",2,"Type2","Four-Year")*100</f>
        <v>1.9332827899924183</v>
      </c>
      <c r="L78" s="333">
        <f t="shared" si="8"/>
        <v>11.52388172858226</v>
      </c>
      <c r="M78" s="331">
        <f>GETPIVOTDATA(" %G EL Web",'FTE Pivot Table'!$A$3,"State","MD","Type",2,"Type2","Four-Year")*100</f>
        <v>11.182714177407128</v>
      </c>
      <c r="N78" s="331">
        <f>GETPIVOTDATA(" % G EL CV",'FTE Pivot Table'!$A$3,"State","MD","Type",2,"Type2","Four-Year")*100</f>
        <v>0.3411675511751327</v>
      </c>
      <c r="O78" s="332">
        <f>GETPIVOTDATA(" %G EL O",'FTE Pivot Table'!$A$3,"State","MD","Type",2,"Type2","Four-Year")*100</f>
        <v>0</v>
      </c>
      <c r="P78" s="331">
        <f>GETPIVOTDATA(" %G Cor",'FTE Pivot Table'!$A$3,"State","MD","Type",2,"Type2","Four-Year")*100</f>
        <v>0</v>
      </c>
      <c r="Q78" s="121">
        <f t="shared" si="9"/>
        <v>100</v>
      </c>
      <c r="R78" s="121">
        <f t="shared" si="10"/>
        <v>100</v>
      </c>
      <c r="S78" s="134"/>
      <c r="U78" s="134"/>
      <c r="V78" s="134"/>
      <c r="W78" s="134"/>
      <c r="X78" s="134"/>
      <c r="Y78" s="134"/>
      <c r="Z78" s="134"/>
      <c r="AA78" s="134"/>
      <c r="AB78" s="134"/>
      <c r="AC78" s="134"/>
      <c r="AD78" s="134"/>
      <c r="AE78" s="134"/>
      <c r="AF78" s="134"/>
      <c r="AG78" s="134"/>
      <c r="AH78" s="134"/>
      <c r="AI78" s="134"/>
      <c r="AJ78" s="134"/>
      <c r="AK78" s="134"/>
      <c r="AL78" s="134"/>
      <c r="AM78" s="134"/>
      <c r="AN78" s="134"/>
      <c r="AO78" s="134"/>
    </row>
    <row r="79" spans="1:41" ht="15.75" customHeight="1">
      <c r="A79" s="122"/>
      <c r="B79" s="318"/>
      <c r="C79" s="319"/>
      <c r="D79" s="340">
        <f t="shared" si="11"/>
        <v>0</v>
      </c>
      <c r="E79" s="318"/>
      <c r="F79" s="318"/>
      <c r="G79" s="319"/>
      <c r="H79" s="318"/>
      <c r="I79" s="122"/>
      <c r="J79" s="331"/>
      <c r="K79" s="332"/>
      <c r="L79" s="333">
        <f t="shared" si="8"/>
        <v>0</v>
      </c>
      <c r="M79" s="331"/>
      <c r="N79" s="331"/>
      <c r="O79" s="332"/>
      <c r="P79" s="331"/>
      <c r="Q79" s="121">
        <f t="shared" si="9"/>
        <v>0</v>
      </c>
      <c r="R79" s="121">
        <f t="shared" si="10"/>
        <v>0</v>
      </c>
      <c r="S79" s="134"/>
      <c r="U79" s="134"/>
      <c r="V79" s="134"/>
      <c r="W79" s="134"/>
      <c r="X79" s="134"/>
      <c r="Y79" s="134"/>
      <c r="Z79" s="134"/>
      <c r="AA79" s="134"/>
      <c r="AB79" s="134"/>
      <c r="AC79" s="134"/>
      <c r="AD79" s="134"/>
      <c r="AE79" s="134"/>
      <c r="AF79" s="134"/>
      <c r="AG79" s="134"/>
      <c r="AH79" s="134"/>
      <c r="AI79" s="134"/>
      <c r="AJ79" s="134"/>
      <c r="AK79" s="134"/>
      <c r="AL79" s="134"/>
      <c r="AM79" s="134"/>
      <c r="AN79" s="134"/>
      <c r="AO79" s="134"/>
    </row>
    <row r="80" spans="1:41" ht="15.75" customHeight="1">
      <c r="A80" s="122" t="s">
        <v>168</v>
      </c>
      <c r="B80" s="318">
        <f>GETPIVOTDATA(" %UG OnC Trad",'FTE Pivot Table'!$A$3,"State","MS","Type",2,"Type2","Four-Year")*100</f>
        <v>93.40383281441754</v>
      </c>
      <c r="C80" s="319">
        <f>GETPIVOTDATA(" %UG OffC Trad",'FTE Pivot Table'!$A$3,"State","MS","Type",2,"Type2","Four-Year")*100</f>
        <v>3.2434279879959567</v>
      </c>
      <c r="D80" s="340">
        <f t="shared" si="11"/>
        <v>2.5888586208040287</v>
      </c>
      <c r="E80" s="318">
        <f>GETPIVOTDATA(" %UG EL Web",'FTE Pivot Table'!$A$3,"State","MS","Type",2,"Type2","Four-Year")*100</f>
        <v>1.651637577098292</v>
      </c>
      <c r="F80" s="318">
        <f>GETPIVOTDATA(" % UG EL CV",'FTE Pivot Table'!$A$3,"State","MS","Type",2,"Type2","Four-Year")*100</f>
        <v>0.9328947425346068</v>
      </c>
      <c r="G80" s="344">
        <f>GETPIVOTDATA(" %UG EL O",'FTE Pivot Table'!$A$3,"State","MS","Type",2,"Type2","Four-Year")*100</f>
        <v>0.004326301171129727</v>
      </c>
      <c r="H80" s="318">
        <f>GETPIVOTDATA(" %UG Cor",'FTE Pivot Table'!$A$3,"State","MS","Type",2,"Type2","Four-Year")*100</f>
        <v>0.7638805767824721</v>
      </c>
      <c r="I80" s="122" t="s">
        <v>168</v>
      </c>
      <c r="J80" s="331">
        <f>GETPIVOTDATA(" %G OnC Trad",'FTE Pivot Table'!$A$3,"State","MS","Type",2,"Type2","Four-Year")*100</f>
        <v>88.27887812635535</v>
      </c>
      <c r="K80" s="332">
        <f>GETPIVOTDATA(" %G OffC Trad",'FTE Pivot Table'!$A$3,"State","MS","Type",2,"Type2","Four-Year")*100</f>
        <v>6.263553563683678</v>
      </c>
      <c r="L80" s="333">
        <f t="shared" si="8"/>
        <v>5.4575683099609655</v>
      </c>
      <c r="M80" s="331">
        <f>GETPIVOTDATA(" %G EL Web",'FTE Pivot Table'!$A$3,"State","MS","Type",2,"Type2","Four-Year")*100</f>
        <v>3.3540552262541565</v>
      </c>
      <c r="N80" s="331">
        <f>GETPIVOTDATA(" % G EL CV",'FTE Pivot Table'!$A$3,"State","MS","Type",2,"Type2","Four-Year")*100</f>
        <v>1.423124186786179</v>
      </c>
      <c r="O80" s="332">
        <f>GETPIVOTDATA(" %G EL O",'FTE Pivot Table'!$A$3,"State","MS","Type",2,"Type2","Four-Year")*100</f>
        <v>0.6803888969206303</v>
      </c>
      <c r="P80" s="331">
        <f>GETPIVOTDATA(" %G Cor",'FTE Pivot Table'!$A$3,"State","MS","Type",2,"Type2","Four-Year")*100</f>
        <v>0</v>
      </c>
      <c r="Q80" s="121">
        <f t="shared" si="9"/>
        <v>100</v>
      </c>
      <c r="R80" s="121">
        <f t="shared" si="10"/>
        <v>99.99999999999999</v>
      </c>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row>
    <row r="81" spans="1:41" ht="15.75" customHeight="1">
      <c r="A81" s="122" t="s">
        <v>176</v>
      </c>
      <c r="B81" s="318">
        <f>GETPIVOTDATA(" %UG OnC Trad",'FTE Pivot Table'!$A$3,"State","NC","Type",2,"Type2","Four-Year")*100</f>
        <v>95.36951636160511</v>
      </c>
      <c r="C81" s="319">
        <f>GETPIVOTDATA(" %UG OffC Trad",'FTE Pivot Table'!$A$3,"State","NC","Type",2,"Type2","Four-Year")*100</f>
        <v>3.1557307837202355</v>
      </c>
      <c r="D81" s="340">
        <f t="shared" si="11"/>
        <v>1.4747528546746516</v>
      </c>
      <c r="E81" s="318">
        <f>GETPIVOTDATA(" %UG EL Web",'FTE Pivot Table'!$A$3,"State","NC","Type",2,"Type2","Four-Year")*100</f>
        <v>1.421166811727874</v>
      </c>
      <c r="F81" s="318">
        <f>GETPIVOTDATA(" % UG EL CV",'FTE Pivot Table'!$A$3,"State","NC","Type",2,"Type2","Four-Year")*100</f>
        <v>0.0535860429467777</v>
      </c>
      <c r="G81" s="319">
        <f>GETPIVOTDATA(" %UG EL O",'FTE Pivot Table'!$A$3,"State","NC","Type",2,"Type2","Four-Year")*100</f>
        <v>0</v>
      </c>
      <c r="H81" s="318">
        <f>GETPIVOTDATA(" %UG Cor",'FTE Pivot Table'!$A$3,"State","NC","Type",2,"Type2","Four-Year")*100</f>
        <v>0</v>
      </c>
      <c r="I81" s="122" t="s">
        <v>176</v>
      </c>
      <c r="J81" s="331">
        <f>GETPIVOTDATA(" %G OnC Trad",'FTE Pivot Table'!$A$3,"State","NC","Type",2,"Type2","Four-Year")*100</f>
        <v>84.60125664572257</v>
      </c>
      <c r="K81" s="332">
        <f>GETPIVOTDATA(" %G OffC Trad",'FTE Pivot Table'!$A$3,"State","NC","Type",2,"Type2","Four-Year")*100</f>
        <v>7.470597712260352</v>
      </c>
      <c r="L81" s="333">
        <f t="shared" si="8"/>
        <v>7.9281456420170775</v>
      </c>
      <c r="M81" s="331">
        <f>GETPIVOTDATA(" %G EL Web",'FTE Pivot Table'!$A$3,"State","NC","Type",2,"Type2","Four-Year")*100</f>
        <v>6.816497502819398</v>
      </c>
      <c r="N81" s="331">
        <f>GETPIVOTDATA(" % G EL CV",'FTE Pivot Table'!$A$3,"State","NC","Type",2,"Type2","Four-Year")*100</f>
        <v>1.11164813919768</v>
      </c>
      <c r="O81" s="332">
        <f>GETPIVOTDATA(" %G EL O",'FTE Pivot Table'!$A$3,"State","NC","Type",2,"Type2","Four-Year")*100</f>
        <v>0</v>
      </c>
      <c r="P81" s="331">
        <f>GETPIVOTDATA(" %G Cor",'FTE Pivot Table'!$A$3,"State","NC","Type",2,"Type2","Four-Year")*100</f>
        <v>0</v>
      </c>
      <c r="Q81" s="121">
        <f t="shared" si="9"/>
        <v>99.99999999999999</v>
      </c>
      <c r="R81" s="121">
        <f t="shared" si="10"/>
        <v>100</v>
      </c>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row>
    <row r="82" spans="1:41" ht="15.75" customHeight="1">
      <c r="A82" s="122" t="s">
        <v>169</v>
      </c>
      <c r="B82" s="318">
        <f>GETPIVOTDATA(" %UG OnC Trad",'FTE Pivot Table'!$A$3,"State","OK","Type",2,"Type2","Four-Year")*100</f>
        <v>0</v>
      </c>
      <c r="C82" s="319">
        <f>GETPIVOTDATA(" %UG OffC Trad",'FTE Pivot Table'!$A$3,"State","OK","Type",2,"Type2","Four-Year")*100</f>
        <v>0</v>
      </c>
      <c r="D82" s="340">
        <f t="shared" si="11"/>
        <v>0</v>
      </c>
      <c r="E82" s="318">
        <f>GETPIVOTDATA(" %UG EL Web",'FTE Pivot Table'!$A$3,"State","OK","Type",2,"Type2","Four-Year")*100</f>
        <v>0</v>
      </c>
      <c r="F82" s="318">
        <f>GETPIVOTDATA(" % UG EL CV",'FTE Pivot Table'!$A$3,"State","OK","Type",2,"Type2","Four-Year")*100</f>
        <v>0</v>
      </c>
      <c r="G82" s="319">
        <f>GETPIVOTDATA(" %UG EL O",'FTE Pivot Table'!$A$3,"State","OK","Type",2,"Type2","Four-Year")*100</f>
        <v>0</v>
      </c>
      <c r="H82" s="318">
        <f>GETPIVOTDATA(" %UG Cor",'FTE Pivot Table'!$A$3,"State","OK","Type",2,"Type2","Four-Year")*100</f>
        <v>0</v>
      </c>
      <c r="I82" s="122" t="s">
        <v>169</v>
      </c>
      <c r="J82" s="331">
        <f>GETPIVOTDATA(" %G OnC Trad",'FTE Pivot Table'!$A$3,"State","OK","Type",2,"Type2","Four-Year")*100</f>
        <v>0</v>
      </c>
      <c r="K82" s="332">
        <f>GETPIVOTDATA(" %G OffC Trad",'FTE Pivot Table'!$A$3,"State","OK","Type",2,"Type2","Four-Year")*100</f>
        <v>0</v>
      </c>
      <c r="L82" s="333">
        <f t="shared" si="8"/>
        <v>0</v>
      </c>
      <c r="M82" s="331">
        <f>GETPIVOTDATA(" %G EL Web",'FTE Pivot Table'!$A$3,"State","OK","Type",2,"Type2","Four-Year")*100</f>
        <v>0</v>
      </c>
      <c r="N82" s="331">
        <f>GETPIVOTDATA(" % G EL CV",'FTE Pivot Table'!$A$3,"State","OK","Type",2,"Type2","Four-Year")*100</f>
        <v>0</v>
      </c>
      <c r="O82" s="332">
        <f>GETPIVOTDATA(" %G EL O",'FTE Pivot Table'!$A$3,"State","OK","Type",2,"Type2","Four-Year")*100</f>
        <v>0</v>
      </c>
      <c r="P82" s="331">
        <f>GETPIVOTDATA(" %G Cor",'FTE Pivot Table'!$A$3,"State","OK","Type",2,"Type2","Four-Year")*100</f>
        <v>0</v>
      </c>
      <c r="Q82" s="121">
        <f t="shared" si="9"/>
        <v>0</v>
      </c>
      <c r="R82" s="121">
        <f t="shared" si="10"/>
        <v>0</v>
      </c>
      <c r="S82" s="134"/>
      <c r="T82" s="274"/>
      <c r="U82" s="134"/>
      <c r="V82" s="134"/>
      <c r="W82" s="134"/>
      <c r="X82" s="134"/>
      <c r="Y82" s="134"/>
      <c r="Z82" s="134"/>
      <c r="AA82" s="134"/>
      <c r="AB82" s="134"/>
      <c r="AC82" s="134"/>
      <c r="AD82" s="134"/>
      <c r="AE82" s="134"/>
      <c r="AF82" s="134"/>
      <c r="AG82" s="134"/>
      <c r="AH82" s="134"/>
      <c r="AI82" s="134"/>
      <c r="AJ82" s="134"/>
      <c r="AK82" s="134"/>
      <c r="AL82" s="134"/>
      <c r="AM82" s="134"/>
      <c r="AN82" s="134"/>
      <c r="AO82" s="134"/>
    </row>
    <row r="83" spans="1:41" ht="15.75" customHeight="1">
      <c r="A83" s="122" t="s">
        <v>542</v>
      </c>
      <c r="B83" s="318">
        <f>GETPIVOTDATA(" %UG OnC Trad",'FTE Pivot Table'!$A$3,"State","SC","Type",2,"Type2","Four-Year")*100</f>
        <v>0</v>
      </c>
      <c r="C83" s="319">
        <f>GETPIVOTDATA(" %UG OffC Trad",'FTE Pivot Table'!$A$3,"State","SC","Type",2,"Type2","Four-Year")*100</f>
        <v>0</v>
      </c>
      <c r="D83" s="340">
        <f t="shared" si="11"/>
        <v>0</v>
      </c>
      <c r="E83" s="318">
        <f>GETPIVOTDATA(" %UG EL Web",'FTE Pivot Table'!$A$3,"State","SC","Type",2,"Type2","Four-Year")*100</f>
        <v>0</v>
      </c>
      <c r="F83" s="318">
        <f>GETPIVOTDATA(" % UG EL CV",'FTE Pivot Table'!$A$3,"State","SC","Type",2,"Type2","Four-Year")*100</f>
        <v>0</v>
      </c>
      <c r="G83" s="319">
        <f>GETPIVOTDATA(" %UG EL O",'FTE Pivot Table'!$A$3,"State","SC","Type",2,"Type2","Four-Year")*100</f>
        <v>0</v>
      </c>
      <c r="H83" s="318">
        <f>GETPIVOTDATA(" %UG Cor",'FTE Pivot Table'!$A$3,"State","SC","Type",2,"Type2","Four-Year")*100</f>
        <v>0</v>
      </c>
      <c r="I83" s="122" t="s">
        <v>542</v>
      </c>
      <c r="J83" s="331">
        <f>GETPIVOTDATA(" %G OnC Trad",'FTE Pivot Table'!$A$3,"State","SC","Type",2,"Type2","Four-Year")*100</f>
        <v>0</v>
      </c>
      <c r="K83" s="332">
        <f>GETPIVOTDATA(" %G OffC Trad",'FTE Pivot Table'!$A$3,"State","SC","Type",2,"Type2","Four-Year")*100</f>
        <v>0</v>
      </c>
      <c r="L83" s="333">
        <f t="shared" si="8"/>
        <v>0</v>
      </c>
      <c r="M83" s="331">
        <f>GETPIVOTDATA(" %G EL Web",'FTE Pivot Table'!$A$3,"State","SC","Type",2,"Type2","Four-Year")*100</f>
        <v>0</v>
      </c>
      <c r="N83" s="331">
        <f>GETPIVOTDATA(" % G EL CV",'FTE Pivot Table'!$A$3,"State","SC","Type",2,"Type2","Four-Year")*100</f>
        <v>0</v>
      </c>
      <c r="O83" s="332">
        <f>GETPIVOTDATA(" %G EL O",'FTE Pivot Table'!$A$3,"State","SC","Type",2,"Type2","Four-Year")*100</f>
        <v>0</v>
      </c>
      <c r="P83" s="331">
        <f>GETPIVOTDATA(" %G Cor",'FTE Pivot Table'!$A$3,"State","SC","Type",2,"Type2","Four-Year")*100</f>
        <v>0</v>
      </c>
      <c r="Q83" s="121">
        <f t="shared" si="9"/>
        <v>0</v>
      </c>
      <c r="R83" s="121">
        <f t="shared" si="10"/>
        <v>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row>
    <row r="84" spans="1:41" ht="15.75" customHeight="1">
      <c r="A84" s="122"/>
      <c r="B84" s="318"/>
      <c r="C84" s="319"/>
      <c r="D84" s="340">
        <f t="shared" si="11"/>
        <v>0</v>
      </c>
      <c r="E84" s="318"/>
      <c r="F84" s="318"/>
      <c r="G84" s="319"/>
      <c r="H84" s="318"/>
      <c r="I84" s="122"/>
      <c r="J84" s="331"/>
      <c r="K84" s="332"/>
      <c r="L84" s="333">
        <f t="shared" si="8"/>
        <v>0</v>
      </c>
      <c r="M84" s="331"/>
      <c r="N84" s="331"/>
      <c r="O84" s="332"/>
      <c r="P84" s="331"/>
      <c r="Q84" s="121">
        <f t="shared" si="9"/>
        <v>0</v>
      </c>
      <c r="R84" s="121">
        <f t="shared" si="10"/>
        <v>0</v>
      </c>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row>
    <row r="85" spans="1:41" ht="15.75" customHeight="1">
      <c r="A85" s="122" t="s">
        <v>543</v>
      </c>
      <c r="B85" s="318">
        <f>GETPIVOTDATA(" %UG OnC Trad",'FTE Pivot Table'!$A$3,"State","TN","Type",2,"Type2","Four-Year")*100</f>
        <v>0</v>
      </c>
      <c r="C85" s="319">
        <f>GETPIVOTDATA(" %UG OffC Trad",'FTE Pivot Table'!$A$3,"State","TN","Type",2,"Type2","Four-Year")*100</f>
        <v>0</v>
      </c>
      <c r="D85" s="340">
        <f t="shared" si="11"/>
        <v>0</v>
      </c>
      <c r="E85" s="318">
        <f>GETPIVOTDATA(" %UG EL Web",'FTE Pivot Table'!$A$3,"State","TN","Type",2,"Type2","Four-Year")*100</f>
        <v>0</v>
      </c>
      <c r="F85" s="318">
        <f>GETPIVOTDATA(" % UG EL CV",'FTE Pivot Table'!$A$3,"State","TN","Type",2,"Type2","Four-Year")*100</f>
        <v>0</v>
      </c>
      <c r="G85" s="319">
        <f>GETPIVOTDATA(" %UG EL O",'FTE Pivot Table'!$A$3,"State","TN","Type",2,"Type2","Four-Year")*100</f>
        <v>0</v>
      </c>
      <c r="H85" s="318">
        <f>GETPIVOTDATA(" %UG Cor",'FTE Pivot Table'!$A$3,"State","TN","Type",2,"Type2","Four-Year")*100</f>
        <v>0</v>
      </c>
      <c r="I85" s="122" t="s">
        <v>543</v>
      </c>
      <c r="J85" s="331">
        <f>GETPIVOTDATA(" %G OnC Trad",'FTE Pivot Table'!$A$3,"State","TN","Type",2,"Type2","Four-Year")*100</f>
        <v>0</v>
      </c>
      <c r="K85" s="332">
        <f>GETPIVOTDATA(" %G OffC Trad",'FTE Pivot Table'!$A$3,"State","TN","Type",2,"Type2","Four-Year")*100</f>
        <v>0</v>
      </c>
      <c r="L85" s="333">
        <f t="shared" si="8"/>
        <v>0</v>
      </c>
      <c r="M85" s="331">
        <f>GETPIVOTDATA(" %G EL Web",'FTE Pivot Table'!$A$3,"State","TN","Type",2,"Type2","Four-Year")*100</f>
        <v>0</v>
      </c>
      <c r="N85" s="331">
        <f>GETPIVOTDATA(" % G EL CV",'FTE Pivot Table'!$A$3,"State","TN","Type",2,"Type2","Four-Year")*100</f>
        <v>0</v>
      </c>
      <c r="O85" s="332">
        <f>GETPIVOTDATA(" %G EL O",'FTE Pivot Table'!$A$3,"State","TN","Type",2,"Type2","Four-Year")*100</f>
        <v>0</v>
      </c>
      <c r="P85" s="331">
        <f>GETPIVOTDATA(" %G Cor",'FTE Pivot Table'!$A$3,"State","TN","Type",2,"Type2","Four-Year")*100</f>
        <v>0</v>
      </c>
      <c r="Q85" s="121">
        <f t="shared" si="9"/>
        <v>0</v>
      </c>
      <c r="R85" s="121">
        <f t="shared" si="10"/>
        <v>0</v>
      </c>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row>
    <row r="86" spans="1:41" ht="15.75" customHeight="1">
      <c r="A86" s="122" t="s">
        <v>277</v>
      </c>
      <c r="B86" s="318">
        <f>GETPIVOTDATA(" %UG OnC Trad",'FTE Pivot Table'!$A$3,"State","TX","Type",2,"Type2","Four-Year")*100</f>
        <v>97.29259204054256</v>
      </c>
      <c r="C86" s="319">
        <f>GETPIVOTDATA(" %UG OffC Trad",'FTE Pivot Table'!$A$3,"State","TX","Type",2,"Type2","Four-Year")*100</f>
        <v>0.6208973021314652</v>
      </c>
      <c r="D86" s="340">
        <f t="shared" si="11"/>
        <v>2.08651065732598</v>
      </c>
      <c r="E86" s="318">
        <f>GETPIVOTDATA(" %UG EL Web",'FTE Pivot Table'!$A$3,"State","TX","Type",2,"Type2","Four-Year")*100</f>
        <v>1.912654643016843</v>
      </c>
      <c r="F86" s="318">
        <f>GETPIVOTDATA(" % UG EL CV",'FTE Pivot Table'!$A$3,"State","TX","Type",2,"Type2","Four-Year")*100</f>
        <v>0.06904158592934864</v>
      </c>
      <c r="G86" s="319">
        <f>GETPIVOTDATA(" %UG EL O",'FTE Pivot Table'!$A$3,"State","TX","Type",2,"Type2","Four-Year")*100</f>
        <v>0.10481442837978834</v>
      </c>
      <c r="H86" s="318">
        <f>GETPIVOTDATA(" %UG Cor",'FTE Pivot Table'!$A$3,"State","TX","Type",2,"Type2","Four-Year")*100</f>
        <v>0</v>
      </c>
      <c r="I86" s="122" t="s">
        <v>277</v>
      </c>
      <c r="J86" s="331">
        <f>GETPIVOTDATA(" %G OnC Trad",'FTE Pivot Table'!$A$3,"State","TX","Type",2,"Type2","Four-Year")*100</f>
        <v>85.81636694921968</v>
      </c>
      <c r="K86" s="332">
        <f>GETPIVOTDATA(" %G OffC Trad",'FTE Pivot Table'!$A$3,"State","TX","Type",2,"Type2","Four-Year")*100</f>
        <v>2.7295413134754023</v>
      </c>
      <c r="L86" s="333">
        <f t="shared" si="8"/>
        <v>11.45409173730492</v>
      </c>
      <c r="M86" s="331">
        <f>GETPIVOTDATA(" %G EL Web",'FTE Pivot Table'!$A$3,"State","TX","Type",2,"Type2","Four-Year")*100</f>
        <v>10.071298423512635</v>
      </c>
      <c r="N86" s="331">
        <f>GETPIVOTDATA(" % G EL CV",'FTE Pivot Table'!$A$3,"State","TX","Type",2,"Type2","Four-Year")*100</f>
        <v>0.7066465974807891</v>
      </c>
      <c r="O86" s="332">
        <f>GETPIVOTDATA(" %G EL O",'FTE Pivot Table'!$A$3,"State","TX","Type",2,"Type2","Four-Year")*100</f>
        <v>0.6761467163114949</v>
      </c>
      <c r="P86" s="331">
        <f>GETPIVOTDATA(" %G Cor",'FTE Pivot Table'!$A$3,"State","TX","Type",2,"Type2","Four-Year")*100</f>
        <v>0</v>
      </c>
      <c r="Q86" s="121">
        <f t="shared" si="9"/>
        <v>100</v>
      </c>
      <c r="R86" s="121">
        <f t="shared" si="10"/>
        <v>100.00000000000001</v>
      </c>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row>
    <row r="87" spans="1:41" ht="15.75" customHeight="1">
      <c r="A87" s="122" t="s">
        <v>544</v>
      </c>
      <c r="B87" s="318">
        <f>GETPIVOTDATA(" %UG OnC Trad",'FTE Pivot Table'!$A$3,"State","VA","Type",2,"Type2","Four-Year")*100</f>
        <v>0</v>
      </c>
      <c r="C87" s="319">
        <f>GETPIVOTDATA(" %UG OffC Trad",'FTE Pivot Table'!$A$3,"State","VA","Type",2,"Type2","Four-Year")*100</f>
        <v>0</v>
      </c>
      <c r="D87" s="340">
        <f t="shared" si="11"/>
        <v>0</v>
      </c>
      <c r="E87" s="318">
        <f>GETPIVOTDATA(" %UG EL Web",'FTE Pivot Table'!$A$3,"State","VA","Type",2,"Type2","Four-Year")*100</f>
        <v>0</v>
      </c>
      <c r="F87" s="318">
        <f>GETPIVOTDATA(" % UG EL CV",'FTE Pivot Table'!$A$3,"State","VA","Type",2,"Type2","Four-Year")*100</f>
        <v>0</v>
      </c>
      <c r="G87" s="319">
        <f>GETPIVOTDATA(" %UG EL O",'FTE Pivot Table'!$A$3,"State","VA","Type",2,"Type2","Four-Year")*100</f>
        <v>0</v>
      </c>
      <c r="H87" s="318">
        <f>GETPIVOTDATA(" %UG Cor",'FTE Pivot Table'!$A$3,"State","VA","Type",2,"Type2","Four-Year")*100</f>
        <v>0</v>
      </c>
      <c r="I87" s="122" t="s">
        <v>544</v>
      </c>
      <c r="J87" s="331">
        <f>GETPIVOTDATA(" %G OnC Trad",'FTE Pivot Table'!$A$3,"State","VA","Type",2,"Type2","Four-Year")*100</f>
        <v>0</v>
      </c>
      <c r="K87" s="332">
        <f>GETPIVOTDATA(" %G OffC Trad",'FTE Pivot Table'!$A$3,"State","VA","Type",2,"Type2","Four-Year")*100</f>
        <v>0</v>
      </c>
      <c r="L87" s="333">
        <f t="shared" si="8"/>
        <v>0</v>
      </c>
      <c r="M87" s="331">
        <f>GETPIVOTDATA(" %G EL Web",'FTE Pivot Table'!$A$3,"State","VA","Type",2,"Type2","Four-Year")*100</f>
        <v>0</v>
      </c>
      <c r="N87" s="331">
        <f>GETPIVOTDATA(" % G EL CV",'FTE Pivot Table'!$A$3,"State","VA","Type",2,"Type2","Four-Year")*100</f>
        <v>0</v>
      </c>
      <c r="O87" s="332">
        <f>GETPIVOTDATA(" %G EL O",'FTE Pivot Table'!$A$3,"State","VA","Type",2,"Type2","Four-Year")*100</f>
        <v>0</v>
      </c>
      <c r="P87" s="331">
        <f>GETPIVOTDATA(" %G Cor",'FTE Pivot Table'!$A$3,"State","VA","Type",2,"Type2","Four-Year")*100</f>
        <v>0</v>
      </c>
      <c r="Q87" s="121">
        <f t="shared" si="9"/>
        <v>0</v>
      </c>
      <c r="R87" s="121">
        <f t="shared" si="10"/>
        <v>0</v>
      </c>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row>
    <row r="88" spans="1:41" ht="15.75" customHeight="1">
      <c r="A88" s="116" t="s">
        <v>170</v>
      </c>
      <c r="B88" s="317">
        <f>GETPIVOTDATA(" %UG OnC Trad",'FTE Pivot Table'!$A$3,"State","WV","Type",2,"Type2","Four-Year")*100</f>
        <v>0</v>
      </c>
      <c r="C88" s="320">
        <f>GETPIVOTDATA(" %UG OffC Trad",'FTE Pivot Table'!$A$3,"State","WV","Type",2,"Type2","Four-Year")*100</f>
        <v>0</v>
      </c>
      <c r="D88" s="342">
        <f t="shared" si="11"/>
        <v>0</v>
      </c>
      <c r="E88" s="317">
        <f>GETPIVOTDATA(" %UG EL Web",'FTE Pivot Table'!$A$3,"State","WV","Type",2,"Type2","Four-Year")*100</f>
        <v>0</v>
      </c>
      <c r="F88" s="317">
        <f>GETPIVOTDATA(" % UG EL CV",'FTE Pivot Table'!$A$3,"State","WV","Type",2,"Type2","Four-Year")*100</f>
        <v>0</v>
      </c>
      <c r="G88" s="320">
        <f>GETPIVOTDATA(" %UG EL O",'FTE Pivot Table'!$A$3,"State","WV","Type",2,"Type2","Four-Year")*100</f>
        <v>0</v>
      </c>
      <c r="H88" s="317">
        <f>GETPIVOTDATA(" %UG Cor",'FTE Pivot Table'!$A$3,"State","WV","Type",2,"Type2","Four-Year")*100</f>
        <v>0</v>
      </c>
      <c r="I88" s="116" t="s">
        <v>170</v>
      </c>
      <c r="J88" s="337">
        <f>GETPIVOTDATA(" %G OnC Trad",'FTE Pivot Table'!$A$3,"State","WV","Type",2,"Type2","Four-Year")*100</f>
        <v>0</v>
      </c>
      <c r="K88" s="338">
        <f>GETPIVOTDATA(" %G OffC Trad",'FTE Pivot Table'!$A$3,"State","WV","Type",2,"Type2","Four-Year")*100</f>
        <v>0</v>
      </c>
      <c r="L88" s="339">
        <f t="shared" si="8"/>
        <v>0</v>
      </c>
      <c r="M88" s="337">
        <f>GETPIVOTDATA(" %G EL Web",'FTE Pivot Table'!$A$3,"State","WV","Type",2,"Type2","Four-Year")*100</f>
        <v>0</v>
      </c>
      <c r="N88" s="337">
        <f>GETPIVOTDATA(" % G EL CV",'FTE Pivot Table'!$A$3,"State","WV","Type",2,"Type2","Four-Year")*100</f>
        <v>0</v>
      </c>
      <c r="O88" s="338">
        <f>GETPIVOTDATA(" %G EL O",'FTE Pivot Table'!$A$3,"State","WV","Type",2,"Type2","Four-Year")*100</f>
        <v>0</v>
      </c>
      <c r="P88" s="337">
        <f>GETPIVOTDATA(" %G Cor",'FTE Pivot Table'!$A$3,"State","WV","Type",2,"Type2","Four-Year")*100</f>
        <v>0</v>
      </c>
      <c r="Q88" s="121">
        <f t="shared" si="9"/>
        <v>0</v>
      </c>
      <c r="R88" s="121">
        <f t="shared" si="10"/>
        <v>0</v>
      </c>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row>
    <row r="89" spans="1:41" s="279" customFormat="1" ht="18" customHeight="1">
      <c r="A89" s="347" t="s">
        <v>634</v>
      </c>
      <c r="B89" s="283"/>
      <c r="C89" s="283"/>
      <c r="D89" s="284"/>
      <c r="E89" s="283"/>
      <c r="F89" s="284"/>
      <c r="G89" s="284"/>
      <c r="H89" s="283"/>
      <c r="I89" s="347" t="s">
        <v>634</v>
      </c>
      <c r="J89" s="283"/>
      <c r="K89" s="283"/>
      <c r="L89" s="284"/>
      <c r="M89" s="283"/>
      <c r="N89" s="284"/>
      <c r="O89" s="284"/>
      <c r="P89" s="283"/>
      <c r="Q89" s="283"/>
      <c r="R89" s="283"/>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row>
    <row r="90" spans="1:18" s="279" customFormat="1" ht="13.5" customHeight="1">
      <c r="A90" s="347"/>
      <c r="B90" s="278"/>
      <c r="H90" s="351" t="s">
        <v>642</v>
      </c>
      <c r="I90" s="347"/>
      <c r="P90" s="351" t="s">
        <v>642</v>
      </c>
      <c r="Q90" s="281"/>
      <c r="R90" s="282"/>
    </row>
    <row r="91" spans="1:41" s="279" customFormat="1" ht="11.25">
      <c r="A91" s="277"/>
      <c r="B91" s="283"/>
      <c r="C91" s="283"/>
      <c r="D91" s="284"/>
      <c r="E91" s="283"/>
      <c r="F91" s="284"/>
      <c r="G91" s="284"/>
      <c r="H91" s="283"/>
      <c r="I91" s="277"/>
      <c r="J91" s="283"/>
      <c r="K91" s="283"/>
      <c r="L91" s="284"/>
      <c r="M91" s="283"/>
      <c r="N91" s="284"/>
      <c r="O91" s="284"/>
      <c r="P91" s="283"/>
      <c r="Q91" s="283"/>
      <c r="R91" s="283"/>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row>
    <row r="92" spans="1:18" ht="18">
      <c r="A92" s="113" t="s">
        <v>580</v>
      </c>
      <c r="B92" s="114"/>
      <c r="C92" s="114"/>
      <c r="D92" s="114"/>
      <c r="E92" s="114"/>
      <c r="F92" s="114"/>
      <c r="G92" s="114"/>
      <c r="H92" s="132"/>
      <c r="I92" s="113" t="s">
        <v>596</v>
      </c>
      <c r="J92" s="115"/>
      <c r="K92" s="115"/>
      <c r="L92" s="114"/>
      <c r="M92" s="115"/>
      <c r="N92" s="115"/>
      <c r="O92" s="115"/>
      <c r="P92" s="115"/>
      <c r="Q92" s="270"/>
      <c r="R92" s="271"/>
    </row>
    <row r="93" spans="1:18" ht="12.75">
      <c r="A93" s="293"/>
      <c r="B93" s="115"/>
      <c r="C93" s="115"/>
      <c r="D93" s="115"/>
      <c r="E93" s="115"/>
      <c r="F93" s="115"/>
      <c r="G93" s="115"/>
      <c r="H93" s="127"/>
      <c r="I93" s="293"/>
      <c r="J93" s="115"/>
      <c r="K93" s="115"/>
      <c r="L93" s="115"/>
      <c r="M93" s="115"/>
      <c r="N93" s="115"/>
      <c r="O93" s="115"/>
      <c r="P93" s="115"/>
      <c r="R93" s="273"/>
    </row>
    <row r="94" spans="1:18" ht="15.75">
      <c r="A94" s="124" t="s">
        <v>617</v>
      </c>
      <c r="B94" s="115"/>
      <c r="C94" s="115"/>
      <c r="D94" s="115"/>
      <c r="E94" s="115"/>
      <c r="F94" s="115"/>
      <c r="G94" s="115"/>
      <c r="H94" s="127"/>
      <c r="I94" s="124" t="s">
        <v>618</v>
      </c>
      <c r="J94" s="115"/>
      <c r="K94" s="115"/>
      <c r="L94" s="115"/>
      <c r="M94" s="115"/>
      <c r="N94" s="115"/>
      <c r="O94" s="115"/>
      <c r="P94" s="115"/>
      <c r="R94" s="273" t="s">
        <v>2</v>
      </c>
    </row>
    <row r="95" spans="1:18" ht="15.75">
      <c r="A95" s="124" t="s">
        <v>549</v>
      </c>
      <c r="B95" s="115"/>
      <c r="C95" s="115"/>
      <c r="D95" s="115"/>
      <c r="E95" s="115"/>
      <c r="F95" s="115"/>
      <c r="G95" s="115"/>
      <c r="H95" s="127"/>
      <c r="I95" s="124" t="s">
        <v>549</v>
      </c>
      <c r="J95" s="115"/>
      <c r="K95" s="115"/>
      <c r="L95" s="115"/>
      <c r="M95" s="115"/>
      <c r="N95" s="115"/>
      <c r="O95" s="115"/>
      <c r="P95" s="115"/>
      <c r="R95" s="273" t="s">
        <v>2</v>
      </c>
    </row>
    <row r="96" spans="1:16" ht="12.75">
      <c r="A96" s="116"/>
      <c r="B96" s="117"/>
      <c r="C96" s="117"/>
      <c r="D96" s="117"/>
      <c r="E96" s="117"/>
      <c r="F96" s="117"/>
      <c r="G96" s="117"/>
      <c r="H96" s="117"/>
      <c r="I96" s="118"/>
      <c r="L96" s="119"/>
      <c r="P96" s="116"/>
    </row>
    <row r="97" spans="1:18" s="305" customFormat="1" ht="12">
      <c r="A97" s="300"/>
      <c r="B97" s="371" t="s">
        <v>279</v>
      </c>
      <c r="C97" s="371"/>
      <c r="D97" s="371"/>
      <c r="E97" s="371"/>
      <c r="F97" s="371"/>
      <c r="G97" s="371"/>
      <c r="H97" s="371"/>
      <c r="I97" s="300"/>
      <c r="J97" s="301" t="s">
        <v>279</v>
      </c>
      <c r="K97" s="301"/>
      <c r="L97" s="301"/>
      <c r="M97" s="301"/>
      <c r="N97" s="301"/>
      <c r="O97" s="301"/>
      <c r="P97" s="302"/>
      <c r="Q97" s="303"/>
      <c r="R97" s="304"/>
    </row>
    <row r="98" spans="1:18" s="305" customFormat="1" ht="12">
      <c r="A98" s="300"/>
      <c r="B98" s="301" t="s">
        <v>173</v>
      </c>
      <c r="C98" s="301"/>
      <c r="D98" s="370" t="s">
        <v>629</v>
      </c>
      <c r="E98" s="371"/>
      <c r="F98" s="371"/>
      <c r="G98" s="371"/>
      <c r="H98" s="306" t="s">
        <v>2</v>
      </c>
      <c r="I98" s="300"/>
      <c r="J98" s="301" t="s">
        <v>173</v>
      </c>
      <c r="K98" s="301"/>
      <c r="L98" s="370" t="s">
        <v>629</v>
      </c>
      <c r="M98" s="371"/>
      <c r="N98" s="371"/>
      <c r="O98" s="371"/>
      <c r="P98" s="306" t="s">
        <v>2</v>
      </c>
      <c r="Q98" s="303"/>
      <c r="R98" s="304"/>
    </row>
    <row r="99" spans="1:20" s="305" customFormat="1" ht="40.5" customHeight="1">
      <c r="A99" s="300"/>
      <c r="B99" s="307" t="s">
        <v>612</v>
      </c>
      <c r="C99" s="308" t="s">
        <v>611</v>
      </c>
      <c r="D99" s="309" t="s">
        <v>626</v>
      </c>
      <c r="E99" s="310" t="s">
        <v>0</v>
      </c>
      <c r="F99" s="307" t="s">
        <v>174</v>
      </c>
      <c r="G99" s="311" t="s">
        <v>631</v>
      </c>
      <c r="H99" s="312" t="s">
        <v>630</v>
      </c>
      <c r="I99" s="300"/>
      <c r="J99" s="307" t="s">
        <v>612</v>
      </c>
      <c r="K99" s="308" t="s">
        <v>611</v>
      </c>
      <c r="L99" s="309" t="s">
        <v>626</v>
      </c>
      <c r="M99" s="310" t="s">
        <v>0</v>
      </c>
      <c r="N99" s="307" t="s">
        <v>174</v>
      </c>
      <c r="O99" s="311" t="s">
        <v>631</v>
      </c>
      <c r="P99" s="312" t="s">
        <v>630</v>
      </c>
      <c r="Q99" s="313"/>
      <c r="R99" s="314"/>
      <c r="T99" s="315"/>
    </row>
    <row r="100" spans="1:41" ht="15.75" customHeight="1">
      <c r="A100" s="123" t="s">
        <v>534</v>
      </c>
      <c r="B100" s="318">
        <f>(GETPIVOTDATA(" %UG OnC Trad",'FTE Pivot Table'!$A$3,"State","AL","Type",3,"Type2","Four-Year"))*100</f>
        <v>0</v>
      </c>
      <c r="C100" s="319">
        <f>(GETPIVOTDATA(" %UG OffC Trad",'FTE Pivot Table'!$A$3,"State","AL","Type",3,"Type2","Four-Year"))*100</f>
        <v>0</v>
      </c>
      <c r="D100" s="340">
        <f aca="true" t="shared" si="12" ref="D100:D118">SUM(E100:G100)</f>
        <v>0</v>
      </c>
      <c r="E100" s="318">
        <f>(GETPIVOTDATA(" %UG EL Web",'FTE Pivot Table'!$A$3,"State","AL","Type",3,"Type2","Four-Year"))*100</f>
        <v>0</v>
      </c>
      <c r="F100" s="341">
        <f>(GETPIVOTDATA(" % UG EL CV",'FTE Pivot Table'!$A$3,"State","AL","Type",3,"Type2","Four-Year"))*100</f>
        <v>0</v>
      </c>
      <c r="G100" s="319">
        <f>(GETPIVOTDATA(" %UG EL O",'FTE Pivot Table'!$A$3,"State","AL","Type",3,"Type2","Four-Year"))*100</f>
        <v>0</v>
      </c>
      <c r="H100" s="318">
        <f>(GETPIVOTDATA(" %UG Cor",'FTE Pivot Table'!$A$3,"State","AL","Type",3,"Type2","Four-Year"))*100</f>
        <v>0</v>
      </c>
      <c r="I100" s="123" t="s">
        <v>534</v>
      </c>
      <c r="J100" s="331">
        <f>(GETPIVOTDATA(" %G OnC Trad",'FTE Pivot Table'!$A$3,"State","AL","Type",3,"Type2","Four-Year"))*100</f>
        <v>0</v>
      </c>
      <c r="K100" s="332">
        <f>(GETPIVOTDATA(" %G OffC Trad",'FTE Pivot Table'!$A$3,"State","AL","Type",3,"Type2","Four-Year"))*100</f>
        <v>0</v>
      </c>
      <c r="L100" s="333">
        <f aca="true" t="shared" si="13" ref="L100:L118">SUM(M100:O100)</f>
        <v>0</v>
      </c>
      <c r="M100" s="331">
        <f>(GETPIVOTDATA(" %G EL Web",'FTE Pivot Table'!$A$3,"State","AL","Type",3,"Type2","Four-Year"))*100</f>
        <v>0</v>
      </c>
      <c r="N100" s="334">
        <f>(GETPIVOTDATA(" % G EL CV",'FTE Pivot Table'!$A$3,"State","AL","Type",3,"Type2","Four-Year"))*100</f>
        <v>0</v>
      </c>
      <c r="O100" s="332">
        <f>(GETPIVOTDATA(" %G EL O",'FTE Pivot Table'!$A$3,"State","AL","Type",3,"Type2","Four-Year"))*100</f>
        <v>0</v>
      </c>
      <c r="P100" s="331">
        <f>(GETPIVOTDATA(" %G Cor",'FTE Pivot Table'!$A$3,"State","AL","Type",3,"Type2","Four-Year"))*100</f>
        <v>0</v>
      </c>
      <c r="Q100" s="121">
        <f aca="true" t="shared" si="14" ref="Q100:Q118">SUM(B100,C100,D100,H100)</f>
        <v>0</v>
      </c>
      <c r="R100" s="121">
        <f aca="true" t="shared" si="15" ref="R100:R118">SUM(J100,K100,L100,P100)</f>
        <v>0</v>
      </c>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row>
    <row r="101" spans="1:41" ht="15.75" customHeight="1">
      <c r="A101" s="122" t="s">
        <v>535</v>
      </c>
      <c r="B101" s="318">
        <f>(GETPIVOTDATA(" %UG OnC Trad",'FTE Pivot Table'!$A$3,"State","AR","Type",3,"Type2","Four-Year"))*100</f>
        <v>89.54943750674367</v>
      </c>
      <c r="C101" s="319">
        <f>(GETPIVOTDATA(" %UG OffC Trad",'FTE Pivot Table'!$A$3,"State","AR","Type",3,"Type2","Four-Year"))*100</f>
        <v>4.4688541719906185</v>
      </c>
      <c r="D101" s="340">
        <f t="shared" si="12"/>
        <v>5.9817083212657085</v>
      </c>
      <c r="E101" s="318">
        <f>(GETPIVOTDATA(" %UG EL Web",'FTE Pivot Table'!$A$3,"State","AR","Type",3,"Type2","Four-Year"))*100</f>
        <v>4.185903879244254</v>
      </c>
      <c r="F101" s="318">
        <f>(GETPIVOTDATA(" % UG EL CV",'FTE Pivot Table'!$A$3,"State","AR","Type",3,"Type2","Four-Year"))*100</f>
        <v>0.5335309584249053</v>
      </c>
      <c r="G101" s="319">
        <f>(GETPIVOTDATA(" %UG EL O",'FTE Pivot Table'!$A$3,"State","AR","Type",3,"Type2","Four-Year"))*100</f>
        <v>1.2622734835965495</v>
      </c>
      <c r="H101" s="318">
        <f>(GETPIVOTDATA(" %UG Cor",'FTE Pivot Table'!$A$3,"State","AR","Type",3,"Type2","Four-Year"))*100</f>
        <v>0</v>
      </c>
      <c r="I101" s="122" t="s">
        <v>535</v>
      </c>
      <c r="J101" s="331">
        <f>(GETPIVOTDATA(" %G OnC Trad",'FTE Pivot Table'!$A$3,"State","AR","Type",3,"Type2","Four-Year"))*100</f>
        <v>73.15575862773126</v>
      </c>
      <c r="K101" s="332">
        <f>(GETPIVOTDATA(" %G OffC Trad",'FTE Pivot Table'!$A$3,"State","AR","Type",3,"Type2","Four-Year"))*100</f>
        <v>17.379262813967735</v>
      </c>
      <c r="L101" s="333">
        <f t="shared" si="13"/>
        <v>9.464978558301</v>
      </c>
      <c r="M101" s="331">
        <f>(GETPIVOTDATA(" %G EL Web",'FTE Pivot Table'!$A$3,"State","AR","Type",3,"Type2","Four-Year"))*100</f>
        <v>7.227639371043495</v>
      </c>
      <c r="N101" s="331">
        <f>(GETPIVOTDATA(" % G EL CV",'FTE Pivot Table'!$A$3,"State","AR","Type",3,"Type2","Four-Year"))*100</f>
        <v>1.9182662854809067</v>
      </c>
      <c r="O101" s="332">
        <f>(GETPIVOTDATA(" %G EL O",'FTE Pivot Table'!$A$3,"State","AR","Type",3,"Type2","Four-Year"))*100</f>
        <v>0.3190729017765979</v>
      </c>
      <c r="P101" s="331">
        <f>(GETPIVOTDATA(" %G Cor",'FTE Pivot Table'!$A$3,"State","AR","Type",3,"Type2","Four-Year"))*100</f>
        <v>0</v>
      </c>
      <c r="Q101" s="121">
        <f t="shared" si="14"/>
        <v>100</v>
      </c>
      <c r="R101" s="121">
        <f t="shared" si="15"/>
        <v>100</v>
      </c>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row>
    <row r="102" spans="1:41" ht="15.75" customHeight="1">
      <c r="A102" s="122" t="s">
        <v>536</v>
      </c>
      <c r="B102" s="318">
        <f>(GETPIVOTDATA(" %UG OnC Trad",'FTE Pivot Table'!$A$3,"State","DE","Type",3,"Type2","Four-Year"))*100</f>
        <v>0</v>
      </c>
      <c r="C102" s="319">
        <f>(GETPIVOTDATA(" %UG OffC Trad",'FTE Pivot Table'!$A$3,"State","DE","Type",3,"Type2","Four-Year"))*100</f>
        <v>0</v>
      </c>
      <c r="D102" s="340">
        <f t="shared" si="12"/>
        <v>0</v>
      </c>
      <c r="E102" s="318">
        <f>(GETPIVOTDATA(" %UG EL Web",'FTE Pivot Table'!$A$3,"State","DE","Type",3,"Type2","Four-Year"))*100</f>
        <v>0</v>
      </c>
      <c r="F102" s="318">
        <f>(GETPIVOTDATA(" % UG EL CV",'FTE Pivot Table'!$A$3,"State","DE","Type",3,"Type2","Four-Year"))*100</f>
        <v>0</v>
      </c>
      <c r="G102" s="319">
        <f>(GETPIVOTDATA(" %UG EL O",'FTE Pivot Table'!$A$3,"State","DE","Type",3,"Type2","Four-Year"))*100</f>
        <v>0</v>
      </c>
      <c r="H102" s="318">
        <f>(GETPIVOTDATA(" %UG Cor",'FTE Pivot Table'!$A$3,"State","DE","Type",3,"Type2","Four-Year"))*100</f>
        <v>0</v>
      </c>
      <c r="I102" s="122" t="s">
        <v>536</v>
      </c>
      <c r="J102" s="331">
        <f>(GETPIVOTDATA(" %G OnC Trad",'FTE Pivot Table'!$A$3,"State","DE","Type",3,"Type2","Four-Year"))*100</f>
        <v>0</v>
      </c>
      <c r="K102" s="332">
        <f>(GETPIVOTDATA(" %G OffC Trad",'FTE Pivot Table'!$A$3,"State","DE","Type",3,"Type2","Four-Year"))*100</f>
        <v>0</v>
      </c>
      <c r="L102" s="333">
        <f t="shared" si="13"/>
        <v>0</v>
      </c>
      <c r="M102" s="331">
        <f>(GETPIVOTDATA(" %G EL Web",'FTE Pivot Table'!$A$3,"State","DE","Type",3,"Type2","Four-Year"))*100</f>
        <v>0</v>
      </c>
      <c r="N102" s="331">
        <f>(GETPIVOTDATA(" % G EL CV",'FTE Pivot Table'!$A$3,"State","DE","Type",3,"Type2","Four-Year"))*100</f>
        <v>0</v>
      </c>
      <c r="O102" s="332">
        <f>(GETPIVOTDATA(" %G EL O",'FTE Pivot Table'!$A$3,"State","DE","Type",3,"Type2","Four-Year"))*100</f>
        <v>0</v>
      </c>
      <c r="P102" s="331">
        <f>(GETPIVOTDATA(" %G Cor",'FTE Pivot Table'!$A$3,"State","DE","Type",3,"Type2","Four-Year"))*100</f>
        <v>0</v>
      </c>
      <c r="Q102" s="121">
        <f t="shared" si="14"/>
        <v>0</v>
      </c>
      <c r="R102" s="121">
        <f t="shared" si="15"/>
        <v>0</v>
      </c>
      <c r="S102" s="134"/>
      <c r="T102" s="27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row>
    <row r="103" spans="1:41" ht="15.75" customHeight="1">
      <c r="A103" s="122" t="s">
        <v>537</v>
      </c>
      <c r="B103" s="318">
        <f>(GETPIVOTDATA(" %UG OnC Trad",'FTE Pivot Table'!$A$3,"State","FL","Type",3,"Type2","Four-Year"))*100</f>
        <v>94.52030732102217</v>
      </c>
      <c r="C103" s="319">
        <f>(GETPIVOTDATA(" %UG OffC Trad",'FTE Pivot Table'!$A$3,"State","FL","Type",3,"Type2","Four-Year"))*100</f>
        <v>3.634799167035798</v>
      </c>
      <c r="D103" s="340">
        <f t="shared" si="12"/>
        <v>1.8448935119420389</v>
      </c>
      <c r="E103" s="318">
        <f>(GETPIVOTDATA(" %UG EL Web",'FTE Pivot Table'!$A$3,"State","FL","Type",3,"Type2","Four-Year"))*100</f>
        <v>1.570717947934646</v>
      </c>
      <c r="F103" s="321">
        <f>(GETPIVOTDATA(" % UG EL CV",'FTE Pivot Table'!$A$3,"State","FL","Type",3,"Type2","Four-Year"))*100</f>
        <v>0.011837663627060136</v>
      </c>
      <c r="G103" s="319">
        <f>(GETPIVOTDATA(" %UG EL O",'FTE Pivot Table'!$A$3,"State","FL","Type",3,"Type2","Four-Year"))*100</f>
        <v>0.26233790038033267</v>
      </c>
      <c r="H103" s="318">
        <f>(GETPIVOTDATA(" %UG Cor",'FTE Pivot Table'!$A$3,"State","FL","Type",3,"Type2","Four-Year"))*100</f>
        <v>0</v>
      </c>
      <c r="I103" s="122" t="s">
        <v>537</v>
      </c>
      <c r="J103" s="331">
        <f>(GETPIVOTDATA(" %G OnC Trad",'FTE Pivot Table'!$A$3,"State","FL","Type",3,"Type2","Four-Year"))*100</f>
        <v>80.59979647860659</v>
      </c>
      <c r="K103" s="332">
        <f>(GETPIVOTDATA(" %G OffC Trad",'FTE Pivot Table'!$A$3,"State","FL","Type",3,"Type2","Four-Year"))*100</f>
        <v>15.533297046573269</v>
      </c>
      <c r="L103" s="333">
        <f t="shared" si="13"/>
        <v>3.8669064748201434</v>
      </c>
      <c r="M103" s="331">
        <f>(GETPIVOTDATA(" %G EL Web",'FTE Pivot Table'!$A$3,"State","FL","Type",3,"Type2","Four-Year"))*100</f>
        <v>3.398333964407421</v>
      </c>
      <c r="N103" s="331">
        <f>(GETPIVOTDATA(" % G EL CV",'FTE Pivot Table'!$A$3,"State","FL","Type",3,"Type2","Four-Year"))*100</f>
        <v>0</v>
      </c>
      <c r="O103" s="332">
        <f>(GETPIVOTDATA(" %G EL O",'FTE Pivot Table'!$A$3,"State","FL","Type",3,"Type2","Four-Year"))*100</f>
        <v>0.4685725104127224</v>
      </c>
      <c r="P103" s="331">
        <f>(GETPIVOTDATA(" %G Cor",'FTE Pivot Table'!$A$3,"State","FL","Type",3,"Type2","Four-Year"))*100</f>
        <v>0</v>
      </c>
      <c r="Q103" s="121">
        <f t="shared" si="14"/>
        <v>100</v>
      </c>
      <c r="R103" s="121">
        <f t="shared" si="15"/>
        <v>100</v>
      </c>
      <c r="S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row>
    <row r="104" spans="1:41" ht="15.75" customHeight="1">
      <c r="A104" s="122"/>
      <c r="B104" s="318"/>
      <c r="C104" s="319"/>
      <c r="D104" s="340">
        <f t="shared" si="12"/>
        <v>0</v>
      </c>
      <c r="E104" s="318"/>
      <c r="F104" s="318"/>
      <c r="G104" s="319"/>
      <c r="H104" s="318"/>
      <c r="I104" s="122"/>
      <c r="J104" s="331"/>
      <c r="K104" s="332"/>
      <c r="L104" s="333">
        <f t="shared" si="13"/>
        <v>0</v>
      </c>
      <c r="M104" s="331"/>
      <c r="N104" s="331"/>
      <c r="O104" s="332"/>
      <c r="P104" s="331"/>
      <c r="Q104" s="121">
        <f t="shared" si="14"/>
        <v>0</v>
      </c>
      <c r="R104" s="121">
        <f t="shared" si="15"/>
        <v>0</v>
      </c>
      <c r="S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row>
    <row r="105" spans="1:41" ht="15.75" customHeight="1">
      <c r="A105" s="122" t="s">
        <v>538</v>
      </c>
      <c r="B105" s="318">
        <f>(GETPIVOTDATA(" %UG OnC Trad",'FTE Pivot Table'!$A$3,"State","GA","Type",3,"Type2","Four-Year"))*100</f>
        <v>96.61242639893212</v>
      </c>
      <c r="C105" s="319">
        <f>(GETPIVOTDATA(" %UG OffC Trad",'FTE Pivot Table'!$A$3,"State","GA","Type",3,"Type2","Four-Year"))*100</f>
        <v>1.4105199367788324</v>
      </c>
      <c r="D105" s="340">
        <f t="shared" si="12"/>
        <v>1.9770536642890486</v>
      </c>
      <c r="E105" s="318">
        <f>(GETPIVOTDATA(" %UG EL Web",'FTE Pivot Table'!$A$3,"State","GA","Type",3,"Type2","Four-Year"))*100</f>
        <v>1.7746148995585984</v>
      </c>
      <c r="F105" s="318">
        <f>(GETPIVOTDATA(" % UG EL CV",'FTE Pivot Table'!$A$3,"State","GA","Type",3,"Type2","Four-Year"))*100</f>
        <v>0.20243876473045017</v>
      </c>
      <c r="G105" s="319">
        <f>(GETPIVOTDATA(" %UG EL O",'FTE Pivot Table'!$A$3,"State","GA","Type",3,"Type2","Four-Year"))*100</f>
        <v>0</v>
      </c>
      <c r="H105" s="318">
        <f>(GETPIVOTDATA(" %UG Cor",'FTE Pivot Table'!$A$3,"State","GA","Type",3,"Type2","Four-Year"))*100</f>
        <v>0</v>
      </c>
      <c r="I105" s="122" t="s">
        <v>538</v>
      </c>
      <c r="J105" s="331">
        <f>(GETPIVOTDATA(" %G OnC Trad",'FTE Pivot Table'!$A$3,"State","GA","Type",3,"Type2","Four-Year"))*100</f>
        <v>60.43995062813858</v>
      </c>
      <c r="K105" s="332">
        <f>(GETPIVOTDATA(" %G OffC Trad",'FTE Pivot Table'!$A$3,"State","GA","Type",3,"Type2","Four-Year"))*100</f>
        <v>18.255753005427522</v>
      </c>
      <c r="L105" s="333">
        <f t="shared" si="13"/>
        <v>21.304296366433896</v>
      </c>
      <c r="M105" s="331">
        <f>(GETPIVOTDATA(" %G EL Web",'FTE Pivot Table'!$A$3,"State","GA","Type",3,"Type2","Four-Year"))*100</f>
        <v>19.30226738582757</v>
      </c>
      <c r="N105" s="331">
        <f>(GETPIVOTDATA(" % G EL CV",'FTE Pivot Table'!$A$3,"State","GA","Type",3,"Type2","Four-Year"))*100</f>
        <v>1.9842754003009653</v>
      </c>
      <c r="O105" s="336">
        <f>(GETPIVOTDATA(" %G EL O",'FTE Pivot Table'!$A$3,"State","GA","Type",3,"Type2","Four-Year"))*100</f>
        <v>0.01775358030536158</v>
      </c>
      <c r="P105" s="331">
        <f>(GETPIVOTDATA(" %G Cor",'FTE Pivot Table'!$A$3,"State","GA","Type",3,"Type2","Four-Year"))*100</f>
        <v>0</v>
      </c>
      <c r="Q105" s="121">
        <f t="shared" si="14"/>
        <v>99.99999999999999</v>
      </c>
      <c r="R105" s="121">
        <f t="shared" si="15"/>
        <v>100</v>
      </c>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row>
    <row r="106" spans="1:41" ht="15.75" customHeight="1">
      <c r="A106" s="122" t="s">
        <v>539</v>
      </c>
      <c r="B106" s="318">
        <f>(GETPIVOTDATA(" %UG OnC Trad",'FTE Pivot Table'!$A$3,"State","KY","Type",3,"Type2","Four-Year"))*100</f>
        <v>87.9442357881458</v>
      </c>
      <c r="C106" s="319">
        <f>(GETPIVOTDATA(" %UG OffC Trad",'FTE Pivot Table'!$A$3,"State","KY","Type",3,"Type2","Four-Year"))*100</f>
        <v>7.979960960431636</v>
      </c>
      <c r="D106" s="340">
        <f t="shared" si="12"/>
        <v>4.075803251422554</v>
      </c>
      <c r="E106" s="318">
        <f>(GETPIVOTDATA(" %UG EL Web",'FTE Pivot Table'!$A$3,"State","KY","Type",3,"Type2","Four-Year"))*100</f>
        <v>1.948362713445852</v>
      </c>
      <c r="F106" s="318">
        <f>(GETPIVOTDATA(" % UG EL CV",'FTE Pivot Table'!$A$3,"State","KY","Type",3,"Type2","Four-Year"))*100</f>
        <v>1.1344273853482603</v>
      </c>
      <c r="G106" s="319">
        <f>(GETPIVOTDATA(" %UG EL O",'FTE Pivot Table'!$A$3,"State","KY","Type",3,"Type2","Four-Year"))*100</f>
        <v>0.9930131526284417</v>
      </c>
      <c r="H106" s="318">
        <f>(GETPIVOTDATA(" %UG Cor",'FTE Pivot Table'!$A$3,"State","KY","Type",3,"Type2","Four-Year"))*100</f>
        <v>0</v>
      </c>
      <c r="I106" s="122" t="s">
        <v>539</v>
      </c>
      <c r="J106" s="331">
        <f>(GETPIVOTDATA(" %G OnC Trad",'FTE Pivot Table'!$A$3,"State","KY","Type",3,"Type2","Four-Year"))*100</f>
        <v>61.642032194363</v>
      </c>
      <c r="K106" s="332">
        <f>(GETPIVOTDATA(" %G OffC Trad",'FTE Pivot Table'!$A$3,"State","KY","Type",3,"Type2","Four-Year"))*100</f>
        <v>19.365411083441124</v>
      </c>
      <c r="L106" s="333">
        <f t="shared" si="13"/>
        <v>18.99255672219588</v>
      </c>
      <c r="M106" s="331">
        <f>(GETPIVOTDATA(" %G EL Web",'FTE Pivot Table'!$A$3,"State","KY","Type",3,"Type2","Four-Year"))*100</f>
        <v>12.03260864561804</v>
      </c>
      <c r="N106" s="331">
        <f>(GETPIVOTDATA(" % G EL CV",'FTE Pivot Table'!$A$3,"State","KY","Type",3,"Type2","Four-Year"))*100</f>
        <v>4.150191260477898</v>
      </c>
      <c r="O106" s="332">
        <f>(GETPIVOTDATA(" %G EL O",'FTE Pivot Table'!$A$3,"State","KY","Type",3,"Type2","Four-Year"))*100</f>
        <v>2.8097568160999433</v>
      </c>
      <c r="P106" s="331">
        <f>(GETPIVOTDATA(" %G Cor",'FTE Pivot Table'!$A$3,"State","KY","Type",3,"Type2","Four-Year"))*100</f>
        <v>0</v>
      </c>
      <c r="Q106" s="121">
        <f t="shared" si="14"/>
        <v>100</v>
      </c>
      <c r="R106" s="121">
        <f t="shared" si="15"/>
        <v>100</v>
      </c>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row>
    <row r="107" spans="1:41" ht="15.75" customHeight="1">
      <c r="A107" s="122" t="s">
        <v>540</v>
      </c>
      <c r="B107" s="318">
        <f>(GETPIVOTDATA(" %UG OnC Trad",'FTE Pivot Table'!$A$3,"State","LA","Type",3,"Type2","Four-Year"))*100</f>
        <v>0</v>
      </c>
      <c r="C107" s="319">
        <f>(GETPIVOTDATA(" %UG OffC Trad",'FTE Pivot Table'!$A$3,"State","LA","Type",3,"Type2","Four-Year"))*100</f>
        <v>0</v>
      </c>
      <c r="D107" s="340">
        <f t="shared" si="12"/>
        <v>0</v>
      </c>
      <c r="E107" s="318">
        <f>(GETPIVOTDATA(" %UG EL Web",'FTE Pivot Table'!$A$3,"State","LA","Type",3,"Type2","Four-Year"))*100</f>
        <v>0</v>
      </c>
      <c r="F107" s="318">
        <f>(GETPIVOTDATA(" % UG EL CV",'FTE Pivot Table'!$A$3,"State","LA","Type",3,"Type2","Four-Year"))*100</f>
        <v>0</v>
      </c>
      <c r="G107" s="319">
        <f>(GETPIVOTDATA(" %UG EL O",'FTE Pivot Table'!$A$3,"State","LA","Type",3,"Type2","Four-Year"))*100</f>
        <v>0</v>
      </c>
      <c r="H107" s="318">
        <f>(GETPIVOTDATA(" %UG Cor",'FTE Pivot Table'!$A$3,"State","LA","Type",3,"Type2","Four-Year"))*100</f>
        <v>0</v>
      </c>
      <c r="I107" s="122" t="s">
        <v>540</v>
      </c>
      <c r="J107" s="331">
        <f>(GETPIVOTDATA(" %G OnC Trad",'FTE Pivot Table'!$A$3,"State","LA","Type",3,"Type2","Four-Year"))*100</f>
        <v>0</v>
      </c>
      <c r="K107" s="332">
        <f>(GETPIVOTDATA(" %G OffC Trad",'FTE Pivot Table'!$A$3,"State","LA","Type",3,"Type2","Four-Year"))*100</f>
        <v>0</v>
      </c>
      <c r="L107" s="333">
        <f t="shared" si="13"/>
        <v>0</v>
      </c>
      <c r="M107" s="331">
        <f>(GETPIVOTDATA(" %G EL Web",'FTE Pivot Table'!$A$3,"State","LA","Type",3,"Type2","Four-Year"))*100</f>
        <v>0</v>
      </c>
      <c r="N107" s="331">
        <f>(GETPIVOTDATA(" % G EL CV",'FTE Pivot Table'!$A$3,"State","LA","Type",3,"Type2","Four-Year"))*100</f>
        <v>0</v>
      </c>
      <c r="O107" s="332">
        <f>(GETPIVOTDATA(" %G EL O",'FTE Pivot Table'!$A$3,"State","LA","Type",3,"Type2","Four-Year"))*100</f>
        <v>0</v>
      </c>
      <c r="P107" s="331">
        <f>(GETPIVOTDATA(" %G Cor",'FTE Pivot Table'!$A$3,"State","LA","Type",3,"Type2","Four-Year"))*100</f>
        <v>0</v>
      </c>
      <c r="Q107" s="121">
        <f t="shared" si="14"/>
        <v>0</v>
      </c>
      <c r="R107" s="121">
        <f t="shared" si="15"/>
        <v>0</v>
      </c>
      <c r="S107" s="134"/>
      <c r="T107" s="27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row>
    <row r="108" spans="1:41" ht="15.75" customHeight="1">
      <c r="A108" s="122" t="s">
        <v>541</v>
      </c>
      <c r="B108" s="318">
        <f>(GETPIVOTDATA(" %UG OnC Trad",'FTE Pivot Table'!$A$3,"State","MD","Type",3,"Type2","Four-Year"))*100</f>
        <v>98.74331618560097</v>
      </c>
      <c r="C108" s="319">
        <f>(GETPIVOTDATA(" %UG OffC Trad",'FTE Pivot Table'!$A$3,"State","MD","Type",3,"Type2","Four-Year"))*100</f>
        <v>1.1837003623831124</v>
      </c>
      <c r="D108" s="340">
        <f t="shared" si="12"/>
        <v>0.07298345201591444</v>
      </c>
      <c r="E108" s="318">
        <f>(GETPIVOTDATA(" %UG EL Web",'FTE Pivot Table'!$A$3,"State","MD","Type",3,"Type2","Four-Year"))*100</f>
        <v>0.07298345201591444</v>
      </c>
      <c r="F108" s="318">
        <f>(GETPIVOTDATA(" % UG EL CV",'FTE Pivot Table'!$A$3,"State","MD","Type",3,"Type2","Four-Year"))*100</f>
        <v>0</v>
      </c>
      <c r="G108" s="319">
        <f>(GETPIVOTDATA(" %UG EL O",'FTE Pivot Table'!$A$3,"State","MD","Type",3,"Type2","Four-Year"))*100</f>
        <v>0</v>
      </c>
      <c r="H108" s="318">
        <f>(GETPIVOTDATA(" %UG Cor",'FTE Pivot Table'!$A$3,"State","MD","Type",3,"Type2","Four-Year"))*100</f>
        <v>0</v>
      </c>
      <c r="I108" s="122" t="s">
        <v>541</v>
      </c>
      <c r="J108" s="331">
        <f>(GETPIVOTDATA(" %G OnC Trad",'FTE Pivot Table'!$A$3,"State","MD","Type",3,"Type2","Four-Year"))*100</f>
        <v>83.34794253713173</v>
      </c>
      <c r="K108" s="332">
        <f>(GETPIVOTDATA(" %G OffC Trad",'FTE Pivot Table'!$A$3,"State","MD","Type",3,"Type2","Four-Year"))*100</f>
        <v>16.52787923058193</v>
      </c>
      <c r="L108" s="333">
        <f t="shared" si="13"/>
        <v>0.12417823228634038</v>
      </c>
      <c r="M108" s="331">
        <f>(GETPIVOTDATA(" %G EL Web",'FTE Pivot Table'!$A$3,"State","MD","Type",3,"Type2","Four-Year"))*100</f>
        <v>0.12417823228634038</v>
      </c>
      <c r="N108" s="331">
        <f>(GETPIVOTDATA(" % G EL CV",'FTE Pivot Table'!$A$3,"State","MD","Type",3,"Type2","Four-Year"))*100</f>
        <v>0</v>
      </c>
      <c r="O108" s="332">
        <f>(GETPIVOTDATA(" %G EL O",'FTE Pivot Table'!$A$3,"State","MD","Type",3,"Type2","Four-Year"))*100</f>
        <v>0</v>
      </c>
      <c r="P108" s="331">
        <f>(GETPIVOTDATA(" %G Cor",'FTE Pivot Table'!$A$3,"State","MD","Type",3,"Type2","Four-Year"))*100</f>
        <v>0</v>
      </c>
      <c r="Q108" s="121">
        <f t="shared" si="14"/>
        <v>100</v>
      </c>
      <c r="R108" s="121">
        <f t="shared" si="15"/>
        <v>100</v>
      </c>
      <c r="S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row>
    <row r="109" spans="1:41" ht="15.75" customHeight="1">
      <c r="A109" s="122"/>
      <c r="B109" s="318"/>
      <c r="C109" s="319"/>
      <c r="D109" s="340">
        <f t="shared" si="12"/>
        <v>0</v>
      </c>
      <c r="E109" s="318"/>
      <c r="F109" s="318"/>
      <c r="G109" s="319"/>
      <c r="H109" s="318"/>
      <c r="I109" s="122"/>
      <c r="J109" s="331"/>
      <c r="K109" s="332"/>
      <c r="L109" s="333">
        <f t="shared" si="13"/>
        <v>0</v>
      </c>
      <c r="M109" s="331"/>
      <c r="N109" s="331"/>
      <c r="O109" s="332"/>
      <c r="P109" s="331"/>
      <c r="Q109" s="121">
        <f t="shared" si="14"/>
        <v>0</v>
      </c>
      <c r="R109" s="121">
        <f t="shared" si="15"/>
        <v>0</v>
      </c>
      <c r="S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row>
    <row r="110" spans="1:41" ht="15.75" customHeight="1">
      <c r="A110" s="122" t="s">
        <v>168</v>
      </c>
      <c r="B110" s="318">
        <f>(GETPIVOTDATA(" %UG OnC Trad",'FTE Pivot Table'!$A$3,"State","MS","Type",3,"Type2","Four-Year"))*100</f>
        <v>95.36438342832466</v>
      </c>
      <c r="C110" s="319">
        <f>(GETPIVOTDATA(" %UG OffC Trad",'FTE Pivot Table'!$A$3,"State","MS","Type",3,"Type2","Four-Year"))*100</f>
        <v>4.017007195819977</v>
      </c>
      <c r="D110" s="340">
        <f t="shared" si="12"/>
        <v>0.618609375855378</v>
      </c>
      <c r="E110" s="318">
        <f>(GETPIVOTDATA(" %UG EL Web",'FTE Pivot Table'!$A$3,"State","MS","Type",3,"Type2","Four-Year"))*100</f>
        <v>0.618609375855378</v>
      </c>
      <c r="F110" s="318">
        <f>(GETPIVOTDATA(" % UG EL CV",'FTE Pivot Table'!$A$3,"State","MS","Type",3,"Type2","Four-Year"))*100</f>
        <v>0</v>
      </c>
      <c r="G110" s="319">
        <f>(GETPIVOTDATA(" %UG EL O",'FTE Pivot Table'!$A$3,"State","MS","Type",3,"Type2","Four-Year"))*100</f>
        <v>0</v>
      </c>
      <c r="H110" s="318">
        <f>(GETPIVOTDATA(" %UG Cor",'FTE Pivot Table'!$A$3,"State","MS","Type",3,"Type2","Four-Year"))*100</f>
        <v>0</v>
      </c>
      <c r="I110" s="122" t="s">
        <v>168</v>
      </c>
      <c r="J110" s="331">
        <f>(GETPIVOTDATA(" %G OnC Trad",'FTE Pivot Table'!$A$3,"State","MS","Type",3,"Type2","Four-Year"))*100</f>
        <v>75.49448073890515</v>
      </c>
      <c r="K110" s="332">
        <f>(GETPIVOTDATA(" %G OffC Trad",'FTE Pivot Table'!$A$3,"State","MS","Type",3,"Type2","Four-Year"))*100</f>
        <v>24.20815498986258</v>
      </c>
      <c r="L110" s="333">
        <f t="shared" si="13"/>
        <v>0.2973642712322595</v>
      </c>
      <c r="M110" s="331">
        <f>(GETPIVOTDATA(" %G EL Web",'FTE Pivot Table'!$A$3,"State","MS","Type",3,"Type2","Four-Year"))*100</f>
        <v>0.2973642712322595</v>
      </c>
      <c r="N110" s="331">
        <f>(GETPIVOTDATA(" % G EL CV",'FTE Pivot Table'!$A$3,"State","MS","Type",3,"Type2","Four-Year"))*100</f>
        <v>0</v>
      </c>
      <c r="O110" s="332">
        <f>(GETPIVOTDATA(" %G EL O",'FTE Pivot Table'!$A$3,"State","MS","Type",3,"Type2","Four-Year"))*100</f>
        <v>0</v>
      </c>
      <c r="P110" s="331">
        <f>(GETPIVOTDATA(" %G Cor",'FTE Pivot Table'!$A$3,"State","MS","Type",3,"Type2","Four-Year"))*100</f>
        <v>0</v>
      </c>
      <c r="Q110" s="121">
        <f t="shared" si="14"/>
        <v>100</v>
      </c>
      <c r="R110" s="121">
        <f t="shared" si="15"/>
        <v>99.99999999999999</v>
      </c>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row>
    <row r="111" spans="1:41" ht="15.75" customHeight="1">
      <c r="A111" s="122" t="s">
        <v>176</v>
      </c>
      <c r="B111" s="318">
        <f>(GETPIVOTDATA(" %UG OnC Trad",'FTE Pivot Table'!$A$3,"State","NC","Type",3,"Type2","Four-Year"))*100</f>
        <v>97.3755793428206</v>
      </c>
      <c r="C111" s="319">
        <f>(GETPIVOTDATA(" %UG OffC Trad",'FTE Pivot Table'!$A$3,"State","NC","Type",3,"Type2","Four-Year"))*100</f>
        <v>0.8323325729410476</v>
      </c>
      <c r="D111" s="340">
        <f t="shared" si="12"/>
        <v>1.7920880842383486</v>
      </c>
      <c r="E111" s="318">
        <f>(GETPIVOTDATA(" %UG EL Web",'FTE Pivot Table'!$A$3,"State","NC","Type",3,"Type2","Four-Year"))*100</f>
        <v>1.7131563951837285</v>
      </c>
      <c r="F111" s="318">
        <f>(GETPIVOTDATA(" % UG EL CV",'FTE Pivot Table'!$A$3,"State","NC","Type",3,"Type2","Four-Year"))*100</f>
        <v>0.06542838422517017</v>
      </c>
      <c r="G111" s="343">
        <f>(GETPIVOTDATA(" %UG EL O",'FTE Pivot Table'!$A$3,"State","NC","Type",3,"Type2","Four-Year"))*100</f>
        <v>0.013503304829450011</v>
      </c>
      <c r="H111" s="318">
        <f>(GETPIVOTDATA(" %UG Cor",'FTE Pivot Table'!$A$3,"State","NC","Type",3,"Type2","Four-Year"))*100</f>
        <v>0</v>
      </c>
      <c r="I111" s="122" t="s">
        <v>176</v>
      </c>
      <c r="J111" s="331">
        <f>(GETPIVOTDATA(" %G OnC Trad",'FTE Pivot Table'!$A$3,"State","NC","Type",3,"Type2","Four-Year"))*100</f>
        <v>78.10625814863103</v>
      </c>
      <c r="K111" s="332">
        <f>(GETPIVOTDATA(" %G OffC Trad",'FTE Pivot Table'!$A$3,"State","NC","Type",3,"Type2","Four-Year"))*100</f>
        <v>9.624755541069101</v>
      </c>
      <c r="L111" s="333">
        <f t="shared" si="13"/>
        <v>12.268986310299871</v>
      </c>
      <c r="M111" s="331">
        <f>(GETPIVOTDATA(" %G EL Web",'FTE Pivot Table'!$A$3,"State","NC","Type",3,"Type2","Four-Year"))*100</f>
        <v>11.629318774445894</v>
      </c>
      <c r="N111" s="331">
        <f>(GETPIVOTDATA(" % G EL CV",'FTE Pivot Table'!$A$3,"State","NC","Type",3,"Type2","Four-Year"))*100</f>
        <v>0.4314700130378097</v>
      </c>
      <c r="O111" s="332">
        <f>(GETPIVOTDATA(" %G EL O",'FTE Pivot Table'!$A$3,"State","NC","Type",3,"Type2","Four-Year"))*100</f>
        <v>0.2081975228161669</v>
      </c>
      <c r="P111" s="331">
        <f>(GETPIVOTDATA(" %G Cor",'FTE Pivot Table'!$A$3,"State","NC","Type",3,"Type2","Four-Year"))*100</f>
        <v>0</v>
      </c>
      <c r="Q111" s="121">
        <f t="shared" si="14"/>
        <v>99.99999999999999</v>
      </c>
      <c r="R111" s="121">
        <f t="shared" si="15"/>
        <v>100</v>
      </c>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row>
    <row r="112" spans="1:41" ht="15.75" customHeight="1">
      <c r="A112" s="122" t="s">
        <v>169</v>
      </c>
      <c r="B112" s="318">
        <f>(GETPIVOTDATA(" %UG OnC Trad",'FTE Pivot Table'!$A$3,"State","OK","Type",3,"Type2","Four-Year"))*100</f>
        <v>97.94611616515046</v>
      </c>
      <c r="C112" s="319">
        <f>(GETPIVOTDATA(" %UG OffC Trad",'FTE Pivot Table'!$A$3,"State","OK","Type",3,"Type2","Four-Year"))*100</f>
        <v>0.3066352821426299</v>
      </c>
      <c r="D112" s="340">
        <f t="shared" si="12"/>
        <v>1.7472485527069153</v>
      </c>
      <c r="E112" s="318">
        <f>(GETPIVOTDATA(" %UG EL Web",'FTE Pivot Table'!$A$3,"State","OK","Type",3,"Type2","Four-Year"))*100</f>
        <v>0.6791144474839367</v>
      </c>
      <c r="F112" s="318">
        <f>(GETPIVOTDATA(" % UG EL CV",'FTE Pivot Table'!$A$3,"State","OK","Type",3,"Type2","Four-Year"))*100</f>
        <v>0.0792035116737706</v>
      </c>
      <c r="G112" s="319">
        <f>(GETPIVOTDATA(" %UG EL O",'FTE Pivot Table'!$A$3,"State","OK","Type",3,"Type2","Four-Year"))*100</f>
        <v>0.9889305935492079</v>
      </c>
      <c r="H112" s="318">
        <f>(GETPIVOTDATA(" %UG Cor",'FTE Pivot Table'!$A$3,"State","OK","Type",3,"Type2","Four-Year"))*100</f>
        <v>0</v>
      </c>
      <c r="I112" s="122" t="s">
        <v>169</v>
      </c>
      <c r="J112" s="331">
        <f>(GETPIVOTDATA(" %G OnC Trad",'FTE Pivot Table'!$A$3,"State","OK","Type",3,"Type2","Four-Year"))*100</f>
        <v>92.32745386760237</v>
      </c>
      <c r="K112" s="332">
        <f>(GETPIVOTDATA(" %G OffC Trad",'FTE Pivot Table'!$A$3,"State","OK","Type",3,"Type2","Four-Year"))*100</f>
        <v>2.4405526488925093</v>
      </c>
      <c r="L112" s="333">
        <f t="shared" si="13"/>
        <v>5.231993483505122</v>
      </c>
      <c r="M112" s="331">
        <f>(GETPIVOTDATA(" %G EL Web",'FTE Pivot Table'!$A$3,"State","OK","Type",3,"Type2","Four-Year"))*100</f>
        <v>1.3722234405839782</v>
      </c>
      <c r="N112" s="331">
        <f>(GETPIVOTDATA(" % G EL CV",'FTE Pivot Table'!$A$3,"State","OK","Type",3,"Type2","Four-Year"))*100</f>
        <v>1.1090573012939002</v>
      </c>
      <c r="O112" s="332">
        <f>(GETPIVOTDATA(" %G EL O",'FTE Pivot Table'!$A$3,"State","OK","Type",3,"Type2","Four-Year"))*100</f>
        <v>2.750712741627244</v>
      </c>
      <c r="P112" s="331">
        <f>(GETPIVOTDATA(" %G Cor",'FTE Pivot Table'!$A$3,"State","OK","Type",3,"Type2","Four-Year"))*100</f>
        <v>0</v>
      </c>
      <c r="Q112" s="121">
        <f t="shared" si="14"/>
        <v>100.00000000000001</v>
      </c>
      <c r="R112" s="121">
        <f t="shared" si="15"/>
        <v>100</v>
      </c>
      <c r="S112" s="134"/>
      <c r="T112" s="27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row>
    <row r="113" spans="1:41" ht="15.75" customHeight="1">
      <c r="A113" s="122" t="s">
        <v>542</v>
      </c>
      <c r="B113" s="318">
        <f>(GETPIVOTDATA(" %UG OnC Trad",'FTE Pivot Table'!$A$3,"State","SC","Type",3,"Type2","Four-Year"))*100</f>
        <v>0</v>
      </c>
      <c r="C113" s="319">
        <f>(GETPIVOTDATA(" %UG OffC Trad",'FTE Pivot Table'!$A$3,"State","SC","Type",3,"Type2","Four-Year"))*100</f>
        <v>0</v>
      </c>
      <c r="D113" s="340">
        <f t="shared" si="12"/>
        <v>0</v>
      </c>
      <c r="E113" s="318">
        <f>(GETPIVOTDATA(" %UG EL Web",'FTE Pivot Table'!$A$3,"State","SC","Type",3,"Type2","Four-Year"))*100</f>
        <v>0</v>
      </c>
      <c r="F113" s="318">
        <f>(GETPIVOTDATA(" % UG EL CV",'FTE Pivot Table'!$A$3,"State","SC","Type",3,"Type2","Four-Year"))*100</f>
        <v>0</v>
      </c>
      <c r="G113" s="319">
        <f>(GETPIVOTDATA(" %UG EL O",'FTE Pivot Table'!$A$3,"State","SC","Type",3,"Type2","Four-Year"))*100</f>
        <v>0</v>
      </c>
      <c r="H113" s="318">
        <f>(GETPIVOTDATA(" %UG Cor",'FTE Pivot Table'!$A$3,"State","SC","Type",3,"Type2","Four-Year"))*100</f>
        <v>0</v>
      </c>
      <c r="I113" s="122" t="s">
        <v>542</v>
      </c>
      <c r="J113" s="331">
        <f>(GETPIVOTDATA(" %G OnC Trad",'FTE Pivot Table'!$A$3,"State","SC","Type",3,"Type2","Four-Year"))*100</f>
        <v>0</v>
      </c>
      <c r="K113" s="332">
        <f>(GETPIVOTDATA(" %G OffC Trad",'FTE Pivot Table'!$A$3,"State","SC","Type",3,"Type2","Four-Year"))*100</f>
        <v>0</v>
      </c>
      <c r="L113" s="333">
        <f t="shared" si="13"/>
        <v>0</v>
      </c>
      <c r="M113" s="331">
        <f>(GETPIVOTDATA(" %G EL Web",'FTE Pivot Table'!$A$3,"State","SC","Type",3,"Type2","Four-Year"))*100</f>
        <v>0</v>
      </c>
      <c r="N113" s="331">
        <f>(GETPIVOTDATA(" % G EL CV",'FTE Pivot Table'!$A$3,"State","SC","Type",3,"Type2","Four-Year"))*100</f>
        <v>0</v>
      </c>
      <c r="O113" s="332">
        <f>(GETPIVOTDATA(" %G EL O",'FTE Pivot Table'!$A$3,"State","SC","Type",3,"Type2","Four-Year"))*100</f>
        <v>0</v>
      </c>
      <c r="P113" s="331">
        <f>(GETPIVOTDATA(" %G Cor",'FTE Pivot Table'!$A$3,"State","SC","Type",3,"Type2","Four-Year"))*100</f>
        <v>0</v>
      </c>
      <c r="Q113" s="121">
        <f t="shared" si="14"/>
        <v>0</v>
      </c>
      <c r="R113" s="121">
        <f t="shared" si="15"/>
        <v>0</v>
      </c>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row>
    <row r="114" spans="1:41" ht="15.75" customHeight="1">
      <c r="A114" s="122"/>
      <c r="B114" s="318"/>
      <c r="C114" s="319"/>
      <c r="D114" s="340">
        <f t="shared" si="12"/>
        <v>0</v>
      </c>
      <c r="E114" s="318"/>
      <c r="F114" s="318"/>
      <c r="G114" s="319"/>
      <c r="H114" s="318"/>
      <c r="I114" s="122"/>
      <c r="J114" s="331"/>
      <c r="K114" s="332"/>
      <c r="L114" s="333">
        <f t="shared" si="13"/>
        <v>0</v>
      </c>
      <c r="M114" s="331"/>
      <c r="N114" s="331"/>
      <c r="O114" s="332"/>
      <c r="P114" s="331"/>
      <c r="Q114" s="121">
        <f t="shared" si="14"/>
        <v>0</v>
      </c>
      <c r="R114" s="121">
        <f t="shared" si="15"/>
        <v>0</v>
      </c>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row>
    <row r="115" spans="1:41" ht="15.75" customHeight="1">
      <c r="A115" s="122" t="s">
        <v>543</v>
      </c>
      <c r="B115" s="318">
        <f>(GETPIVOTDATA(" %UG OnC Trad",'FTE Pivot Table'!$A$3,"State","TN","Type",3,"Type2","Four-Year"))*100</f>
        <v>0</v>
      </c>
      <c r="C115" s="319">
        <f>(GETPIVOTDATA(" %UG OffC Trad",'FTE Pivot Table'!$A$3,"State","TN","Type",3,"Type2","Four-Year"))*100</f>
        <v>0</v>
      </c>
      <c r="D115" s="340">
        <f t="shared" si="12"/>
        <v>0</v>
      </c>
      <c r="E115" s="318">
        <f>(GETPIVOTDATA(" %UG EL Web",'FTE Pivot Table'!$A$3,"State","TN","Type",3,"Type2","Four-Year"))*100</f>
        <v>0</v>
      </c>
      <c r="F115" s="318">
        <f>(GETPIVOTDATA(" % UG EL CV",'FTE Pivot Table'!$A$3,"State","TN","Type",3,"Type2","Four-Year"))*100</f>
        <v>0</v>
      </c>
      <c r="G115" s="319">
        <f>(GETPIVOTDATA(" %UG EL O",'FTE Pivot Table'!$A$3,"State","TN","Type",3,"Type2","Four-Year"))*100</f>
        <v>0</v>
      </c>
      <c r="H115" s="318">
        <f>(GETPIVOTDATA(" %UG Cor",'FTE Pivot Table'!$A$3,"State","TN","Type",3,"Type2","Four-Year"))*100</f>
        <v>0</v>
      </c>
      <c r="I115" s="122" t="s">
        <v>543</v>
      </c>
      <c r="J115" s="331">
        <f>(GETPIVOTDATA(" %G OnC Trad",'FTE Pivot Table'!$A$3,"State","TN","Type",3,"Type2","Four-Year"))*100</f>
        <v>0</v>
      </c>
      <c r="K115" s="332">
        <f>(GETPIVOTDATA(" %G OffC Trad",'FTE Pivot Table'!$A$3,"State","TN","Type",3,"Type2","Four-Year"))*100</f>
        <v>0</v>
      </c>
      <c r="L115" s="333">
        <f t="shared" si="13"/>
        <v>0</v>
      </c>
      <c r="M115" s="331">
        <f>(GETPIVOTDATA(" %G EL Web",'FTE Pivot Table'!$A$3,"State","TN","Type",3,"Type2","Four-Year"))*100</f>
        <v>0</v>
      </c>
      <c r="N115" s="331">
        <f>(GETPIVOTDATA(" % G EL CV",'FTE Pivot Table'!$A$3,"State","TN","Type",3,"Type2","Four-Year"))*100</f>
        <v>0</v>
      </c>
      <c r="O115" s="332">
        <f>(GETPIVOTDATA(" %G EL O",'FTE Pivot Table'!$A$3,"State","TN","Type",3,"Type2","Four-Year"))*100</f>
        <v>0</v>
      </c>
      <c r="P115" s="331">
        <f>(GETPIVOTDATA(" %G Cor",'FTE Pivot Table'!$A$3,"State","TN","Type",3,"Type2","Four-Year"))*100</f>
        <v>0</v>
      </c>
      <c r="Q115" s="121">
        <f t="shared" si="14"/>
        <v>0</v>
      </c>
      <c r="R115" s="121">
        <f t="shared" si="15"/>
        <v>0</v>
      </c>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row>
    <row r="116" spans="1:41" ht="15.75" customHeight="1">
      <c r="A116" s="122" t="s">
        <v>277</v>
      </c>
      <c r="B116" s="318">
        <f>(GETPIVOTDATA(" %UG OnC Trad",'FTE Pivot Table'!$A$3,"State","TX","Type",3,"Type2","Four-Year"))*100</f>
        <v>95.68192822650511</v>
      </c>
      <c r="C116" s="319">
        <f>(GETPIVOTDATA(" %UG OffC Trad",'FTE Pivot Table'!$A$3,"State","TX","Type",3,"Type2","Four-Year"))*100</f>
        <v>2.3922999699231626</v>
      </c>
      <c r="D116" s="340">
        <f t="shared" si="12"/>
        <v>1.9257718035717255</v>
      </c>
      <c r="E116" s="318">
        <f>(GETPIVOTDATA(" %UG EL Web",'FTE Pivot Table'!$A$3,"State","TX","Type",3,"Type2","Four-Year"))*100</f>
        <v>1.454972636371933</v>
      </c>
      <c r="F116" s="318">
        <f>(GETPIVOTDATA(" % UG EL CV",'FTE Pivot Table'!$A$3,"State","TX","Type",3,"Type2","Four-Year"))*100</f>
        <v>0.3134465043656372</v>
      </c>
      <c r="G116" s="319">
        <f>(GETPIVOTDATA(" %UG EL O",'FTE Pivot Table'!$A$3,"State","TX","Type",3,"Type2","Four-Year"))*100</f>
        <v>0.15735266283415525</v>
      </c>
      <c r="H116" s="318">
        <f>(GETPIVOTDATA(" %UG Cor",'FTE Pivot Table'!$A$3,"State","TX","Type",3,"Type2","Four-Year"))*100</f>
        <v>0</v>
      </c>
      <c r="I116" s="122" t="s">
        <v>277</v>
      </c>
      <c r="J116" s="331">
        <f>(GETPIVOTDATA(" %G OnC Trad",'FTE Pivot Table'!$A$3,"State","TX","Type",3,"Type2","Four-Year"))*100</f>
        <v>78.99832094692356</v>
      </c>
      <c r="K116" s="332">
        <f>(GETPIVOTDATA(" %G OffC Trad",'FTE Pivot Table'!$A$3,"State","TX","Type",3,"Type2","Four-Year"))*100</f>
        <v>14.043745483971021</v>
      </c>
      <c r="L116" s="333">
        <f t="shared" si="13"/>
        <v>6.957933569105424</v>
      </c>
      <c r="M116" s="331">
        <f>(GETPIVOTDATA(" %G EL Web",'FTE Pivot Table'!$A$3,"State","TX","Type",3,"Type2","Four-Year"))*100</f>
        <v>5.460301397824682</v>
      </c>
      <c r="N116" s="331">
        <f>(GETPIVOTDATA(" % G EL CV",'FTE Pivot Table'!$A$3,"State","TX","Type",3,"Type2","Four-Year"))*100</f>
        <v>1.2600695533441575</v>
      </c>
      <c r="O116" s="332">
        <f>(GETPIVOTDATA(" %G EL O",'FTE Pivot Table'!$A$3,"State","TX","Type",3,"Type2","Four-Year"))*100</f>
        <v>0.23756261793658412</v>
      </c>
      <c r="P116" s="331">
        <f>(GETPIVOTDATA(" %G Cor",'FTE Pivot Table'!$A$3,"State","TX","Type",3,"Type2","Four-Year"))*100</f>
        <v>0</v>
      </c>
      <c r="Q116" s="121">
        <f t="shared" si="14"/>
        <v>99.99999999999999</v>
      </c>
      <c r="R116" s="121">
        <f t="shared" si="15"/>
        <v>100</v>
      </c>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row>
    <row r="117" spans="1:41" ht="15.75" customHeight="1">
      <c r="A117" s="122" t="s">
        <v>544</v>
      </c>
      <c r="B117" s="318">
        <f>(GETPIVOTDATA(" %UG OnC Trad",'FTE Pivot Table'!$A$3,"State","VA","Type",3,"Type2","Four-Year"))*100</f>
        <v>0</v>
      </c>
      <c r="C117" s="319">
        <f>(GETPIVOTDATA(" %UG OffC Trad",'FTE Pivot Table'!$A$3,"State","VA","Type",3,"Type2","Four-Year"))*100</f>
        <v>0</v>
      </c>
      <c r="D117" s="340">
        <f t="shared" si="12"/>
        <v>0</v>
      </c>
      <c r="E117" s="318">
        <f>(GETPIVOTDATA(" %UG EL Web",'FTE Pivot Table'!$A$3,"State","VA","Type",3,"Type2","Four-Year"))*100</f>
        <v>0</v>
      </c>
      <c r="F117" s="318">
        <f>(GETPIVOTDATA(" % UG EL CV",'FTE Pivot Table'!$A$3,"State","VA","Type",3,"Type2","Four-Year"))*100</f>
        <v>0</v>
      </c>
      <c r="G117" s="319">
        <f>(GETPIVOTDATA(" %UG EL O",'FTE Pivot Table'!$A$3,"State","VA","Type",3,"Type2","Four-Year"))*100</f>
        <v>0</v>
      </c>
      <c r="H117" s="318">
        <f>(GETPIVOTDATA(" %UG Cor",'FTE Pivot Table'!$A$3,"State","VA","Type",3,"Type2","Four-Year"))*100</f>
        <v>0</v>
      </c>
      <c r="I117" s="122" t="s">
        <v>544</v>
      </c>
      <c r="J117" s="331">
        <f>(GETPIVOTDATA(" %G OnC Trad",'FTE Pivot Table'!$A$3,"State","VA","Type",3,"Type2","Four-Year"))*100</f>
        <v>0</v>
      </c>
      <c r="K117" s="332">
        <f>(GETPIVOTDATA(" %G OffC Trad",'FTE Pivot Table'!$A$3,"State","VA","Type",3,"Type2","Four-Year"))*100</f>
        <v>0</v>
      </c>
      <c r="L117" s="333">
        <f t="shared" si="13"/>
        <v>0</v>
      </c>
      <c r="M117" s="331">
        <f>(GETPIVOTDATA(" %G EL Web",'FTE Pivot Table'!$A$3,"State","VA","Type",3,"Type2","Four-Year"))*100</f>
        <v>0</v>
      </c>
      <c r="N117" s="331">
        <f>(GETPIVOTDATA(" % G EL CV",'FTE Pivot Table'!$A$3,"State","VA","Type",3,"Type2","Four-Year"))*100</f>
        <v>0</v>
      </c>
      <c r="O117" s="332">
        <f>(GETPIVOTDATA(" %G EL O",'FTE Pivot Table'!$A$3,"State","VA","Type",3,"Type2","Four-Year"))*100</f>
        <v>0</v>
      </c>
      <c r="P117" s="331">
        <f>(GETPIVOTDATA(" %G Cor",'FTE Pivot Table'!$A$3,"State","VA","Type",3,"Type2","Four-Year"))*100</f>
        <v>0</v>
      </c>
      <c r="Q117" s="121">
        <f t="shared" si="14"/>
        <v>0</v>
      </c>
      <c r="R117" s="121">
        <f t="shared" si="15"/>
        <v>0</v>
      </c>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row>
    <row r="118" spans="1:41" ht="15.75" customHeight="1">
      <c r="A118" s="116" t="s">
        <v>637</v>
      </c>
      <c r="B118" s="317">
        <f>(GETPIVOTDATA(" %UG OnC Trad",'FTE Pivot Table'!$A$3,"State","WV","Type",3,"Type2","Four-Year"))*100</f>
        <v>92.72339547868617</v>
      </c>
      <c r="C118" s="320">
        <f>(GETPIVOTDATA(" %UG OffC Trad",'FTE Pivot Table'!$A$3,"State","WV","Type",3,"Type2","Four-Year"))*100</f>
        <v>3.0937631208703786</v>
      </c>
      <c r="D118" s="342">
        <f t="shared" si="12"/>
        <v>4.182841400443439</v>
      </c>
      <c r="E118" s="317">
        <f>(GETPIVOTDATA(" %UG EL Web",'FTE Pivot Table'!$A$3,"State","WV","Type",3,"Type2","Four-Year"))*100</f>
        <v>3.8075384694711873</v>
      </c>
      <c r="F118" s="317">
        <f>(GETPIVOTDATA(" % UG EL CV",'FTE Pivot Table'!$A$3,"State","WV","Type",3,"Type2","Four-Year"))*100</f>
        <v>0.2629698652739822</v>
      </c>
      <c r="G118" s="320">
        <f>(GETPIVOTDATA(" %UG EL O",'FTE Pivot Table'!$A$3,"State","WV","Type",3,"Type2","Four-Year"))*100</f>
        <v>0.1123330656982697</v>
      </c>
      <c r="H118" s="317">
        <f>(GETPIVOTDATA(" %UG Cor",'FTE Pivot Table'!$A$3,"State","WV","Type",3,"Type2","Four-Year"))*100</f>
        <v>0</v>
      </c>
      <c r="I118" s="116" t="s">
        <v>637</v>
      </c>
      <c r="J118" s="337">
        <f>(GETPIVOTDATA(" %G OnC Trad",'FTE Pivot Table'!$A$3,"State","WV","Type",3,"Type2","Four-Year"))*100</f>
        <v>27.93957614770275</v>
      </c>
      <c r="K118" s="338">
        <f>(GETPIVOTDATA(" %G OffC Trad",'FTE Pivot Table'!$A$3,"State","WV","Type",3,"Type2","Four-Year"))*100</f>
        <v>50.30525480937713</v>
      </c>
      <c r="L118" s="339">
        <f t="shared" si="13"/>
        <v>21.755169042920116</v>
      </c>
      <c r="M118" s="337">
        <f>(GETPIVOTDATA(" %G EL Web",'FTE Pivot Table'!$A$3,"State","WV","Type",3,"Type2","Four-Year"))*100</f>
        <v>18.247044285002858</v>
      </c>
      <c r="N118" s="337">
        <f>(GETPIVOTDATA(" % G EL CV",'FTE Pivot Table'!$A$3,"State","WV","Type",3,"Type2","Four-Year"))*100</f>
        <v>3.2535920467749966</v>
      </c>
      <c r="O118" s="338">
        <f>(GETPIVOTDATA(" %G EL O",'FTE Pivot Table'!$A$3,"State","WV","Type",3,"Type2","Four-Year"))*100</f>
        <v>0.2545327111422616</v>
      </c>
      <c r="P118" s="337">
        <f>(GETPIVOTDATA(" %G Cor",'FTE Pivot Table'!$A$3,"State","WV","Type",3,"Type2","Four-Year"))*100</f>
        <v>0</v>
      </c>
      <c r="Q118" s="121">
        <f t="shared" si="14"/>
        <v>99.99999999999999</v>
      </c>
      <c r="R118" s="121">
        <f t="shared" si="15"/>
        <v>100</v>
      </c>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row>
    <row r="119" spans="1:41" s="279" customFormat="1" ht="18" customHeight="1">
      <c r="A119" s="347" t="s">
        <v>634</v>
      </c>
      <c r="B119" s="283"/>
      <c r="C119" s="283"/>
      <c r="D119" s="284"/>
      <c r="E119" s="283"/>
      <c r="F119" s="284"/>
      <c r="G119" s="284"/>
      <c r="H119" s="283"/>
      <c r="I119" s="347" t="s">
        <v>634</v>
      </c>
      <c r="J119" s="283"/>
      <c r="K119" s="283"/>
      <c r="L119" s="284"/>
      <c r="M119" s="283"/>
      <c r="N119" s="284"/>
      <c r="O119" s="284"/>
      <c r="P119" s="283"/>
      <c r="Q119" s="283"/>
      <c r="R119" s="283"/>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row>
    <row r="120" spans="1:18" s="279" customFormat="1" ht="13.5" customHeight="1">
      <c r="A120" s="348" t="s">
        <v>638</v>
      </c>
      <c r="B120" s="278"/>
      <c r="H120" s="277"/>
      <c r="I120" s="348" t="s">
        <v>638</v>
      </c>
      <c r="P120" s="280"/>
      <c r="Q120" s="281"/>
      <c r="R120" s="282"/>
    </row>
    <row r="121" spans="8:18" s="279" customFormat="1" ht="13.5" customHeight="1">
      <c r="H121" s="351" t="s">
        <v>643</v>
      </c>
      <c r="I121" s="348"/>
      <c r="P121" s="351" t="s">
        <v>642</v>
      </c>
      <c r="Q121" s="281"/>
      <c r="R121" s="282"/>
    </row>
    <row r="122" spans="8:18" s="279" customFormat="1" ht="11.25">
      <c r="H122" s="277"/>
      <c r="Q122" s="281"/>
      <c r="R122" s="282"/>
    </row>
    <row r="123" spans="1:18" ht="18">
      <c r="A123" s="113" t="s">
        <v>581</v>
      </c>
      <c r="B123" s="114"/>
      <c r="C123" s="114"/>
      <c r="D123" s="114"/>
      <c r="E123" s="114"/>
      <c r="F123" s="114"/>
      <c r="G123" s="114"/>
      <c r="H123" s="132"/>
      <c r="I123" s="113" t="s">
        <v>601</v>
      </c>
      <c r="J123" s="115"/>
      <c r="K123" s="115"/>
      <c r="L123" s="114"/>
      <c r="M123" s="115"/>
      <c r="N123" s="115"/>
      <c r="O123" s="115"/>
      <c r="P123" s="115"/>
      <c r="Q123" s="270"/>
      <c r="R123" s="271"/>
    </row>
    <row r="124" spans="1:18" ht="12.75">
      <c r="A124" s="293"/>
      <c r="B124" s="115"/>
      <c r="C124" s="115"/>
      <c r="D124" s="115"/>
      <c r="E124" s="115"/>
      <c r="F124" s="115"/>
      <c r="G124" s="115"/>
      <c r="H124" s="127"/>
      <c r="I124" s="293"/>
      <c r="J124" s="115"/>
      <c r="K124" s="115"/>
      <c r="L124" s="115"/>
      <c r="M124" s="115"/>
      <c r="N124" s="115"/>
      <c r="O124" s="115"/>
      <c r="P124" s="115"/>
      <c r="R124" s="273"/>
    </row>
    <row r="125" spans="1:18" ht="15.75">
      <c r="A125" s="124" t="s">
        <v>617</v>
      </c>
      <c r="B125" s="115"/>
      <c r="C125" s="115"/>
      <c r="D125" s="115"/>
      <c r="E125" s="115"/>
      <c r="F125" s="115"/>
      <c r="G125" s="115"/>
      <c r="H125" s="127"/>
      <c r="I125" s="124" t="s">
        <v>618</v>
      </c>
      <c r="J125" s="115"/>
      <c r="K125" s="115"/>
      <c r="L125" s="115"/>
      <c r="M125" s="115"/>
      <c r="N125" s="115"/>
      <c r="O125" s="115"/>
      <c r="P125" s="115"/>
      <c r="R125" s="273" t="s">
        <v>2</v>
      </c>
    </row>
    <row r="126" spans="1:18" ht="15.75">
      <c r="A126" s="124" t="s">
        <v>550</v>
      </c>
      <c r="B126" s="115"/>
      <c r="C126" s="115"/>
      <c r="D126" s="115"/>
      <c r="E126" s="115"/>
      <c r="F126" s="115"/>
      <c r="G126" s="115"/>
      <c r="H126" s="127"/>
      <c r="I126" s="124" t="s">
        <v>550</v>
      </c>
      <c r="J126" s="115"/>
      <c r="K126" s="115"/>
      <c r="L126" s="115"/>
      <c r="M126" s="115"/>
      <c r="N126" s="115"/>
      <c r="O126" s="115"/>
      <c r="P126" s="115"/>
      <c r="R126" s="273" t="s">
        <v>2</v>
      </c>
    </row>
    <row r="127" spans="1:16" ht="12.75">
      <c r="A127" s="116"/>
      <c r="B127" s="117"/>
      <c r="C127" s="117"/>
      <c r="D127" s="117"/>
      <c r="E127" s="117"/>
      <c r="F127" s="117"/>
      <c r="G127" s="117"/>
      <c r="H127" s="117"/>
      <c r="I127" s="118"/>
      <c r="L127" s="119"/>
      <c r="P127" s="116"/>
    </row>
    <row r="128" spans="1:18" s="305" customFormat="1" ht="12">
      <c r="A128" s="300"/>
      <c r="B128" s="301" t="s">
        <v>279</v>
      </c>
      <c r="C128" s="301"/>
      <c r="D128" s="301"/>
      <c r="E128" s="301"/>
      <c r="F128" s="301"/>
      <c r="G128" s="301"/>
      <c r="H128" s="302"/>
      <c r="I128" s="300"/>
      <c r="J128" s="301" t="s">
        <v>279</v>
      </c>
      <c r="K128" s="301"/>
      <c r="L128" s="301"/>
      <c r="M128" s="301"/>
      <c r="N128" s="301"/>
      <c r="O128" s="301"/>
      <c r="P128" s="302"/>
      <c r="Q128" s="303"/>
      <c r="R128" s="304"/>
    </row>
    <row r="129" spans="1:18" s="305" customFormat="1" ht="12">
      <c r="A129" s="300"/>
      <c r="B129" s="301" t="s">
        <v>173</v>
      </c>
      <c r="C129" s="301"/>
      <c r="D129" s="370" t="s">
        <v>629</v>
      </c>
      <c r="E129" s="371"/>
      <c r="F129" s="371"/>
      <c r="G129" s="371"/>
      <c r="H129" s="306" t="s">
        <v>2</v>
      </c>
      <c r="I129" s="300"/>
      <c r="J129" s="301" t="s">
        <v>173</v>
      </c>
      <c r="K129" s="301"/>
      <c r="L129" s="370" t="s">
        <v>629</v>
      </c>
      <c r="M129" s="371"/>
      <c r="N129" s="371"/>
      <c r="O129" s="371"/>
      <c r="P129" s="306" t="s">
        <v>2</v>
      </c>
      <c r="Q129" s="303"/>
      <c r="R129" s="304"/>
    </row>
    <row r="130" spans="1:20" s="305" customFormat="1" ht="40.5" customHeight="1">
      <c r="A130" s="300"/>
      <c r="B130" s="307" t="s">
        <v>612</v>
      </c>
      <c r="C130" s="308" t="s">
        <v>611</v>
      </c>
      <c r="D130" s="309" t="s">
        <v>626</v>
      </c>
      <c r="E130" s="310" t="s">
        <v>0</v>
      </c>
      <c r="F130" s="307" t="s">
        <v>174</v>
      </c>
      <c r="G130" s="311" t="s">
        <v>631</v>
      </c>
      <c r="H130" s="312" t="s">
        <v>630</v>
      </c>
      <c r="I130" s="300"/>
      <c r="J130" s="307" t="s">
        <v>612</v>
      </c>
      <c r="K130" s="308" t="s">
        <v>611</v>
      </c>
      <c r="L130" s="309" t="s">
        <v>626</v>
      </c>
      <c r="M130" s="310" t="s">
        <v>0</v>
      </c>
      <c r="N130" s="307" t="s">
        <v>174</v>
      </c>
      <c r="O130" s="311" t="s">
        <v>631</v>
      </c>
      <c r="P130" s="312" t="s">
        <v>630</v>
      </c>
      <c r="Q130" s="313"/>
      <c r="R130" s="314"/>
      <c r="T130" s="315"/>
    </row>
    <row r="131" spans="1:41" ht="15.75" customHeight="1">
      <c r="A131" s="123" t="s">
        <v>534</v>
      </c>
      <c r="B131" s="318">
        <f>GETPIVOTDATA(" %UG OnC Trad",'FTE Pivot Table'!$A$3,"State","AL","Type",4,"Type2","Four-Year")*100</f>
        <v>0</v>
      </c>
      <c r="C131" s="319">
        <f>GETPIVOTDATA(" %UG OffC Trad",'FTE Pivot Table'!$A$3,"State","AL","Type",4,"Type2","Four-Year")*100</f>
        <v>0</v>
      </c>
      <c r="D131" s="340">
        <f aca="true" t="shared" si="16" ref="D131:D149">SUM(E131:G131)</f>
        <v>0</v>
      </c>
      <c r="E131" s="318">
        <f>GETPIVOTDATA(" %UG EL Web",'FTE Pivot Table'!$A$3,"State","AL","Type",4,"Type2","Four-Year")*100</f>
        <v>0</v>
      </c>
      <c r="F131" s="341">
        <f>GETPIVOTDATA(" % UG EL CV",'FTE Pivot Table'!$A$3,"State","AL","Type",4,"Type2","Four-Year")*100</f>
        <v>0</v>
      </c>
      <c r="G131" s="319">
        <f>GETPIVOTDATA(" %UG EL O",'FTE Pivot Table'!$A$3,"State","AL","Type",4,"Type2","Four-Year")*100</f>
        <v>0</v>
      </c>
      <c r="H131" s="318">
        <f>GETPIVOTDATA(" %UG Cor",'FTE Pivot Table'!$A$3,"State","AL","Type",4,"Type2","Four-Year")*100</f>
        <v>0</v>
      </c>
      <c r="I131" s="123" t="s">
        <v>534</v>
      </c>
      <c r="J131" s="331">
        <f>GETPIVOTDATA(" %G OnC Trad",'FTE Pivot Table'!$A$3,"State","AL","Type",4,"Type2","Four-Year")*100</f>
        <v>0</v>
      </c>
      <c r="K131" s="332">
        <f>GETPIVOTDATA(" %G OffC Trad",'FTE Pivot Table'!$A$3,"State","AL","Type",4,"Type2","Four-Year")*100</f>
        <v>0</v>
      </c>
      <c r="L131" s="333">
        <f aca="true" t="shared" si="17" ref="L131:L149">SUM(M131:O131)</f>
        <v>0</v>
      </c>
      <c r="M131" s="331">
        <f>GETPIVOTDATA(" %G EL Web",'FTE Pivot Table'!$A$3,"State","AL","Type",4,"Type2","Four-Year")*100</f>
        <v>0</v>
      </c>
      <c r="N131" s="334">
        <f>GETPIVOTDATA(" % G EL CV",'FTE Pivot Table'!$A$3,"State","AL","Type",4,"Type2","Four-Year")*100</f>
        <v>0</v>
      </c>
      <c r="O131" s="332">
        <f>GETPIVOTDATA(" %G EL O",'FTE Pivot Table'!$A$3,"State","AL","Type",4,"Type2","Four-Year")*100</f>
        <v>0</v>
      </c>
      <c r="P131" s="331">
        <f>GETPIVOTDATA(" %G Cor",'FTE Pivot Table'!$A$3,"State","AL","Type",4,"Type2","Four-Year")*100</f>
        <v>0</v>
      </c>
      <c r="Q131" s="121">
        <f aca="true" t="shared" si="18" ref="Q131:Q149">SUM(B131,C131,D131,H131)</f>
        <v>0</v>
      </c>
      <c r="R131" s="121">
        <f aca="true" t="shared" si="19" ref="R131:R149">SUM(J131,K131,L131,P131)</f>
        <v>0</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row>
    <row r="132" spans="1:41" ht="15.75" customHeight="1">
      <c r="A132" s="122" t="s">
        <v>535</v>
      </c>
      <c r="B132" s="318">
        <f>GETPIVOTDATA(" %UG OnC Trad",'FTE Pivot Table'!$A$3,"State","AR","Type",4,"Type2","Four-Year")*100</f>
        <v>0</v>
      </c>
      <c r="C132" s="319">
        <f>GETPIVOTDATA(" %UG OffC Trad",'FTE Pivot Table'!$A$3,"State","AR","Type",4,"Type2","Four-Year")*100</f>
        <v>0</v>
      </c>
      <c r="D132" s="340">
        <f t="shared" si="16"/>
        <v>0</v>
      </c>
      <c r="E132" s="318">
        <f>GETPIVOTDATA(" %UG EL Web",'FTE Pivot Table'!$A$3,"State","AR","Type",4,"Type2","Four-Year")*100</f>
        <v>0</v>
      </c>
      <c r="F132" s="318">
        <f>GETPIVOTDATA(" % UG EL CV",'FTE Pivot Table'!$A$3,"State","AR","Type",4,"Type2","Four-Year")*100</f>
        <v>0</v>
      </c>
      <c r="G132" s="319">
        <f>GETPIVOTDATA(" %UG EL O",'FTE Pivot Table'!$A$3,"State","AR","Type",4,"Type2","Four-Year")*100</f>
        <v>0</v>
      </c>
      <c r="H132" s="318">
        <f>GETPIVOTDATA(" %UG Cor",'FTE Pivot Table'!$A$3,"State","AR","Type",4,"Type2","Four-Year")*100</f>
        <v>0</v>
      </c>
      <c r="I132" s="122" t="s">
        <v>535</v>
      </c>
      <c r="J132" s="331">
        <f>GETPIVOTDATA(" %G OnC Trad",'FTE Pivot Table'!$A$3,"State","AR","Type",4,"Type2","Four-Year")*100</f>
        <v>0</v>
      </c>
      <c r="K132" s="332">
        <f>GETPIVOTDATA(" %G OffC Trad",'FTE Pivot Table'!$A$3,"State","AR","Type",4,"Type2","Four-Year")*100</f>
        <v>0</v>
      </c>
      <c r="L132" s="333">
        <f t="shared" si="17"/>
        <v>0</v>
      </c>
      <c r="M132" s="331">
        <f>GETPIVOTDATA(" %G EL Web",'FTE Pivot Table'!$A$3,"State","AR","Type",4,"Type2","Four-Year")*100</f>
        <v>0</v>
      </c>
      <c r="N132" s="331">
        <f>GETPIVOTDATA(" % G EL CV",'FTE Pivot Table'!$A$3,"State","AR","Type",4,"Type2","Four-Year")*100</f>
        <v>0</v>
      </c>
      <c r="O132" s="332">
        <f>GETPIVOTDATA(" %G EL O",'FTE Pivot Table'!$A$3,"State","AR","Type",4,"Type2","Four-Year")*100</f>
        <v>0</v>
      </c>
      <c r="P132" s="331">
        <f>GETPIVOTDATA(" %G Cor",'FTE Pivot Table'!$A$3,"State","AR","Type",4,"Type2","Four-Year")*100</f>
        <v>0</v>
      </c>
      <c r="Q132" s="121">
        <f t="shared" si="18"/>
        <v>0</v>
      </c>
      <c r="R132" s="121">
        <f t="shared" si="19"/>
        <v>0</v>
      </c>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row>
    <row r="133" spans="1:41" ht="15.75" customHeight="1">
      <c r="A133" s="122" t="s">
        <v>536</v>
      </c>
      <c r="B133" s="318">
        <f>GETPIVOTDATA(" %UG OnC Trad",'FTE Pivot Table'!$A$3,"State","DE","Type",4,"Type2","Four-Year")*100</f>
        <v>0</v>
      </c>
      <c r="C133" s="319">
        <f>GETPIVOTDATA(" %UG OffC Trad",'FTE Pivot Table'!$A$3,"State","DE","Type",4,"Type2","Four-Year")*100</f>
        <v>0</v>
      </c>
      <c r="D133" s="340">
        <f t="shared" si="16"/>
        <v>0</v>
      </c>
      <c r="E133" s="318">
        <f>GETPIVOTDATA(" %UG EL Web",'FTE Pivot Table'!$A$3,"State","DE","Type",4,"Type2","Four-Year")*100</f>
        <v>0</v>
      </c>
      <c r="F133" s="318">
        <f>GETPIVOTDATA(" % UG EL CV",'FTE Pivot Table'!$A$3,"State","DE","Type",4,"Type2","Four-Year")*100</f>
        <v>0</v>
      </c>
      <c r="G133" s="319">
        <f>GETPIVOTDATA(" %UG EL O",'FTE Pivot Table'!$A$3,"State","DE","Type",4,"Type2","Four-Year")*100</f>
        <v>0</v>
      </c>
      <c r="H133" s="318">
        <f>GETPIVOTDATA(" %UG Cor",'FTE Pivot Table'!$A$3,"State","DE","Type",4,"Type2","Four-Year")*100</f>
        <v>0</v>
      </c>
      <c r="I133" s="122" t="s">
        <v>536</v>
      </c>
      <c r="J133" s="331">
        <f>GETPIVOTDATA(" %G OnC Trad",'FTE Pivot Table'!$A$3,"State","DE","Type",4,"Type2","Four-Year")*100</f>
        <v>0</v>
      </c>
      <c r="K133" s="332">
        <f>GETPIVOTDATA(" %G OffC Trad",'FTE Pivot Table'!$A$3,"State","DE","Type",4,"Type2","Four-Year")*100</f>
        <v>0</v>
      </c>
      <c r="L133" s="333">
        <f t="shared" si="17"/>
        <v>0</v>
      </c>
      <c r="M133" s="331">
        <f>GETPIVOTDATA(" %G EL Web",'FTE Pivot Table'!$A$3,"State","DE","Type",4,"Type2","Four-Year")*100</f>
        <v>0</v>
      </c>
      <c r="N133" s="331">
        <f>GETPIVOTDATA(" % G EL CV",'FTE Pivot Table'!$A$3,"State","DE","Type",4,"Type2","Four-Year")*100</f>
        <v>0</v>
      </c>
      <c r="O133" s="332">
        <f>GETPIVOTDATA(" %G EL O",'FTE Pivot Table'!$A$3,"State","DE","Type",4,"Type2","Four-Year")*100</f>
        <v>0</v>
      </c>
      <c r="P133" s="331">
        <f>GETPIVOTDATA(" %G Cor",'FTE Pivot Table'!$A$3,"State","DE","Type",4,"Type2","Four-Year")*100</f>
        <v>0</v>
      </c>
      <c r="Q133" s="121">
        <f t="shared" si="18"/>
        <v>0</v>
      </c>
      <c r="R133" s="121">
        <f t="shared" si="19"/>
        <v>0</v>
      </c>
      <c r="S133" s="134"/>
      <c r="T133" s="27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row>
    <row r="134" spans="1:41" ht="15.75" customHeight="1">
      <c r="A134" s="122" t="s">
        <v>537</v>
      </c>
      <c r="B134" s="318">
        <f>GETPIVOTDATA(" %UG OnC Trad",'FTE Pivot Table'!$A$3,"State","FL","Type",4,"Type2","Four-Year")*100</f>
        <v>0</v>
      </c>
      <c r="C134" s="319">
        <f>GETPIVOTDATA(" %UG OffC Trad",'FTE Pivot Table'!$A$3,"State","FL","Type",4,"Type2","Four-Year")*100</f>
        <v>0</v>
      </c>
      <c r="D134" s="340">
        <f t="shared" si="16"/>
        <v>0</v>
      </c>
      <c r="E134" s="318">
        <f>GETPIVOTDATA(" %UG EL Web",'FTE Pivot Table'!$A$3,"State","FL","Type",4,"Type2","Four-Year")*100</f>
        <v>0</v>
      </c>
      <c r="F134" s="318">
        <f>GETPIVOTDATA(" % UG EL CV",'FTE Pivot Table'!$A$3,"State","FL","Type",4,"Type2","Four-Year")*100</f>
        <v>0</v>
      </c>
      <c r="G134" s="319">
        <f>GETPIVOTDATA(" %UG EL O",'FTE Pivot Table'!$A$3,"State","FL","Type",4,"Type2","Four-Year")*100</f>
        <v>0</v>
      </c>
      <c r="H134" s="318">
        <f>GETPIVOTDATA(" %UG Cor",'FTE Pivot Table'!$A$3,"State","FL","Type",4,"Type2","Four-Year")*100</f>
        <v>0</v>
      </c>
      <c r="I134" s="122" t="s">
        <v>537</v>
      </c>
      <c r="J134" s="331">
        <f>GETPIVOTDATA(" %G OnC Trad",'FTE Pivot Table'!$A$3,"State","FL","Type",4,"Type2","Four-Year")*100</f>
        <v>0</v>
      </c>
      <c r="K134" s="332">
        <f>GETPIVOTDATA(" %G OffC Trad",'FTE Pivot Table'!$A$3,"State","FL","Type",4,"Type2","Four-Year")*100</f>
        <v>0</v>
      </c>
      <c r="L134" s="333">
        <f t="shared" si="17"/>
        <v>0</v>
      </c>
      <c r="M134" s="331">
        <f>GETPIVOTDATA(" %G EL Web",'FTE Pivot Table'!$A$3,"State","FL","Type",4,"Type2","Four-Year")*100</f>
        <v>0</v>
      </c>
      <c r="N134" s="331">
        <f>GETPIVOTDATA(" % G EL CV",'FTE Pivot Table'!$A$3,"State","FL","Type",4,"Type2","Four-Year")*100</f>
        <v>0</v>
      </c>
      <c r="O134" s="332">
        <f>GETPIVOTDATA(" %G EL O",'FTE Pivot Table'!$A$3,"State","FL","Type",4,"Type2","Four-Year")*100</f>
        <v>0</v>
      </c>
      <c r="P134" s="331">
        <f>GETPIVOTDATA(" %G Cor",'FTE Pivot Table'!$A$3,"State","FL","Type",4,"Type2","Four-Year")*100</f>
        <v>0</v>
      </c>
      <c r="Q134" s="121">
        <f t="shared" si="18"/>
        <v>0</v>
      </c>
      <c r="R134" s="121">
        <f t="shared" si="19"/>
        <v>0</v>
      </c>
      <c r="S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row>
    <row r="135" spans="1:41" ht="15.75" customHeight="1">
      <c r="A135" s="122"/>
      <c r="B135" s="318"/>
      <c r="C135" s="319"/>
      <c r="D135" s="340">
        <f t="shared" si="16"/>
        <v>0</v>
      </c>
      <c r="E135" s="318"/>
      <c r="F135" s="318"/>
      <c r="G135" s="319"/>
      <c r="H135" s="318"/>
      <c r="I135" s="122"/>
      <c r="J135" s="331"/>
      <c r="K135" s="332"/>
      <c r="L135" s="333">
        <f t="shared" si="17"/>
        <v>0</v>
      </c>
      <c r="M135" s="331"/>
      <c r="N135" s="331"/>
      <c r="O135" s="332"/>
      <c r="P135" s="331"/>
      <c r="Q135" s="121">
        <f t="shared" si="18"/>
        <v>0</v>
      </c>
      <c r="R135" s="121">
        <f t="shared" si="19"/>
        <v>0</v>
      </c>
      <c r="S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row>
    <row r="136" spans="1:41" ht="15.75" customHeight="1">
      <c r="A136" s="122" t="s">
        <v>538</v>
      </c>
      <c r="B136" s="318">
        <f>GETPIVOTDATA(" %UG OnC Trad",'FTE Pivot Table'!$A$3,"State","GA","Type",4,"Type2","Four-Year")*100</f>
        <v>95.27043020747932</v>
      </c>
      <c r="C136" s="319">
        <f>GETPIVOTDATA(" %UG OffC Trad",'FTE Pivot Table'!$A$3,"State","GA","Type",4,"Type2","Four-Year")*100</f>
        <v>1.936934328518935</v>
      </c>
      <c r="D136" s="340">
        <f t="shared" si="16"/>
        <v>2.760095861283562</v>
      </c>
      <c r="E136" s="318">
        <f>GETPIVOTDATA(" %UG EL Web",'FTE Pivot Table'!$A$3,"State","GA","Type",4,"Type2","Four-Year")*100</f>
        <v>2.168719313163453</v>
      </c>
      <c r="F136" s="318">
        <f>GETPIVOTDATA(" % UG EL CV",'FTE Pivot Table'!$A$3,"State","GA","Type",4,"Type2","Four-Year")*100</f>
        <v>0.10955575264212838</v>
      </c>
      <c r="G136" s="319">
        <f>GETPIVOTDATA(" %UG EL O",'FTE Pivot Table'!$A$3,"State","GA","Type",4,"Type2","Four-Year")*100</f>
        <v>0.4818207954779806</v>
      </c>
      <c r="H136" s="321">
        <f>GETPIVOTDATA(" %UG Cor",'FTE Pivot Table'!$A$3,"State","GA","Type",4,"Type2","Four-Year")*100</f>
        <v>0.03253960271816925</v>
      </c>
      <c r="I136" s="122" t="s">
        <v>538</v>
      </c>
      <c r="J136" s="331">
        <f>GETPIVOTDATA(" %G OnC Trad",'FTE Pivot Table'!$A$3,"State","GA","Type",4,"Type2","Four-Year")*100</f>
        <v>62.197041845639546</v>
      </c>
      <c r="K136" s="332">
        <f>GETPIVOTDATA(" %G OffC Trad",'FTE Pivot Table'!$A$3,"State","GA","Type",4,"Type2","Four-Year")*100</f>
        <v>26.006297253697692</v>
      </c>
      <c r="L136" s="333">
        <f t="shared" si="17"/>
        <v>11.639958407028047</v>
      </c>
      <c r="M136" s="331">
        <f>GETPIVOTDATA(" %G EL Web",'FTE Pivot Table'!$A$3,"State","GA","Type",4,"Type2","Four-Year")*100</f>
        <v>9.035587257779246</v>
      </c>
      <c r="N136" s="331">
        <f>GETPIVOTDATA(" % G EL CV",'FTE Pivot Table'!$A$3,"State","GA","Type",4,"Type2","Four-Year")*100</f>
        <v>2.0689588151833784</v>
      </c>
      <c r="O136" s="332">
        <f>GETPIVOTDATA(" %G EL O",'FTE Pivot Table'!$A$3,"State","GA","Type",4,"Type2","Four-Year")*100</f>
        <v>0.5354123340654215</v>
      </c>
      <c r="P136" s="331">
        <f>GETPIVOTDATA(" %G Cor",'FTE Pivot Table'!$A$3,"State","GA","Type",4,"Type2","Four-Year")*100</f>
        <v>0.1567024936347204</v>
      </c>
      <c r="Q136" s="121">
        <f t="shared" si="18"/>
        <v>99.99999999999999</v>
      </c>
      <c r="R136" s="121">
        <f t="shared" si="19"/>
        <v>100.00000000000001</v>
      </c>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row>
    <row r="137" spans="1:41" ht="15.75" customHeight="1">
      <c r="A137" s="122" t="s">
        <v>539</v>
      </c>
      <c r="B137" s="318">
        <f>GETPIVOTDATA(" %UG OnC Trad",'FTE Pivot Table'!$A$3,"State","KY","Type",4,"Type2","Four-Year")*100</f>
        <v>93.38448524693771</v>
      </c>
      <c r="C137" s="319">
        <f>GETPIVOTDATA(" %UG OffC Trad",'FTE Pivot Table'!$A$3,"State","KY","Type",4,"Type2","Four-Year")*100</f>
        <v>4.421583230085341</v>
      </c>
      <c r="D137" s="340">
        <f t="shared" si="16"/>
        <v>2.1939315229769334</v>
      </c>
      <c r="E137" s="318">
        <f>GETPIVOTDATA(" %UG EL Web",'FTE Pivot Table'!$A$3,"State","KY","Type",4,"Type2","Four-Year")*100</f>
        <v>1.089258290829844</v>
      </c>
      <c r="F137" s="318">
        <f>GETPIVOTDATA(" % UG EL CV",'FTE Pivot Table'!$A$3,"State","KY","Type",4,"Type2","Four-Year")*100</f>
        <v>0.8162211427481372</v>
      </c>
      <c r="G137" s="319">
        <f>GETPIVOTDATA(" %UG EL O",'FTE Pivot Table'!$A$3,"State","KY","Type",4,"Type2","Four-Year")*100</f>
        <v>0.28845208939895217</v>
      </c>
      <c r="H137" s="318">
        <f>GETPIVOTDATA(" %UG Cor",'FTE Pivot Table'!$A$3,"State","KY","Type",4,"Type2","Four-Year")*100</f>
        <v>0</v>
      </c>
      <c r="I137" s="122" t="s">
        <v>539</v>
      </c>
      <c r="J137" s="331">
        <f>GETPIVOTDATA(" %G OnC Trad",'FTE Pivot Table'!$A$3,"State","KY","Type",4,"Type2","Four-Year")*100</f>
        <v>76.40095392247943</v>
      </c>
      <c r="K137" s="332">
        <f>GETPIVOTDATA(" %G OffC Trad",'FTE Pivot Table'!$A$3,"State","KY","Type",4,"Type2","Four-Year")*100</f>
        <v>10.165595579009874</v>
      </c>
      <c r="L137" s="333">
        <f t="shared" si="17"/>
        <v>13.433450498510693</v>
      </c>
      <c r="M137" s="331">
        <f>GETPIVOTDATA(" %G EL Web",'FTE Pivot Table'!$A$3,"State","KY","Type",4,"Type2","Four-Year")*100</f>
        <v>11.722902759287814</v>
      </c>
      <c r="N137" s="331">
        <f>GETPIVOTDATA(" % G EL CV",'FTE Pivot Table'!$A$3,"State","KY","Type",4,"Type2","Four-Year")*100</f>
        <v>1.6875616553811381</v>
      </c>
      <c r="O137" s="336">
        <f>GETPIVOTDATA(" %G EL O",'FTE Pivot Table'!$A$3,"State","KY","Type",4,"Type2","Four-Year")*100</f>
        <v>0.022986083841740813</v>
      </c>
      <c r="P137" s="331">
        <f>GETPIVOTDATA(" %G Cor",'FTE Pivot Table'!$A$3,"State","KY","Type",4,"Type2","Four-Year")*100</f>
        <v>0</v>
      </c>
      <c r="Q137" s="121">
        <f t="shared" si="18"/>
        <v>100</v>
      </c>
      <c r="R137" s="121">
        <f t="shared" si="19"/>
        <v>100</v>
      </c>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row>
    <row r="138" spans="1:41" ht="15.75" customHeight="1">
      <c r="A138" s="122" t="s">
        <v>540</v>
      </c>
      <c r="B138" s="318">
        <f>GETPIVOTDATA(" %UG OnC Trad",'FTE Pivot Table'!$A$3,"State","LA","Type",4,"Type2","Four-Year")*100</f>
        <v>0</v>
      </c>
      <c r="C138" s="319">
        <f>GETPIVOTDATA(" %UG OffC Trad",'FTE Pivot Table'!$A$3,"State","LA","Type",4,"Type2","Four-Year")*100</f>
        <v>0</v>
      </c>
      <c r="D138" s="340">
        <f t="shared" si="16"/>
        <v>0</v>
      </c>
      <c r="E138" s="318">
        <f>GETPIVOTDATA(" %UG EL Web",'FTE Pivot Table'!$A$3,"State","LA","Type",4,"Type2","Four-Year")*100</f>
        <v>0</v>
      </c>
      <c r="F138" s="318">
        <f>GETPIVOTDATA(" % UG EL CV",'FTE Pivot Table'!$A$3,"State","LA","Type",4,"Type2","Four-Year")*100</f>
        <v>0</v>
      </c>
      <c r="G138" s="319">
        <f>GETPIVOTDATA(" %UG EL O",'FTE Pivot Table'!$A$3,"State","LA","Type",4,"Type2","Four-Year")*100</f>
        <v>0</v>
      </c>
      <c r="H138" s="318">
        <f>GETPIVOTDATA(" %UG Cor",'FTE Pivot Table'!$A$3,"State","LA","Type",4,"Type2","Four-Year")*100</f>
        <v>0</v>
      </c>
      <c r="I138" s="122" t="s">
        <v>540</v>
      </c>
      <c r="J138" s="331">
        <f>GETPIVOTDATA(" %G OnC Trad",'FTE Pivot Table'!$A$3,"State","LA","Type",4,"Type2","Four-Year")*100</f>
        <v>0</v>
      </c>
      <c r="K138" s="332">
        <f>GETPIVOTDATA(" %G OffC Trad",'FTE Pivot Table'!$A$3,"State","LA","Type",4,"Type2","Four-Year")*100</f>
        <v>0</v>
      </c>
      <c r="L138" s="333">
        <f t="shared" si="17"/>
        <v>0</v>
      </c>
      <c r="M138" s="331">
        <f>GETPIVOTDATA(" %G EL Web",'FTE Pivot Table'!$A$3,"State","LA","Type",4,"Type2","Four-Year")*100</f>
        <v>0</v>
      </c>
      <c r="N138" s="331">
        <f>GETPIVOTDATA(" % G EL CV",'FTE Pivot Table'!$A$3,"State","LA","Type",4,"Type2","Four-Year")*100</f>
        <v>0</v>
      </c>
      <c r="O138" s="332">
        <f>GETPIVOTDATA(" %G EL O",'FTE Pivot Table'!$A$3,"State","LA","Type",4,"Type2","Four-Year")*100</f>
        <v>0</v>
      </c>
      <c r="P138" s="331">
        <f>GETPIVOTDATA(" %G Cor",'FTE Pivot Table'!$A$3,"State","LA","Type",4,"Type2","Four-Year")*100</f>
        <v>0</v>
      </c>
      <c r="Q138" s="121">
        <f t="shared" si="18"/>
        <v>0</v>
      </c>
      <c r="R138" s="121">
        <f t="shared" si="19"/>
        <v>0</v>
      </c>
      <c r="S138" s="134"/>
      <c r="T138" s="27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row>
    <row r="139" spans="1:41" ht="15.75" customHeight="1">
      <c r="A139" s="122" t="s">
        <v>541</v>
      </c>
      <c r="B139" s="318">
        <f>GETPIVOTDATA(" %UG OnC Trad",'FTE Pivot Table'!$A$3,"State","MD","Type",4,"Type2","Four-Year")*100</f>
        <v>97.81021696299656</v>
      </c>
      <c r="C139" s="319">
        <f>GETPIVOTDATA(" %UG OffC Trad",'FTE Pivot Table'!$A$3,"State","MD","Type",4,"Type2","Four-Year")*100</f>
        <v>0.7174125296889708</v>
      </c>
      <c r="D139" s="340">
        <f t="shared" si="16"/>
        <v>1.4723705073144608</v>
      </c>
      <c r="E139" s="318">
        <f>GETPIVOTDATA(" %UG EL Web",'FTE Pivot Table'!$A$3,"State","MD","Type",4,"Type2","Four-Year")*100</f>
        <v>0.8512141995411726</v>
      </c>
      <c r="F139" s="318">
        <f>GETPIVOTDATA(" % UG EL CV",'FTE Pivot Table'!$A$3,"State","MD","Type",4,"Type2","Four-Year")*100</f>
        <v>0.6211563077732881</v>
      </c>
      <c r="G139" s="319">
        <f>GETPIVOTDATA(" %UG EL O",'FTE Pivot Table'!$A$3,"State","MD","Type",4,"Type2","Four-Year")*100</f>
        <v>0</v>
      </c>
      <c r="H139" s="318">
        <f>GETPIVOTDATA(" %UG Cor",'FTE Pivot Table'!$A$3,"State","MD","Type",4,"Type2","Four-Year")*100</f>
        <v>0</v>
      </c>
      <c r="I139" s="122" t="s">
        <v>541</v>
      </c>
      <c r="J139" s="331">
        <f>GETPIVOTDATA(" %G OnC Trad",'FTE Pivot Table'!$A$3,"State","MD","Type",4,"Type2","Four-Year")*100</f>
        <v>88.42025743662192</v>
      </c>
      <c r="K139" s="332">
        <f>GETPIVOTDATA(" %G OffC Trad",'FTE Pivot Table'!$A$3,"State","MD","Type",4,"Type2","Four-Year")*100</f>
        <v>6.014049132721136</v>
      </c>
      <c r="L139" s="333">
        <f t="shared" si="17"/>
        <v>5.5656934306569354</v>
      </c>
      <c r="M139" s="331">
        <f>GETPIVOTDATA(" %G EL Web",'FTE Pivot Table'!$A$3,"State","MD","Type",4,"Type2","Four-Year")*100</f>
        <v>4.835766423357665</v>
      </c>
      <c r="N139" s="331">
        <f>GETPIVOTDATA(" % G EL CV",'FTE Pivot Table'!$A$3,"State","MD","Type",4,"Type2","Four-Year")*100</f>
        <v>0.7299270072992701</v>
      </c>
      <c r="O139" s="332">
        <f>GETPIVOTDATA(" %G EL O",'FTE Pivot Table'!$A$3,"State","MD","Type",4,"Type2","Four-Year")*100</f>
        <v>0</v>
      </c>
      <c r="P139" s="331">
        <f>GETPIVOTDATA(" %G Cor",'FTE Pivot Table'!$A$3,"State","MD","Type",4,"Type2","Four-Year")*100</f>
        <v>0</v>
      </c>
      <c r="Q139" s="121">
        <f t="shared" si="18"/>
        <v>100</v>
      </c>
      <c r="R139" s="121">
        <f t="shared" si="19"/>
        <v>100</v>
      </c>
      <c r="S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row>
    <row r="140" spans="1:41" ht="15.75" customHeight="1">
      <c r="A140" s="122"/>
      <c r="B140" s="318"/>
      <c r="C140" s="319"/>
      <c r="D140" s="340">
        <f t="shared" si="16"/>
        <v>0</v>
      </c>
      <c r="E140" s="318"/>
      <c r="F140" s="318"/>
      <c r="G140" s="319"/>
      <c r="H140" s="318"/>
      <c r="I140" s="122"/>
      <c r="J140" s="331"/>
      <c r="K140" s="332"/>
      <c r="L140" s="333">
        <f t="shared" si="17"/>
        <v>0</v>
      </c>
      <c r="M140" s="331"/>
      <c r="N140" s="331"/>
      <c r="O140" s="332"/>
      <c r="P140" s="331"/>
      <c r="Q140" s="121">
        <f t="shared" si="18"/>
        <v>0</v>
      </c>
      <c r="R140" s="121">
        <f t="shared" si="19"/>
        <v>0</v>
      </c>
      <c r="S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row>
    <row r="141" spans="1:41" ht="15.75" customHeight="1">
      <c r="A141" s="122" t="s">
        <v>168</v>
      </c>
      <c r="B141" s="318">
        <f>GETPIVOTDATA(" %UG OnC Trad",'FTE Pivot Table'!$A$3,"State","MS","Type",4,"Type2","Four-Year")*100</f>
        <v>97.66150336215178</v>
      </c>
      <c r="C141" s="319">
        <f>GETPIVOTDATA(" %UG OffC Trad",'FTE Pivot Table'!$A$3,"State","MS","Type",4,"Type2","Four-Year")*100</f>
        <v>1.3394572526416908</v>
      </c>
      <c r="D141" s="340">
        <f t="shared" si="16"/>
        <v>0.7756964457252641</v>
      </c>
      <c r="E141" s="318">
        <f>GETPIVOTDATA(" %UG EL Web",'FTE Pivot Table'!$A$3,"State","MS","Type",4,"Type2","Four-Year")*100</f>
        <v>0.4214697406340058</v>
      </c>
      <c r="F141" s="318">
        <f>GETPIVOTDATA(" % UG EL CV",'FTE Pivot Table'!$A$3,"State","MS","Type",4,"Type2","Four-Year")*100</f>
        <v>0.32540826128722383</v>
      </c>
      <c r="G141" s="343">
        <f>GETPIVOTDATA(" %UG EL O",'FTE Pivot Table'!$A$3,"State","MS","Type",4,"Type2","Four-Year")*100</f>
        <v>0.028818443804034585</v>
      </c>
      <c r="H141" s="318">
        <f>GETPIVOTDATA(" %UG Cor",'FTE Pivot Table'!$A$3,"State","MS","Type",4,"Type2","Four-Year")*100</f>
        <v>0.22334293948126802</v>
      </c>
      <c r="I141" s="122" t="s">
        <v>168</v>
      </c>
      <c r="J141" s="331">
        <f>GETPIVOTDATA(" %G OnC Trad",'FTE Pivot Table'!$A$3,"State","MS","Type",4,"Type2","Four-Year")*100</f>
        <v>88.56703655666041</v>
      </c>
      <c r="K141" s="332">
        <f>GETPIVOTDATA(" %G OffC Trad",'FTE Pivot Table'!$A$3,"State","MS","Type",4,"Type2","Four-Year")*100</f>
        <v>3.329009943795936</v>
      </c>
      <c r="L141" s="333">
        <f t="shared" si="17"/>
        <v>8.017485708795697</v>
      </c>
      <c r="M141" s="331">
        <f>GETPIVOTDATA(" %G EL Web",'FTE Pivot Table'!$A$3,"State","MS","Type",4,"Type2","Four-Year")*100</f>
        <v>8.017485708795697</v>
      </c>
      <c r="N141" s="331">
        <f>GETPIVOTDATA(" % G EL CV",'FTE Pivot Table'!$A$3,"State","MS","Type",4,"Type2","Four-Year")*100</f>
        <v>0</v>
      </c>
      <c r="O141" s="332">
        <f>GETPIVOTDATA(" %G EL O",'FTE Pivot Table'!$A$3,"State","MS","Type",4,"Type2","Four-Year")*100</f>
        <v>0</v>
      </c>
      <c r="P141" s="331">
        <f>GETPIVOTDATA(" %G Cor",'FTE Pivot Table'!$A$3,"State","MS","Type",4,"Type2","Four-Year")*100</f>
        <v>0.08646779074794639</v>
      </c>
      <c r="Q141" s="121">
        <f t="shared" si="18"/>
        <v>100</v>
      </c>
      <c r="R141" s="121">
        <f t="shared" si="19"/>
        <v>100</v>
      </c>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row>
    <row r="142" spans="1:41" ht="15.75" customHeight="1">
      <c r="A142" s="122" t="s">
        <v>176</v>
      </c>
      <c r="B142" s="318">
        <f>GETPIVOTDATA(" %UG OnC Trad",'FTE Pivot Table'!$A$3,"State","NC","Type",4,"Type2","Four-Year")*100</f>
        <v>95.9537828801373</v>
      </c>
      <c r="C142" s="319">
        <f>GETPIVOTDATA(" %UG OffC Trad",'FTE Pivot Table'!$A$3,"State","NC","Type",4,"Type2","Four-Year")*100</f>
        <v>4.0462171198627095</v>
      </c>
      <c r="D142" s="340">
        <f t="shared" si="16"/>
        <v>0</v>
      </c>
      <c r="E142" s="318">
        <f>GETPIVOTDATA(" %UG EL Web",'FTE Pivot Table'!$A$3,"State","NC","Type",4,"Type2","Four-Year")*100</f>
        <v>0</v>
      </c>
      <c r="F142" s="318">
        <f>GETPIVOTDATA(" % UG EL CV",'FTE Pivot Table'!$A$3,"State","NC","Type",4,"Type2","Four-Year")*100</f>
        <v>0</v>
      </c>
      <c r="G142" s="319">
        <f>GETPIVOTDATA(" %UG EL O",'FTE Pivot Table'!$A$3,"State","NC","Type",4,"Type2","Four-Year")*100</f>
        <v>0</v>
      </c>
      <c r="H142" s="318">
        <f>GETPIVOTDATA(" %UG Cor",'FTE Pivot Table'!$A$3,"State","NC","Type",4,"Type2","Four-Year")*100</f>
        <v>0</v>
      </c>
      <c r="I142" s="122" t="s">
        <v>176</v>
      </c>
      <c r="J142" s="331">
        <f>GETPIVOTDATA(" %G OnC Trad",'FTE Pivot Table'!$A$3,"State","NC","Type",4,"Type2","Four-Year")*100</f>
        <v>78.46635794061564</v>
      </c>
      <c r="K142" s="332">
        <f>GETPIVOTDATA(" %G OffC Trad",'FTE Pivot Table'!$A$3,"State","NC","Type",4,"Type2","Four-Year")*100</f>
        <v>21.533642059384363</v>
      </c>
      <c r="L142" s="333">
        <f t="shared" si="17"/>
        <v>0</v>
      </c>
      <c r="M142" s="331">
        <f>GETPIVOTDATA(" %G EL Web",'FTE Pivot Table'!$A$3,"State","NC","Type",4,"Type2","Four-Year")*100</f>
        <v>0</v>
      </c>
      <c r="N142" s="331">
        <f>GETPIVOTDATA(" % G EL CV",'FTE Pivot Table'!$A$3,"State","NC","Type",4,"Type2","Four-Year")*100</f>
        <v>0</v>
      </c>
      <c r="O142" s="332">
        <f>GETPIVOTDATA(" %G EL O",'FTE Pivot Table'!$A$3,"State","NC","Type",4,"Type2","Four-Year")*100</f>
        <v>0</v>
      </c>
      <c r="P142" s="331">
        <f>GETPIVOTDATA(" %G Cor",'FTE Pivot Table'!$A$3,"State","NC","Type",4,"Type2","Four-Year")*100</f>
        <v>0</v>
      </c>
      <c r="Q142" s="121">
        <f t="shared" si="18"/>
        <v>100</v>
      </c>
      <c r="R142" s="121">
        <f t="shared" si="19"/>
        <v>100</v>
      </c>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row>
    <row r="143" spans="1:41" ht="15.75" customHeight="1">
      <c r="A143" s="122" t="s">
        <v>169</v>
      </c>
      <c r="B143" s="318">
        <f>GETPIVOTDATA(" %UG OnC Trad",'FTE Pivot Table'!$A$3,"State","OK","Type",4,"Type2","Four-Year")*100</f>
        <v>97.62829530124012</v>
      </c>
      <c r="C143" s="319">
        <f>GETPIVOTDATA(" %UG OffC Trad",'FTE Pivot Table'!$A$3,"State","OK","Type",4,"Type2","Four-Year")*100</f>
        <v>0</v>
      </c>
      <c r="D143" s="340">
        <f t="shared" si="16"/>
        <v>2.371704698759896</v>
      </c>
      <c r="E143" s="318">
        <f>GETPIVOTDATA(" %UG EL Web",'FTE Pivot Table'!$A$3,"State","OK","Type",4,"Type2","Four-Year")*100</f>
        <v>1.5785759209559793</v>
      </c>
      <c r="F143" s="318">
        <f>GETPIVOTDATA(" % UG EL CV",'FTE Pivot Table'!$A$3,"State","OK","Type",4,"Type2","Four-Year")*100</f>
        <v>0.7931287778039167</v>
      </c>
      <c r="G143" s="319">
        <f>GETPIVOTDATA(" %UG EL O",'FTE Pivot Table'!$A$3,"State","OK","Type",4,"Type2","Four-Year")*100</f>
        <v>0</v>
      </c>
      <c r="H143" s="318">
        <f>GETPIVOTDATA(" %UG Cor",'FTE Pivot Table'!$A$3,"State","OK","Type",4,"Type2","Four-Year")*100</f>
        <v>0</v>
      </c>
      <c r="I143" s="122" t="s">
        <v>169</v>
      </c>
      <c r="J143" s="331">
        <f>GETPIVOTDATA(" %G OnC Trad",'FTE Pivot Table'!$A$3,"State","OK","Type",4,"Type2","Four-Year")*100</f>
        <v>99.15932746196957</v>
      </c>
      <c r="K143" s="332">
        <f>GETPIVOTDATA(" %G OffC Trad",'FTE Pivot Table'!$A$3,"State","OK","Type",4,"Type2","Four-Year")*100</f>
        <v>0</v>
      </c>
      <c r="L143" s="333">
        <f t="shared" si="17"/>
        <v>0.8406725380304243</v>
      </c>
      <c r="M143" s="331">
        <f>GETPIVOTDATA(" %G EL Web",'FTE Pivot Table'!$A$3,"State","OK","Type",4,"Type2","Four-Year")*100</f>
        <v>0.6691067139425826</v>
      </c>
      <c r="N143" s="331">
        <f>GETPIVOTDATA(" % G EL CV",'FTE Pivot Table'!$A$3,"State","OK","Type",4,"Type2","Four-Year")*100</f>
        <v>0.17156582408784168</v>
      </c>
      <c r="O143" s="332">
        <f>GETPIVOTDATA(" %G EL O",'FTE Pivot Table'!$A$3,"State","OK","Type",4,"Type2","Four-Year")*100</f>
        <v>0</v>
      </c>
      <c r="P143" s="331">
        <f>GETPIVOTDATA(" %G Cor",'FTE Pivot Table'!$A$3,"State","OK","Type",4,"Type2","Four-Year")*100</f>
        <v>0</v>
      </c>
      <c r="Q143" s="121">
        <f t="shared" si="18"/>
        <v>100.00000000000001</v>
      </c>
      <c r="R143" s="121">
        <f t="shared" si="19"/>
        <v>99.99999999999999</v>
      </c>
      <c r="S143" s="134"/>
      <c r="T143" s="27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row>
    <row r="144" spans="1:41" ht="15.75" customHeight="1">
      <c r="A144" s="122" t="s">
        <v>542</v>
      </c>
      <c r="B144" s="318">
        <f>GETPIVOTDATA(" %UG OnC Trad",'FTE Pivot Table'!$A$3,"State","SC","Type",4,"Type2","Four-Year")*100</f>
        <v>0</v>
      </c>
      <c r="C144" s="319">
        <f>GETPIVOTDATA(" %UG OffC Trad",'FTE Pivot Table'!$A$3,"State","SC","Type",4,"Type2","Four-Year")*100</f>
        <v>0</v>
      </c>
      <c r="D144" s="340">
        <f t="shared" si="16"/>
        <v>0</v>
      </c>
      <c r="E144" s="318">
        <f>GETPIVOTDATA(" %UG EL Web",'FTE Pivot Table'!$A$3,"State","SC","Type",4,"Type2","Four-Year")*100</f>
        <v>0</v>
      </c>
      <c r="F144" s="318">
        <f>GETPIVOTDATA(" % UG EL CV",'FTE Pivot Table'!$A$3,"State","SC","Type",4,"Type2","Four-Year")*100</f>
        <v>0</v>
      </c>
      <c r="G144" s="319">
        <f>GETPIVOTDATA(" %UG EL O",'FTE Pivot Table'!$A$3,"State","SC","Type",4,"Type2","Four-Year")*100</f>
        <v>0</v>
      </c>
      <c r="H144" s="318">
        <f>GETPIVOTDATA(" %UG Cor",'FTE Pivot Table'!$A$3,"State","SC","Type",4,"Type2","Four-Year")*100</f>
        <v>0</v>
      </c>
      <c r="I144" s="122" t="s">
        <v>542</v>
      </c>
      <c r="J144" s="331">
        <f>GETPIVOTDATA(" %G OnC Trad",'FTE Pivot Table'!$A$3,"State","SC","Type",4,"Type2","Four-Year")*100</f>
        <v>0</v>
      </c>
      <c r="K144" s="332">
        <f>GETPIVOTDATA(" %G OffC Trad",'FTE Pivot Table'!$A$3,"State","SC","Type",4,"Type2","Four-Year")*100</f>
        <v>0</v>
      </c>
      <c r="L144" s="333">
        <f t="shared" si="17"/>
        <v>0</v>
      </c>
      <c r="M144" s="331">
        <f>GETPIVOTDATA(" %G EL Web",'FTE Pivot Table'!$A$3,"State","SC","Type",4,"Type2","Four-Year")*100</f>
        <v>0</v>
      </c>
      <c r="N144" s="331">
        <f>GETPIVOTDATA(" % G EL CV",'FTE Pivot Table'!$A$3,"State","SC","Type",4,"Type2","Four-Year")*100</f>
        <v>0</v>
      </c>
      <c r="O144" s="332">
        <f>GETPIVOTDATA(" %G EL O",'FTE Pivot Table'!$A$3,"State","SC","Type",4,"Type2","Four-Year")*100</f>
        <v>0</v>
      </c>
      <c r="P144" s="331">
        <f>GETPIVOTDATA(" %G Cor",'FTE Pivot Table'!$A$3,"State","SC","Type",4,"Type2","Four-Year")*100</f>
        <v>0</v>
      </c>
      <c r="Q144" s="121">
        <f t="shared" si="18"/>
        <v>0</v>
      </c>
      <c r="R144" s="121">
        <f t="shared" si="19"/>
        <v>0</v>
      </c>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row>
    <row r="145" spans="1:41" ht="15.75" customHeight="1">
      <c r="A145" s="122"/>
      <c r="B145" s="318"/>
      <c r="C145" s="319"/>
      <c r="D145" s="340">
        <f t="shared" si="16"/>
        <v>0</v>
      </c>
      <c r="E145" s="318"/>
      <c r="F145" s="318"/>
      <c r="G145" s="319"/>
      <c r="H145" s="318"/>
      <c r="I145" s="122"/>
      <c r="J145" s="331"/>
      <c r="K145" s="332"/>
      <c r="L145" s="333">
        <f t="shared" si="17"/>
        <v>0</v>
      </c>
      <c r="M145" s="331"/>
      <c r="N145" s="331"/>
      <c r="O145" s="332"/>
      <c r="P145" s="331"/>
      <c r="Q145" s="121">
        <f t="shared" si="18"/>
        <v>0</v>
      </c>
      <c r="R145" s="121">
        <f t="shared" si="19"/>
        <v>0</v>
      </c>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row>
    <row r="146" spans="1:41" ht="15.75" customHeight="1">
      <c r="A146" s="122" t="s">
        <v>543</v>
      </c>
      <c r="B146" s="318">
        <f>GETPIVOTDATA(" %UG OnC Trad",'FTE Pivot Table'!$A$3,"State","TN","Type",4,"Type2","Four-Year")*100</f>
        <v>0</v>
      </c>
      <c r="C146" s="319">
        <f>GETPIVOTDATA(" %UG OffC Trad",'FTE Pivot Table'!$A$3,"State","TN","Type",4,"Type2","Four-Year")*100</f>
        <v>0</v>
      </c>
      <c r="D146" s="340">
        <f t="shared" si="16"/>
        <v>0</v>
      </c>
      <c r="E146" s="318">
        <f>GETPIVOTDATA(" %UG EL Web",'FTE Pivot Table'!$A$3,"State","TN","Type",4,"Type2","Four-Year")*100</f>
        <v>0</v>
      </c>
      <c r="F146" s="318">
        <f>GETPIVOTDATA(" % UG EL CV",'FTE Pivot Table'!$A$3,"State","TN","Type",4,"Type2","Four-Year")*100</f>
        <v>0</v>
      </c>
      <c r="G146" s="319">
        <f>GETPIVOTDATA(" %UG EL O",'FTE Pivot Table'!$A$3,"State","TN","Type",4,"Type2","Four-Year")*100</f>
        <v>0</v>
      </c>
      <c r="H146" s="318">
        <f>GETPIVOTDATA(" %UG Cor",'FTE Pivot Table'!$A$3,"State","TN","Type",4,"Type2","Four-Year")*100</f>
        <v>0</v>
      </c>
      <c r="I146" s="122" t="s">
        <v>543</v>
      </c>
      <c r="J146" s="331">
        <f>GETPIVOTDATA(" %G OnC Trad",'FTE Pivot Table'!$A$3,"State","TN","Type",4,"Type2","Four-Year")*100</f>
        <v>0</v>
      </c>
      <c r="K146" s="332">
        <f>GETPIVOTDATA(" %G OffC Trad",'FTE Pivot Table'!$A$3,"State","TN","Type",4,"Type2","Four-Year")*100</f>
        <v>0</v>
      </c>
      <c r="L146" s="333">
        <f t="shared" si="17"/>
        <v>0</v>
      </c>
      <c r="M146" s="331">
        <f>GETPIVOTDATA(" %G EL Web",'FTE Pivot Table'!$A$3,"State","TN","Type",4,"Type2","Four-Year")*100</f>
        <v>0</v>
      </c>
      <c r="N146" s="331">
        <f>GETPIVOTDATA(" % G EL CV",'FTE Pivot Table'!$A$3,"State","TN","Type",4,"Type2","Four-Year")*100</f>
        <v>0</v>
      </c>
      <c r="O146" s="332">
        <f>GETPIVOTDATA(" %G EL O",'FTE Pivot Table'!$A$3,"State","TN","Type",4,"Type2","Four-Year")*100</f>
        <v>0</v>
      </c>
      <c r="P146" s="331">
        <f>GETPIVOTDATA(" %G Cor",'FTE Pivot Table'!$A$3,"State","TN","Type",4,"Type2","Four-Year")*100</f>
        <v>0</v>
      </c>
      <c r="Q146" s="121">
        <f t="shared" si="18"/>
        <v>0</v>
      </c>
      <c r="R146" s="121">
        <f t="shared" si="19"/>
        <v>0</v>
      </c>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row>
    <row r="147" spans="1:41" ht="15.75" customHeight="1">
      <c r="A147" s="122" t="s">
        <v>277</v>
      </c>
      <c r="B147" s="318">
        <f>GETPIVOTDATA(" %UG OnC Trad",'FTE Pivot Table'!$A$3,"State","TX","Type",4,"Type2","Four-Year")*100</f>
        <v>94.68365431733498</v>
      </c>
      <c r="C147" s="319">
        <f>GETPIVOTDATA(" %UG OffC Trad",'FTE Pivot Table'!$A$3,"State","TX","Type",4,"Type2","Four-Year")*100</f>
        <v>0.7919043612526235</v>
      </c>
      <c r="D147" s="340">
        <f t="shared" si="16"/>
        <v>4.524441321412391</v>
      </c>
      <c r="E147" s="318">
        <f>GETPIVOTDATA(" %UG EL Web",'FTE Pivot Table'!$A$3,"State","TX","Type",4,"Type2","Four-Year")*100</f>
        <v>3.8994239855025565</v>
      </c>
      <c r="F147" s="318">
        <f>GETPIVOTDATA(" % UG EL CV",'FTE Pivot Table'!$A$3,"State","TX","Type",4,"Type2","Four-Year")*100</f>
        <v>0.41421267231894376</v>
      </c>
      <c r="G147" s="319">
        <f>GETPIVOTDATA(" %UG EL O",'FTE Pivot Table'!$A$3,"State","TX","Type",4,"Type2","Four-Year")*100</f>
        <v>0.21080466359089103</v>
      </c>
      <c r="H147" s="318">
        <f>GETPIVOTDATA(" %UG Cor",'FTE Pivot Table'!$A$3,"State","TX","Type",4,"Type2","Four-Year")*100</f>
        <v>0</v>
      </c>
      <c r="I147" s="122" t="s">
        <v>277</v>
      </c>
      <c r="J147" s="331">
        <f>GETPIVOTDATA(" %G OnC Trad",'FTE Pivot Table'!$A$3,"State","TX","Type",4,"Type2","Four-Year")*100</f>
        <v>83.16202965325772</v>
      </c>
      <c r="K147" s="332">
        <f>GETPIVOTDATA(" %G OffC Trad",'FTE Pivot Table'!$A$3,"State","TX","Type",4,"Type2","Four-Year")*100</f>
        <v>3.455608718766613</v>
      </c>
      <c r="L147" s="333">
        <f t="shared" si="17"/>
        <v>13.382361627975664</v>
      </c>
      <c r="M147" s="331">
        <f>GETPIVOTDATA(" %G EL Web",'FTE Pivot Table'!$A$3,"State","TX","Type",4,"Type2","Four-Year")*100</f>
        <v>13.072242896804301</v>
      </c>
      <c r="N147" s="331">
        <f>GETPIVOTDATA(" % G EL CV",'FTE Pivot Table'!$A$3,"State","TX","Type",4,"Type2","Four-Year")*100</f>
        <v>0.31011873117136274</v>
      </c>
      <c r="O147" s="332">
        <f>GETPIVOTDATA(" %G EL O",'FTE Pivot Table'!$A$3,"State","TX","Type",4,"Type2","Four-Year")*100</f>
        <v>0</v>
      </c>
      <c r="P147" s="331">
        <f>GETPIVOTDATA(" %G Cor",'FTE Pivot Table'!$A$3,"State","TX","Type",4,"Type2","Four-Year")*100</f>
        <v>0</v>
      </c>
      <c r="Q147" s="121">
        <f t="shared" si="18"/>
        <v>100</v>
      </c>
      <c r="R147" s="121">
        <f t="shared" si="19"/>
        <v>100</v>
      </c>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row>
    <row r="148" spans="1:41" ht="15.75" customHeight="1">
      <c r="A148" s="122" t="s">
        <v>544</v>
      </c>
      <c r="B148" s="318">
        <f>GETPIVOTDATA(" %UG OnC Trad",'FTE Pivot Table'!$A$3,"State","VA","Type",4,"Type2","Four-Year")*100</f>
        <v>0</v>
      </c>
      <c r="C148" s="319">
        <f>GETPIVOTDATA(" %UG OffC Trad",'FTE Pivot Table'!$A$3,"State","VA","Type",4,"Type2","Four-Year")*100</f>
        <v>0</v>
      </c>
      <c r="D148" s="340">
        <f t="shared" si="16"/>
        <v>0</v>
      </c>
      <c r="E148" s="318">
        <f>GETPIVOTDATA(" %UG EL Web",'FTE Pivot Table'!$A$3,"State","VA","Type",4,"Type2","Four-Year")*100</f>
        <v>0</v>
      </c>
      <c r="F148" s="318">
        <f>GETPIVOTDATA(" % UG EL CV",'FTE Pivot Table'!$A$3,"State","VA","Type",4,"Type2","Four-Year")*100</f>
        <v>0</v>
      </c>
      <c r="G148" s="319">
        <f>GETPIVOTDATA(" %UG EL O",'FTE Pivot Table'!$A$3,"State","VA","Type",4,"Type2","Four-Year")*100</f>
        <v>0</v>
      </c>
      <c r="H148" s="318">
        <f>GETPIVOTDATA(" %UG Cor",'FTE Pivot Table'!$A$3,"State","VA","Type",4,"Type2","Four-Year")*100</f>
        <v>0</v>
      </c>
      <c r="I148" s="122" t="s">
        <v>544</v>
      </c>
      <c r="J148" s="331">
        <f>GETPIVOTDATA(" %G OnC Trad",'FTE Pivot Table'!$A$3,"State","VA","Type",4,"Type2","Four-Year")*100</f>
        <v>0</v>
      </c>
      <c r="K148" s="332">
        <f>GETPIVOTDATA(" %G OffC Trad",'FTE Pivot Table'!$A$3,"State","VA","Type",4,"Type2","Four-Year")*100</f>
        <v>0</v>
      </c>
      <c r="L148" s="333">
        <f t="shared" si="17"/>
        <v>0</v>
      </c>
      <c r="M148" s="331">
        <f>GETPIVOTDATA(" %G EL Web",'FTE Pivot Table'!$A$3,"State","VA","Type",4,"Type2","Four-Year")*100</f>
        <v>0</v>
      </c>
      <c r="N148" s="331">
        <f>GETPIVOTDATA(" % G EL CV",'FTE Pivot Table'!$A$3,"State","VA","Type",4,"Type2","Four-Year")*100</f>
        <v>0</v>
      </c>
      <c r="O148" s="332">
        <f>GETPIVOTDATA(" %G EL O",'FTE Pivot Table'!$A$3,"State","VA","Type",4,"Type2","Four-Year")*100</f>
        <v>0</v>
      </c>
      <c r="P148" s="331">
        <f>GETPIVOTDATA(" %G Cor",'FTE Pivot Table'!$A$3,"State","VA","Type",4,"Type2","Four-Year")*100</f>
        <v>0</v>
      </c>
      <c r="Q148" s="121">
        <f t="shared" si="18"/>
        <v>0</v>
      </c>
      <c r="R148" s="121">
        <f t="shared" si="19"/>
        <v>0</v>
      </c>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row>
    <row r="149" spans="1:41" ht="15.75" customHeight="1">
      <c r="A149" s="116" t="s">
        <v>170</v>
      </c>
      <c r="B149" s="317">
        <f>GETPIVOTDATA(" %UG OnC Trad",'FTE Pivot Table'!$A$3,"State","WV","Type",4,"Type2","Four-Year")*100</f>
        <v>0</v>
      </c>
      <c r="C149" s="320">
        <f>GETPIVOTDATA(" %UG OffC Trad",'FTE Pivot Table'!$A$3,"State","WV","Type",4,"Type2","Four-Year")*100</f>
        <v>0</v>
      </c>
      <c r="D149" s="342">
        <f t="shared" si="16"/>
        <v>0</v>
      </c>
      <c r="E149" s="317">
        <f>GETPIVOTDATA(" %UG EL Web",'FTE Pivot Table'!$A$3,"State","WV","Type",4,"Type2","Four-Year")*100</f>
        <v>0</v>
      </c>
      <c r="F149" s="317">
        <f>GETPIVOTDATA(" % UG EL CV",'FTE Pivot Table'!$A$3,"State","WV","Type",4,"Type2","Four-Year")*100</f>
        <v>0</v>
      </c>
      <c r="G149" s="320">
        <f>GETPIVOTDATA(" %UG EL O",'FTE Pivot Table'!$A$3,"State","WV","Type",4,"Type2","Four-Year")*100</f>
        <v>0</v>
      </c>
      <c r="H149" s="317">
        <f>GETPIVOTDATA(" %UG Cor",'FTE Pivot Table'!$A$3,"State","WV","Type",4,"Type2","Four-Year")*100</f>
        <v>0</v>
      </c>
      <c r="I149" s="116" t="s">
        <v>170</v>
      </c>
      <c r="J149" s="337">
        <f>GETPIVOTDATA(" %G OnC Trad",'FTE Pivot Table'!$A$3,"State","WV","Type",4,"Type2","Four-Year")*100</f>
        <v>0</v>
      </c>
      <c r="K149" s="338">
        <f>GETPIVOTDATA(" %G OffC Trad",'FTE Pivot Table'!$A$3,"State","WV","Type",4,"Type2","Four-Year")*100</f>
        <v>0</v>
      </c>
      <c r="L149" s="339">
        <f t="shared" si="17"/>
        <v>0</v>
      </c>
      <c r="M149" s="337">
        <f>GETPIVOTDATA(" %G EL Web",'FTE Pivot Table'!$A$3,"State","WV","Type",4,"Type2","Four-Year")*100</f>
        <v>0</v>
      </c>
      <c r="N149" s="337">
        <f>GETPIVOTDATA(" % G EL CV",'FTE Pivot Table'!$A$3,"State","WV","Type",4,"Type2","Four-Year")*100</f>
        <v>0</v>
      </c>
      <c r="O149" s="338">
        <f>GETPIVOTDATA(" %G EL O",'FTE Pivot Table'!$A$3,"State","WV","Type",4,"Type2","Four-Year")*100</f>
        <v>0</v>
      </c>
      <c r="P149" s="337">
        <f>GETPIVOTDATA(" %G Cor",'FTE Pivot Table'!$A$3,"State","WV","Type",4,"Type2","Four-Year")*100</f>
        <v>0</v>
      </c>
      <c r="Q149" s="121">
        <f t="shared" si="18"/>
        <v>0</v>
      </c>
      <c r="R149" s="121">
        <f t="shared" si="19"/>
        <v>0</v>
      </c>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row>
    <row r="150" spans="1:41" s="279" customFormat="1" ht="18" customHeight="1">
      <c r="A150" s="347" t="s">
        <v>634</v>
      </c>
      <c r="B150" s="283"/>
      <c r="C150" s="283"/>
      <c r="D150" s="284"/>
      <c r="E150" s="283"/>
      <c r="F150" s="284"/>
      <c r="G150" s="284"/>
      <c r="H150" s="283"/>
      <c r="I150" s="347" t="s">
        <v>634</v>
      </c>
      <c r="J150" s="283"/>
      <c r="K150" s="283"/>
      <c r="L150" s="284"/>
      <c r="M150" s="283"/>
      <c r="N150" s="284"/>
      <c r="O150" s="284"/>
      <c r="P150" s="283"/>
      <c r="Q150" s="283"/>
      <c r="R150" s="283"/>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row>
    <row r="151" spans="1:18" s="279" customFormat="1" ht="13.5" customHeight="1">
      <c r="A151" s="347"/>
      <c r="B151" s="278"/>
      <c r="H151" s="351" t="s">
        <v>642</v>
      </c>
      <c r="I151" s="347"/>
      <c r="P151" s="351" t="s">
        <v>642</v>
      </c>
      <c r="Q151" s="281"/>
      <c r="R151" s="282"/>
    </row>
    <row r="152" spans="1:18" ht="18">
      <c r="A152" s="113" t="s">
        <v>582</v>
      </c>
      <c r="B152" s="114"/>
      <c r="C152" s="114"/>
      <c r="D152" s="114"/>
      <c r="E152" s="114"/>
      <c r="F152" s="114"/>
      <c r="G152" s="114"/>
      <c r="H152" s="132"/>
      <c r="I152" s="113" t="s">
        <v>624</v>
      </c>
      <c r="J152" s="115"/>
      <c r="K152" s="115"/>
      <c r="L152" s="114"/>
      <c r="M152" s="115"/>
      <c r="N152" s="115"/>
      <c r="O152" s="115"/>
      <c r="P152" s="115"/>
      <c r="Q152" s="270"/>
      <c r="R152" s="271"/>
    </row>
    <row r="153" spans="1:18" ht="12.75">
      <c r="A153" s="293"/>
      <c r="B153" s="115"/>
      <c r="C153" s="115"/>
      <c r="D153" s="115"/>
      <c r="E153" s="115"/>
      <c r="F153" s="115"/>
      <c r="G153" s="115"/>
      <c r="H153" s="127"/>
      <c r="I153" s="293"/>
      <c r="J153" s="115"/>
      <c r="K153" s="115"/>
      <c r="L153" s="115"/>
      <c r="M153" s="115"/>
      <c r="N153" s="115"/>
      <c r="O153" s="115"/>
      <c r="P153" s="115"/>
      <c r="R153" s="273"/>
    </row>
    <row r="154" spans="1:18" ht="15.75">
      <c r="A154" s="124" t="s">
        <v>617</v>
      </c>
      <c r="B154" s="115"/>
      <c r="C154" s="115"/>
      <c r="D154" s="115"/>
      <c r="E154" s="115"/>
      <c r="F154" s="115"/>
      <c r="G154" s="115"/>
      <c r="H154" s="127"/>
      <c r="I154" s="124" t="s">
        <v>618</v>
      </c>
      <c r="J154" s="115"/>
      <c r="K154" s="115"/>
      <c r="L154" s="115"/>
      <c r="M154" s="115"/>
      <c r="N154" s="115"/>
      <c r="O154" s="115"/>
      <c r="P154" s="115"/>
      <c r="R154" s="273" t="s">
        <v>2</v>
      </c>
    </row>
    <row r="155" spans="1:18" ht="15.75">
      <c r="A155" s="124" t="s">
        <v>551</v>
      </c>
      <c r="B155" s="115"/>
      <c r="C155" s="115"/>
      <c r="D155" s="115"/>
      <c r="E155" s="115"/>
      <c r="F155" s="115"/>
      <c r="G155" s="115"/>
      <c r="H155" s="127"/>
      <c r="I155" s="124" t="s">
        <v>551</v>
      </c>
      <c r="J155" s="115"/>
      <c r="K155" s="115"/>
      <c r="L155" s="115"/>
      <c r="M155" s="115"/>
      <c r="N155" s="115"/>
      <c r="O155" s="115"/>
      <c r="P155" s="115"/>
      <c r="R155" s="273" t="s">
        <v>2</v>
      </c>
    </row>
    <row r="156" spans="1:16" ht="12.75">
      <c r="A156" s="116"/>
      <c r="B156" s="117"/>
      <c r="C156" s="117"/>
      <c r="D156" s="117"/>
      <c r="E156" s="117"/>
      <c r="F156" s="117"/>
      <c r="G156" s="117"/>
      <c r="H156" s="117"/>
      <c r="I156" s="118"/>
      <c r="L156" s="119"/>
      <c r="P156" s="116"/>
    </row>
    <row r="157" spans="1:18" s="305" customFormat="1" ht="12">
      <c r="A157" s="300"/>
      <c r="B157" s="301" t="s">
        <v>279</v>
      </c>
      <c r="C157" s="301"/>
      <c r="D157" s="301"/>
      <c r="E157" s="301"/>
      <c r="F157" s="301"/>
      <c r="G157" s="301"/>
      <c r="H157" s="302"/>
      <c r="I157" s="300"/>
      <c r="J157" s="301" t="s">
        <v>279</v>
      </c>
      <c r="K157" s="301"/>
      <c r="L157" s="301"/>
      <c r="M157" s="301"/>
      <c r="N157" s="301"/>
      <c r="O157" s="301"/>
      <c r="P157" s="302"/>
      <c r="Q157" s="303"/>
      <c r="R157" s="304"/>
    </row>
    <row r="158" spans="1:18" s="305" customFormat="1" ht="12">
      <c r="A158" s="300"/>
      <c r="B158" s="301" t="s">
        <v>173</v>
      </c>
      <c r="C158" s="301"/>
      <c r="D158" s="370" t="s">
        <v>629</v>
      </c>
      <c r="E158" s="371"/>
      <c r="F158" s="371"/>
      <c r="G158" s="371"/>
      <c r="H158" s="306" t="s">
        <v>2</v>
      </c>
      <c r="I158" s="300"/>
      <c r="J158" s="301" t="s">
        <v>173</v>
      </c>
      <c r="K158" s="301"/>
      <c r="L158" s="370" t="s">
        <v>629</v>
      </c>
      <c r="M158" s="371"/>
      <c r="N158" s="371"/>
      <c r="O158" s="371"/>
      <c r="P158" s="306" t="s">
        <v>2</v>
      </c>
      <c r="Q158" s="303"/>
      <c r="R158" s="304"/>
    </row>
    <row r="159" spans="1:20" s="305" customFormat="1" ht="40.5" customHeight="1">
      <c r="A159" s="300"/>
      <c r="B159" s="307" t="s">
        <v>612</v>
      </c>
      <c r="C159" s="308" t="s">
        <v>611</v>
      </c>
      <c r="D159" s="309" t="s">
        <v>626</v>
      </c>
      <c r="E159" s="310" t="s">
        <v>0</v>
      </c>
      <c r="F159" s="307" t="s">
        <v>174</v>
      </c>
      <c r="G159" s="311" t="s">
        <v>631</v>
      </c>
      <c r="H159" s="312" t="s">
        <v>630</v>
      </c>
      <c r="I159" s="300"/>
      <c r="J159" s="307" t="s">
        <v>612</v>
      </c>
      <c r="K159" s="308" t="s">
        <v>611</v>
      </c>
      <c r="L159" s="309" t="s">
        <v>626</v>
      </c>
      <c r="M159" s="310" t="s">
        <v>0</v>
      </c>
      <c r="N159" s="307" t="s">
        <v>174</v>
      </c>
      <c r="O159" s="311" t="s">
        <v>631</v>
      </c>
      <c r="P159" s="312" t="s">
        <v>630</v>
      </c>
      <c r="Q159" s="313"/>
      <c r="R159" s="314"/>
      <c r="T159" s="315"/>
    </row>
    <row r="160" spans="1:41" ht="15.75" customHeight="1">
      <c r="A160" s="123" t="s">
        <v>534</v>
      </c>
      <c r="B160" s="318">
        <f>GETPIVOTDATA(" %UG OnC Trad",'FTE Pivot Table'!$A$3,"State","AL","Type",5,"Type2","Four-Year")*100</f>
        <v>0</v>
      </c>
      <c r="C160" s="319">
        <f>GETPIVOTDATA(" %UG OffC Trad",'FTE Pivot Table'!$A$3,"State","AL","Type",5,"Type2","Four-Year")*100</f>
        <v>0</v>
      </c>
      <c r="D160" s="340">
        <f aca="true" t="shared" si="20" ref="D160:D178">SUM(E160:G160)</f>
        <v>0</v>
      </c>
      <c r="E160" s="318">
        <f>GETPIVOTDATA(" %UG EL Web",'FTE Pivot Table'!$A$3,"State","AL","Type",5,"Type2","Four-Year")*100</f>
        <v>0</v>
      </c>
      <c r="F160" s="341">
        <f>GETPIVOTDATA(" % UG EL CV",'FTE Pivot Table'!$A$3,"State","AL","Type",5,"Type2","Four-Year")*100</f>
        <v>0</v>
      </c>
      <c r="G160" s="319">
        <f>GETPIVOTDATA(" %UG EL O",'FTE Pivot Table'!$A$3,"State","AL","Type",5,"Type2","Four-Year")*100</f>
        <v>0</v>
      </c>
      <c r="H160" s="318">
        <f>GETPIVOTDATA(" %UG Cor",'FTE Pivot Table'!$A$3,"State","AL","Type",5,"Type2","Four-Year")*100</f>
        <v>0</v>
      </c>
      <c r="I160" s="123" t="s">
        <v>534</v>
      </c>
      <c r="J160" s="331">
        <f>GETPIVOTDATA(" %G OnC Trad",'FTE Pivot Table'!$A$3,"State","AL","Type",5,"Type2","Four-Year")*100</f>
        <v>0</v>
      </c>
      <c r="K160" s="332">
        <f>GETPIVOTDATA(" %G OffC Trad",'FTE Pivot Table'!$A$3,"State","AL","Type",5,"Type2","Four-Year")*100</f>
        <v>0</v>
      </c>
      <c r="L160" s="333">
        <f aca="true" t="shared" si="21" ref="L160:L178">SUM(M160:O160)</f>
        <v>0</v>
      </c>
      <c r="M160" s="331">
        <f>GETPIVOTDATA(" %G EL Web",'FTE Pivot Table'!$A$3,"State","AL","Type",5,"Type2","Four-Year")*100</f>
        <v>0</v>
      </c>
      <c r="N160" s="334">
        <f>GETPIVOTDATA(" % G EL CV",'FTE Pivot Table'!$A$3,"State","AL","Type",5,"Type2","Four-Year")*100</f>
        <v>0</v>
      </c>
      <c r="O160" s="332">
        <f>GETPIVOTDATA(" %G EL O",'FTE Pivot Table'!$A$3,"State","AL","Type",5,"Type2","Four-Year")*100</f>
        <v>0</v>
      </c>
      <c r="P160" s="331">
        <f>GETPIVOTDATA(" %G Cor",'FTE Pivot Table'!$A$3,"State","AL","Type",5,"Type2","Four-Year")*100</f>
        <v>0</v>
      </c>
      <c r="Q160" s="121">
        <f aca="true" t="shared" si="22" ref="Q160:Q178">SUM(B160,C160,D160,H160)</f>
        <v>0</v>
      </c>
      <c r="R160" s="121">
        <f aca="true" t="shared" si="23" ref="R160:R178">SUM(J160,K160,L160,P160)</f>
        <v>0</v>
      </c>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row>
    <row r="161" spans="1:41" ht="15.75" customHeight="1">
      <c r="A161" s="122" t="s">
        <v>535</v>
      </c>
      <c r="B161" s="318">
        <f>GETPIVOTDATA(" %UG OnC Trad",'FTE Pivot Table'!$A$3,"State","AR","Type",5,"Type2","Four-Year")*100</f>
        <v>95.9871063074228</v>
      </c>
      <c r="C161" s="319">
        <f>GETPIVOTDATA(" %UG OffC Trad",'FTE Pivot Table'!$A$3,"State","AR","Type",5,"Type2","Four-Year")*100</f>
        <v>2.1458703242489605</v>
      </c>
      <c r="D161" s="340">
        <f t="shared" si="20"/>
        <v>1.8670233683282293</v>
      </c>
      <c r="E161" s="318">
        <f>GETPIVOTDATA(" %UG EL Web",'FTE Pivot Table'!$A$3,"State","AR","Type",5,"Type2","Four-Year")*100</f>
        <v>1.820548875674774</v>
      </c>
      <c r="F161" s="321">
        <f>GETPIVOTDATA(" % UG EL CV",'FTE Pivot Table'!$A$3,"State","AR","Type",5,"Type2","Four-Year")*100</f>
        <v>0.04379327192344817</v>
      </c>
      <c r="G161" s="344">
        <f>GETPIVOTDATA(" %UG EL O",'FTE Pivot Table'!$A$3,"State","AR","Type",5,"Type2","Four-Year")*100</f>
        <v>0.0026812207300070307</v>
      </c>
      <c r="H161" s="318">
        <f>GETPIVOTDATA(" %UG Cor",'FTE Pivot Table'!$A$3,"State","AR","Type",5,"Type2","Four-Year")*100</f>
        <v>0</v>
      </c>
      <c r="I161" s="122" t="s">
        <v>535</v>
      </c>
      <c r="J161" s="331">
        <f>GETPIVOTDATA(" %G OnC Trad",'FTE Pivot Table'!$A$3,"State","AR","Type",5,"Type2","Four-Year")*100</f>
        <v>77.80592462389495</v>
      </c>
      <c r="K161" s="332">
        <f>GETPIVOTDATA(" %G OffC Trad",'FTE Pivot Table'!$A$3,"State","AR","Type",5,"Type2","Four-Year")*100</f>
        <v>17.603267331851317</v>
      </c>
      <c r="L161" s="333">
        <f t="shared" si="21"/>
        <v>4.590808044253735</v>
      </c>
      <c r="M161" s="331">
        <f>GETPIVOTDATA(" %G EL Web",'FTE Pivot Table'!$A$3,"State","AR","Type",5,"Type2","Four-Year")*100</f>
        <v>3.381068086646332</v>
      </c>
      <c r="N161" s="331">
        <f>GETPIVOTDATA(" % G EL CV",'FTE Pivot Table'!$A$3,"State","AR","Type",5,"Type2","Four-Year")*100</f>
        <v>1.2097399576074033</v>
      </c>
      <c r="O161" s="332">
        <f>GETPIVOTDATA(" %G EL O",'FTE Pivot Table'!$A$3,"State","AR","Type",5,"Type2","Four-Year")*100</f>
        <v>0</v>
      </c>
      <c r="P161" s="331">
        <f>GETPIVOTDATA(" %G Cor",'FTE Pivot Table'!$A$3,"State","AR","Type",5,"Type2","Four-Year")*100</f>
        <v>0</v>
      </c>
      <c r="Q161" s="121">
        <f t="shared" si="22"/>
        <v>100</v>
      </c>
      <c r="R161" s="121">
        <f t="shared" si="23"/>
        <v>100</v>
      </c>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row>
    <row r="162" spans="1:41" ht="15.75" customHeight="1">
      <c r="A162" s="122" t="s">
        <v>536</v>
      </c>
      <c r="B162" s="318">
        <f>GETPIVOTDATA(" %UG OnC Trad",'FTE Pivot Table'!$A$3,"State","DE","Type",5,"Type2","Four-Year")*100</f>
        <v>0</v>
      </c>
      <c r="C162" s="319">
        <f>GETPIVOTDATA(" %UG OffC Trad",'FTE Pivot Table'!$A$3,"State","DE","Type",5,"Type2","Four-Year")*100</f>
        <v>0</v>
      </c>
      <c r="D162" s="340">
        <f t="shared" si="20"/>
        <v>0</v>
      </c>
      <c r="E162" s="318">
        <f>GETPIVOTDATA(" %UG EL Web",'FTE Pivot Table'!$A$3,"State","DE","Type",5,"Type2","Four-Year")*100</f>
        <v>0</v>
      </c>
      <c r="F162" s="318">
        <f>GETPIVOTDATA(" % UG EL CV",'FTE Pivot Table'!$A$3,"State","DE","Type",5,"Type2","Four-Year")*100</f>
        <v>0</v>
      </c>
      <c r="G162" s="319">
        <f>GETPIVOTDATA(" %UG EL O",'FTE Pivot Table'!$A$3,"State","DE","Type",5,"Type2","Four-Year")*100</f>
        <v>0</v>
      </c>
      <c r="H162" s="318">
        <f>GETPIVOTDATA(" %UG Cor",'FTE Pivot Table'!$A$3,"State","DE","Type",5,"Type2","Four-Year")*100</f>
        <v>0</v>
      </c>
      <c r="I162" s="122" t="s">
        <v>536</v>
      </c>
      <c r="J162" s="331">
        <f>GETPIVOTDATA(" %G OnC Trad",'FTE Pivot Table'!$A$3,"State","DE","Type",5,"Type2","Four-Year")*100</f>
        <v>0</v>
      </c>
      <c r="K162" s="332">
        <f>GETPIVOTDATA(" %G OffC Trad",'FTE Pivot Table'!$A$3,"State","DE","Type",5,"Type2","Four-Year")*100</f>
        <v>0</v>
      </c>
      <c r="L162" s="333">
        <f t="shared" si="21"/>
        <v>0</v>
      </c>
      <c r="M162" s="331">
        <f>GETPIVOTDATA(" %G EL Web",'FTE Pivot Table'!$A$3,"State","DE","Type",5,"Type2","Four-Year")*100</f>
        <v>0</v>
      </c>
      <c r="N162" s="331">
        <f>GETPIVOTDATA(" % G EL CV",'FTE Pivot Table'!$A$3,"State","DE","Type",5,"Type2","Four-Year")*100</f>
        <v>0</v>
      </c>
      <c r="O162" s="332">
        <f>GETPIVOTDATA(" %G EL O",'FTE Pivot Table'!$A$3,"State","DE","Type",5,"Type2","Four-Year")*100</f>
        <v>0</v>
      </c>
      <c r="P162" s="331">
        <f>GETPIVOTDATA(" %G Cor",'FTE Pivot Table'!$A$3,"State","DE","Type",5,"Type2","Four-Year")*100</f>
        <v>0</v>
      </c>
      <c r="Q162" s="121">
        <f t="shared" si="22"/>
        <v>0</v>
      </c>
      <c r="R162" s="121">
        <f t="shared" si="23"/>
        <v>0</v>
      </c>
      <c r="S162" s="134"/>
      <c r="T162" s="27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row>
    <row r="163" spans="1:41" ht="15.75" customHeight="1">
      <c r="A163" s="122" t="s">
        <v>537</v>
      </c>
      <c r="B163" s="318">
        <f>GETPIVOTDATA(" %UG OnC Trad",'FTE Pivot Table'!$A$3,"State","FL","Type",5,"Type2","Four-Year")*100</f>
        <v>85.4745712596097</v>
      </c>
      <c r="C163" s="319">
        <f>GETPIVOTDATA(" %UG OffC Trad",'FTE Pivot Table'!$A$3,"State","FL","Type",5,"Type2","Four-Year")*100</f>
        <v>2.6657672974571263</v>
      </c>
      <c r="D163" s="340">
        <f t="shared" si="20"/>
        <v>11.859661442933175</v>
      </c>
      <c r="E163" s="318">
        <f>GETPIVOTDATA(" %UG EL Web",'FTE Pivot Table'!$A$3,"State","FL","Type",5,"Type2","Four-Year")*100</f>
        <v>11.65637936132466</v>
      </c>
      <c r="F163" s="318">
        <f>GETPIVOTDATA(" % UG EL CV",'FTE Pivot Table'!$A$3,"State","FL","Type",5,"Type2","Four-Year")*100</f>
        <v>0</v>
      </c>
      <c r="G163" s="319">
        <f>GETPIVOTDATA(" %UG EL O",'FTE Pivot Table'!$A$3,"State","FL","Type",5,"Type2","Four-Year")*100</f>
        <v>0.20328208160851569</v>
      </c>
      <c r="H163" s="318">
        <f>GETPIVOTDATA(" %UG Cor",'FTE Pivot Table'!$A$3,"State","FL","Type",5,"Type2","Four-Year")*100</f>
        <v>0</v>
      </c>
      <c r="I163" s="122" t="s">
        <v>537</v>
      </c>
      <c r="J163" s="331">
        <f>GETPIVOTDATA(" %G OnC Trad",'FTE Pivot Table'!$A$3,"State","FL","Type",5,"Type2","Four-Year")*100</f>
        <v>66.12158776209944</v>
      </c>
      <c r="K163" s="332">
        <f>GETPIVOTDATA(" %G OffC Trad",'FTE Pivot Table'!$A$3,"State","FL","Type",5,"Type2","Four-Year")*100</f>
        <v>6.58710272979032</v>
      </c>
      <c r="L163" s="333">
        <f t="shared" si="21"/>
        <v>27.291309508110245</v>
      </c>
      <c r="M163" s="331">
        <f>GETPIVOTDATA(" %G EL Web",'FTE Pivot Table'!$A$3,"State","FL","Type",5,"Type2","Four-Year")*100</f>
        <v>27.291309508110245</v>
      </c>
      <c r="N163" s="331">
        <f>GETPIVOTDATA(" % G EL CV",'FTE Pivot Table'!$A$3,"State","FL","Type",5,"Type2","Four-Year")*100</f>
        <v>0</v>
      </c>
      <c r="O163" s="332">
        <f>GETPIVOTDATA(" %G EL O",'FTE Pivot Table'!$A$3,"State","FL","Type",5,"Type2","Four-Year")*100</f>
        <v>0</v>
      </c>
      <c r="P163" s="331">
        <f>GETPIVOTDATA(" %G Cor",'FTE Pivot Table'!$A$3,"State","FL","Type",5,"Type2","Four-Year")*100</f>
        <v>0</v>
      </c>
      <c r="Q163" s="121">
        <f t="shared" si="22"/>
        <v>100</v>
      </c>
      <c r="R163" s="121">
        <f t="shared" si="23"/>
        <v>100</v>
      </c>
      <c r="S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row>
    <row r="164" spans="1:41" ht="15.75" customHeight="1">
      <c r="A164" s="122"/>
      <c r="B164" s="318"/>
      <c r="C164" s="319"/>
      <c r="D164" s="340">
        <f t="shared" si="20"/>
        <v>0</v>
      </c>
      <c r="E164" s="318"/>
      <c r="F164" s="318"/>
      <c r="G164" s="319"/>
      <c r="H164" s="318"/>
      <c r="I164" s="122"/>
      <c r="J164" s="331"/>
      <c r="K164" s="332"/>
      <c r="L164" s="333">
        <f t="shared" si="21"/>
        <v>0</v>
      </c>
      <c r="M164" s="331"/>
      <c r="N164" s="331"/>
      <c r="O164" s="332"/>
      <c r="P164" s="331"/>
      <c r="Q164" s="121">
        <f t="shared" si="22"/>
        <v>0</v>
      </c>
      <c r="R164" s="121">
        <f t="shared" si="23"/>
        <v>0</v>
      </c>
      <c r="S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row>
    <row r="165" spans="1:41" ht="15.75" customHeight="1">
      <c r="A165" s="122" t="s">
        <v>538</v>
      </c>
      <c r="B165" s="318">
        <f>GETPIVOTDATA(" %UG OnC Trad",'FTE Pivot Table'!$A$3,"State","GA","Type",5,"Type2","Four-Year")*100</f>
        <v>95.04787994610498</v>
      </c>
      <c r="C165" s="319">
        <f>GETPIVOTDATA(" %UG OffC Trad",'FTE Pivot Table'!$A$3,"State","GA","Type",5,"Type2","Four-Year")*100</f>
        <v>3.0826367311023732</v>
      </c>
      <c r="D165" s="340">
        <f t="shared" si="20"/>
        <v>1.8694833227926417</v>
      </c>
      <c r="E165" s="318">
        <f>GETPIVOTDATA(" %UG EL Web",'FTE Pivot Table'!$A$3,"State","GA","Type",5,"Type2","Four-Year")*100</f>
        <v>1.3262624769708802</v>
      </c>
      <c r="F165" s="318">
        <f>GETPIVOTDATA(" % UG EL CV",'FTE Pivot Table'!$A$3,"State","GA","Type",5,"Type2","Four-Year")*100</f>
        <v>0.5375752742871285</v>
      </c>
      <c r="G165" s="343">
        <f>GETPIVOTDATA(" %UG EL O",'FTE Pivot Table'!$A$3,"State","GA","Type",5,"Type2","Four-Year")*100</f>
        <v>0.0056455715346330464</v>
      </c>
      <c r="H165" s="318">
        <f>GETPIVOTDATA(" %UG Cor",'FTE Pivot Table'!$A$3,"State","GA","Type",5,"Type2","Four-Year")*100</f>
        <v>0</v>
      </c>
      <c r="I165" s="122" t="s">
        <v>538</v>
      </c>
      <c r="J165" s="331">
        <f>GETPIVOTDATA(" %G OnC Trad",'FTE Pivot Table'!$A$3,"State","GA","Type",5,"Type2","Four-Year")*100</f>
        <v>84.43566615264369</v>
      </c>
      <c r="K165" s="332">
        <f>GETPIVOTDATA(" %G OffC Trad",'FTE Pivot Table'!$A$3,"State","GA","Type",5,"Type2","Four-Year")*100</f>
        <v>8.574325608905976</v>
      </c>
      <c r="L165" s="333">
        <f t="shared" si="21"/>
        <v>6.990008238450326</v>
      </c>
      <c r="M165" s="331">
        <f>GETPIVOTDATA(" %G EL Web",'FTE Pivot Table'!$A$3,"State","GA","Type",5,"Type2","Four-Year")*100</f>
        <v>5.48807537125837</v>
      </c>
      <c r="N165" s="331">
        <f>GETPIVOTDATA(" % G EL CV",'FTE Pivot Table'!$A$3,"State","GA","Type",5,"Type2","Four-Year")*100</f>
        <v>1.5019328671919558</v>
      </c>
      <c r="O165" s="332">
        <f>GETPIVOTDATA(" %G EL O",'FTE Pivot Table'!$A$3,"State","GA","Type",5,"Type2","Four-Year")*100</f>
        <v>0</v>
      </c>
      <c r="P165" s="331">
        <f>GETPIVOTDATA(" %G Cor",'FTE Pivot Table'!$A$3,"State","GA","Type",5,"Type2","Four-Year")*100</f>
        <v>0</v>
      </c>
      <c r="Q165" s="121">
        <f t="shared" si="22"/>
        <v>100</v>
      </c>
      <c r="R165" s="121">
        <f t="shared" si="23"/>
        <v>100</v>
      </c>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row>
    <row r="166" spans="1:41" ht="15.75" customHeight="1">
      <c r="A166" s="122" t="s">
        <v>539</v>
      </c>
      <c r="B166" s="318">
        <f>GETPIVOTDATA(" %UG OnC Trad",'FTE Pivot Table'!$A$3,"State","KY","Type",5,"Type2","Four-Year")*100</f>
        <v>0</v>
      </c>
      <c r="C166" s="319">
        <f>GETPIVOTDATA(" %UG OffC Trad",'FTE Pivot Table'!$A$3,"State","KY","Type",5,"Type2","Four-Year")*100</f>
        <v>0</v>
      </c>
      <c r="D166" s="340">
        <f t="shared" si="20"/>
        <v>0</v>
      </c>
      <c r="E166" s="318">
        <f>GETPIVOTDATA(" %UG EL Web",'FTE Pivot Table'!$A$3,"State","KY","Type",5,"Type2","Four-Year")*100</f>
        <v>0</v>
      </c>
      <c r="F166" s="318">
        <f>GETPIVOTDATA(" % UG EL CV",'FTE Pivot Table'!$A$3,"State","KY","Type",5,"Type2","Four-Year")*100</f>
        <v>0</v>
      </c>
      <c r="G166" s="319">
        <f>GETPIVOTDATA(" %UG EL O",'FTE Pivot Table'!$A$3,"State","KY","Type",5,"Type2","Four-Year")*100</f>
        <v>0</v>
      </c>
      <c r="H166" s="318">
        <f>GETPIVOTDATA(" %UG Cor",'FTE Pivot Table'!$A$3,"State","KY","Type",5,"Type2","Four-Year")*100</f>
        <v>0</v>
      </c>
      <c r="I166" s="122" t="s">
        <v>539</v>
      </c>
      <c r="J166" s="331">
        <f>GETPIVOTDATA(" %G OnC Trad",'FTE Pivot Table'!$A$3,"State","KY","Type",5,"Type2","Four-Year")*100</f>
        <v>0</v>
      </c>
      <c r="K166" s="332">
        <f>GETPIVOTDATA(" %G OffC Trad",'FTE Pivot Table'!$A$3,"State","KY","Type",5,"Type2","Four-Year")*100</f>
        <v>0</v>
      </c>
      <c r="L166" s="333">
        <f t="shared" si="21"/>
        <v>0</v>
      </c>
      <c r="M166" s="331">
        <f>GETPIVOTDATA(" %G EL Web",'FTE Pivot Table'!$A$3,"State","KY","Type",5,"Type2","Four-Year")*100</f>
        <v>0</v>
      </c>
      <c r="N166" s="331">
        <f>GETPIVOTDATA(" % G EL CV",'FTE Pivot Table'!$A$3,"State","KY","Type",5,"Type2","Four-Year")*100</f>
        <v>0</v>
      </c>
      <c r="O166" s="332">
        <f>GETPIVOTDATA(" %G EL O",'FTE Pivot Table'!$A$3,"State","KY","Type",5,"Type2","Four-Year")*100</f>
        <v>0</v>
      </c>
      <c r="P166" s="331">
        <f>GETPIVOTDATA(" %G Cor",'FTE Pivot Table'!$A$3,"State","KY","Type",5,"Type2","Four-Year")*100</f>
        <v>0</v>
      </c>
      <c r="Q166" s="121">
        <f t="shared" si="22"/>
        <v>0</v>
      </c>
      <c r="R166" s="121">
        <f t="shared" si="23"/>
        <v>0</v>
      </c>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row>
    <row r="167" spans="1:41" ht="15.75" customHeight="1">
      <c r="A167" s="122" t="s">
        <v>540</v>
      </c>
      <c r="B167" s="318">
        <f>GETPIVOTDATA(" %UG OnC Trad",'FTE Pivot Table'!$A$3,"State","LA","Type",5,"Type2","Four-Year")*100</f>
        <v>0</v>
      </c>
      <c r="C167" s="319">
        <f>GETPIVOTDATA(" %UG OffC Trad",'FTE Pivot Table'!$A$3,"State","LA","Type",5,"Type2","Four-Year")*100</f>
        <v>0</v>
      </c>
      <c r="D167" s="340">
        <f t="shared" si="20"/>
        <v>0</v>
      </c>
      <c r="E167" s="318">
        <f>GETPIVOTDATA(" %UG EL Web",'FTE Pivot Table'!$A$3,"State","LA","Type",5,"Type2","Four-Year")*100</f>
        <v>0</v>
      </c>
      <c r="F167" s="318">
        <f>GETPIVOTDATA(" % UG EL CV",'FTE Pivot Table'!$A$3,"State","LA","Type",5,"Type2","Four-Year")*100</f>
        <v>0</v>
      </c>
      <c r="G167" s="319">
        <f>GETPIVOTDATA(" %UG EL O",'FTE Pivot Table'!$A$3,"State","LA","Type",5,"Type2","Four-Year")*100</f>
        <v>0</v>
      </c>
      <c r="H167" s="318">
        <f>GETPIVOTDATA(" %UG Cor",'FTE Pivot Table'!$A$3,"State","LA","Type",5,"Type2","Four-Year")*100</f>
        <v>0</v>
      </c>
      <c r="I167" s="122" t="s">
        <v>540</v>
      </c>
      <c r="J167" s="331">
        <f>GETPIVOTDATA(" %G OnC Trad",'FTE Pivot Table'!$A$3,"State","LA","Type",5,"Type2","Four-Year")*100</f>
        <v>0</v>
      </c>
      <c r="K167" s="332">
        <f>GETPIVOTDATA(" %G OffC Trad",'FTE Pivot Table'!$A$3,"State","LA","Type",5,"Type2","Four-Year")*100</f>
        <v>0</v>
      </c>
      <c r="L167" s="333">
        <f t="shared" si="21"/>
        <v>0</v>
      </c>
      <c r="M167" s="331">
        <f>GETPIVOTDATA(" %G EL Web",'FTE Pivot Table'!$A$3,"State","LA","Type",5,"Type2","Four-Year")*100</f>
        <v>0</v>
      </c>
      <c r="N167" s="331">
        <f>GETPIVOTDATA(" % G EL CV",'FTE Pivot Table'!$A$3,"State","LA","Type",5,"Type2","Four-Year")*100</f>
        <v>0</v>
      </c>
      <c r="O167" s="332">
        <f>GETPIVOTDATA(" %G EL O",'FTE Pivot Table'!$A$3,"State","LA","Type",5,"Type2","Four-Year")*100</f>
        <v>0</v>
      </c>
      <c r="P167" s="331">
        <f>GETPIVOTDATA(" %G Cor",'FTE Pivot Table'!$A$3,"State","LA","Type",5,"Type2","Four-Year")*100</f>
        <v>0</v>
      </c>
      <c r="Q167" s="121">
        <f t="shared" si="22"/>
        <v>0</v>
      </c>
      <c r="R167" s="121">
        <f t="shared" si="23"/>
        <v>0</v>
      </c>
      <c r="S167" s="134"/>
      <c r="T167" s="27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row>
    <row r="168" spans="1:41" ht="15.75" customHeight="1">
      <c r="A168" s="122" t="s">
        <v>541</v>
      </c>
      <c r="B168" s="318">
        <f>GETPIVOTDATA(" %UG OnC Trad",'FTE Pivot Table'!$A$3,"State","MD","Type",5,"Type2","Four-Year")*100</f>
        <v>0</v>
      </c>
      <c r="C168" s="319">
        <f>GETPIVOTDATA(" %UG OffC Trad",'FTE Pivot Table'!$A$3,"State","MD","Type",5,"Type2","Four-Year")*100</f>
        <v>0</v>
      </c>
      <c r="D168" s="340">
        <f t="shared" si="20"/>
        <v>0</v>
      </c>
      <c r="E168" s="318">
        <f>GETPIVOTDATA(" %UG EL Web",'FTE Pivot Table'!$A$3,"State","MD","Type",5,"Type2","Four-Year")*100</f>
        <v>0</v>
      </c>
      <c r="F168" s="318">
        <f>GETPIVOTDATA(" % UG EL CV",'FTE Pivot Table'!$A$3,"State","MD","Type",5,"Type2","Four-Year")*100</f>
        <v>0</v>
      </c>
      <c r="G168" s="319">
        <f>GETPIVOTDATA(" %UG EL O",'FTE Pivot Table'!$A$3,"State","MD","Type",5,"Type2","Four-Year")*100</f>
        <v>0</v>
      </c>
      <c r="H168" s="318">
        <f>GETPIVOTDATA(" %UG Cor",'FTE Pivot Table'!$A$3,"State","MD","Type",5,"Type2","Four-Year")*100</f>
        <v>0</v>
      </c>
      <c r="I168" s="122" t="s">
        <v>541</v>
      </c>
      <c r="J168" s="331">
        <f>GETPIVOTDATA(" %G OnC Trad",'FTE Pivot Table'!$A$3,"State","MD","Type",5,"Type2","Four-Year")*100</f>
        <v>0</v>
      </c>
      <c r="K168" s="332">
        <f>GETPIVOTDATA(" %G OffC Trad",'FTE Pivot Table'!$A$3,"State","MD","Type",5,"Type2","Four-Year")*100</f>
        <v>0</v>
      </c>
      <c r="L168" s="333">
        <f t="shared" si="21"/>
        <v>0</v>
      </c>
      <c r="M168" s="331">
        <f>GETPIVOTDATA(" %G EL Web",'FTE Pivot Table'!$A$3,"State","MD","Type",5,"Type2","Four-Year")*100</f>
        <v>0</v>
      </c>
      <c r="N168" s="331">
        <f>GETPIVOTDATA(" % G EL CV",'FTE Pivot Table'!$A$3,"State","MD","Type",5,"Type2","Four-Year")*100</f>
        <v>0</v>
      </c>
      <c r="O168" s="332">
        <f>GETPIVOTDATA(" %G EL O",'FTE Pivot Table'!$A$3,"State","MD","Type",5,"Type2","Four-Year")*100</f>
        <v>0</v>
      </c>
      <c r="P168" s="331">
        <f>GETPIVOTDATA(" %G Cor",'FTE Pivot Table'!$A$3,"State","MD","Type",5,"Type2","Four-Year")*100</f>
        <v>0</v>
      </c>
      <c r="Q168" s="121">
        <f t="shared" si="22"/>
        <v>0</v>
      </c>
      <c r="R168" s="121">
        <f t="shared" si="23"/>
        <v>0</v>
      </c>
      <c r="S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row>
    <row r="169" spans="1:41" ht="15.75" customHeight="1">
      <c r="A169" s="122"/>
      <c r="B169" s="318"/>
      <c r="C169" s="319"/>
      <c r="D169" s="340">
        <f t="shared" si="20"/>
        <v>0</v>
      </c>
      <c r="E169" s="318"/>
      <c r="F169" s="318"/>
      <c r="G169" s="319"/>
      <c r="H169" s="318"/>
      <c r="I169" s="122"/>
      <c r="J169" s="331"/>
      <c r="K169" s="332"/>
      <c r="L169" s="333">
        <f t="shared" si="21"/>
        <v>0</v>
      </c>
      <c r="M169" s="331"/>
      <c r="N169" s="331"/>
      <c r="O169" s="332"/>
      <c r="P169" s="331"/>
      <c r="Q169" s="121">
        <f t="shared" si="22"/>
        <v>0</v>
      </c>
      <c r="R169" s="121">
        <f t="shared" si="23"/>
        <v>0</v>
      </c>
      <c r="S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row>
    <row r="170" spans="1:41" ht="15.75" customHeight="1">
      <c r="A170" s="122" t="s">
        <v>168</v>
      </c>
      <c r="B170" s="318">
        <f>GETPIVOTDATA(" %UG OnC Trad",'FTE Pivot Table'!$A$3,"State","MS","Type",5,"Type2","Four-Year")*100</f>
        <v>95.87846638726354</v>
      </c>
      <c r="C170" s="319">
        <f>GETPIVOTDATA(" %UG OffC Trad",'FTE Pivot Table'!$A$3,"State","MS","Type",5,"Type2","Four-Year")*100</f>
        <v>1.9780931748699155</v>
      </c>
      <c r="D170" s="340">
        <f t="shared" si="20"/>
        <v>1.056872709602964</v>
      </c>
      <c r="E170" s="318">
        <f>GETPIVOTDATA(" %UG EL Web",'FTE Pivot Table'!$A$3,"State","MS","Type",5,"Type2","Four-Year")*100</f>
        <v>1.056872709602964</v>
      </c>
      <c r="F170" s="318">
        <f>GETPIVOTDATA(" % UG EL CV",'FTE Pivot Table'!$A$3,"State","MS","Type",5,"Type2","Four-Year")*100</f>
        <v>0</v>
      </c>
      <c r="G170" s="319">
        <f>GETPIVOTDATA(" %UG EL O",'FTE Pivot Table'!$A$3,"State","MS","Type",5,"Type2","Four-Year")*100</f>
        <v>0</v>
      </c>
      <c r="H170" s="318">
        <f>GETPIVOTDATA(" %UG Cor",'FTE Pivot Table'!$A$3,"State","MS","Type",5,"Type2","Four-Year")*100</f>
        <v>1.0865677282635837</v>
      </c>
      <c r="I170" s="122" t="s">
        <v>168</v>
      </c>
      <c r="J170" s="331">
        <f>GETPIVOTDATA(" %G OnC Trad",'FTE Pivot Table'!$A$3,"State","MS","Type",5,"Type2","Four-Year")*100</f>
        <v>61.78876088294785</v>
      </c>
      <c r="K170" s="332">
        <f>GETPIVOTDATA(" %G OffC Trad",'FTE Pivot Table'!$A$3,"State","MS","Type",5,"Type2","Four-Year")*100</f>
        <v>37.076774250285816</v>
      </c>
      <c r="L170" s="333">
        <f t="shared" si="21"/>
        <v>1.1344648667663355</v>
      </c>
      <c r="M170" s="331">
        <f>GETPIVOTDATA(" %G EL Web",'FTE Pivot Table'!$A$3,"State","MS","Type",5,"Type2","Four-Year")*100</f>
        <v>1.1344648667663355</v>
      </c>
      <c r="N170" s="331">
        <f>GETPIVOTDATA(" % G EL CV",'FTE Pivot Table'!$A$3,"State","MS","Type",5,"Type2","Four-Year")*100</f>
        <v>0</v>
      </c>
      <c r="O170" s="332">
        <f>GETPIVOTDATA(" %G EL O",'FTE Pivot Table'!$A$3,"State","MS","Type",5,"Type2","Four-Year")*100</f>
        <v>0</v>
      </c>
      <c r="P170" s="331">
        <f>GETPIVOTDATA(" %G Cor",'FTE Pivot Table'!$A$3,"State","MS","Type",5,"Type2","Four-Year")*100</f>
        <v>0</v>
      </c>
      <c r="Q170" s="121">
        <f t="shared" si="22"/>
        <v>100.00000000000001</v>
      </c>
      <c r="R170" s="121">
        <f t="shared" si="23"/>
        <v>100</v>
      </c>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row>
    <row r="171" spans="1:41" ht="15.75" customHeight="1">
      <c r="A171" s="122" t="s">
        <v>176</v>
      </c>
      <c r="B171" s="318">
        <f>GETPIVOTDATA(" %UG OnC Trad",'FTE Pivot Table'!$A$3,"State","NC","Type",5,"Type2","Four-Year")*100</f>
        <v>91.53088375321474</v>
      </c>
      <c r="C171" s="319">
        <f>GETPIVOTDATA(" %UG OffC Trad",'FTE Pivot Table'!$A$3,"State","NC","Type",5,"Type2","Four-Year")*100</f>
        <v>8.46911624678526</v>
      </c>
      <c r="D171" s="340">
        <f t="shared" si="20"/>
        <v>0</v>
      </c>
      <c r="E171" s="318">
        <f>GETPIVOTDATA(" %UG EL Web",'FTE Pivot Table'!$A$3,"State","NC","Type",5,"Type2","Four-Year")*100</f>
        <v>0</v>
      </c>
      <c r="F171" s="318">
        <f>GETPIVOTDATA(" % UG EL CV",'FTE Pivot Table'!$A$3,"State","NC","Type",5,"Type2","Four-Year")*100</f>
        <v>0</v>
      </c>
      <c r="G171" s="319">
        <f>GETPIVOTDATA(" %UG EL O",'FTE Pivot Table'!$A$3,"State","NC","Type",5,"Type2","Four-Year")*100</f>
        <v>0</v>
      </c>
      <c r="H171" s="318">
        <f>GETPIVOTDATA(" %UG Cor",'FTE Pivot Table'!$A$3,"State","NC","Type",5,"Type2","Four-Year")*100</f>
        <v>0</v>
      </c>
      <c r="I171" s="122" t="s">
        <v>176</v>
      </c>
      <c r="J171" s="331">
        <f>GETPIVOTDATA(" %G OnC Trad",'FTE Pivot Table'!$A$3,"State","NC","Type",5,"Type2","Four-Year")*100</f>
        <v>74.04353562005277</v>
      </c>
      <c r="K171" s="332">
        <f>GETPIVOTDATA(" %G OffC Trad",'FTE Pivot Table'!$A$3,"State","NC","Type",5,"Type2","Four-Year")*100</f>
        <v>21.602902374670187</v>
      </c>
      <c r="L171" s="333">
        <f t="shared" si="21"/>
        <v>4.353562005277045</v>
      </c>
      <c r="M171" s="331">
        <f>GETPIVOTDATA(" %G EL Web",'FTE Pivot Table'!$A$3,"State","NC","Type",5,"Type2","Four-Year")*100</f>
        <v>3.611477572559367</v>
      </c>
      <c r="N171" s="331">
        <f>GETPIVOTDATA(" % G EL CV",'FTE Pivot Table'!$A$3,"State","NC","Type",5,"Type2","Four-Year")*100</f>
        <v>0.7420844327176781</v>
      </c>
      <c r="O171" s="332">
        <f>GETPIVOTDATA(" %G EL O",'FTE Pivot Table'!$A$3,"State","NC","Type",5,"Type2","Four-Year")*100</f>
        <v>0</v>
      </c>
      <c r="P171" s="331">
        <f>GETPIVOTDATA(" %G Cor",'FTE Pivot Table'!$A$3,"State","NC","Type",5,"Type2","Four-Year")*100</f>
        <v>0</v>
      </c>
      <c r="Q171" s="121">
        <f t="shared" si="22"/>
        <v>100</v>
      </c>
      <c r="R171" s="121">
        <f t="shared" si="23"/>
        <v>100</v>
      </c>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row>
    <row r="172" spans="1:41" ht="15.75" customHeight="1">
      <c r="A172" s="122" t="s">
        <v>169</v>
      </c>
      <c r="B172" s="318">
        <f>GETPIVOTDATA(" %UG OnC Trad",'FTE Pivot Table'!$A$3,"State","OK","Type",5,"Type2","Four-Year")*100</f>
        <v>92.77938258786763</v>
      </c>
      <c r="C172" s="319">
        <f>GETPIVOTDATA(" %UG OffC Trad",'FTE Pivot Table'!$A$3,"State","OK","Type",5,"Type2","Four-Year")*100</f>
        <v>0.21875674619899876</v>
      </c>
      <c r="D172" s="340">
        <f t="shared" si="20"/>
        <v>7.001860665933366</v>
      </c>
      <c r="E172" s="318">
        <f>GETPIVOTDATA(" %UG EL Web",'FTE Pivot Table'!$A$3,"State","OK","Type",5,"Type2","Four-Year")*100</f>
        <v>2.609249874070952</v>
      </c>
      <c r="F172" s="318">
        <f>GETPIVOTDATA(" % UG EL CV",'FTE Pivot Table'!$A$3,"State","OK","Type",5,"Type2","Four-Year")*100</f>
        <v>3.7959641025113853</v>
      </c>
      <c r="G172" s="319">
        <f>GETPIVOTDATA(" %UG EL O",'FTE Pivot Table'!$A$3,"State","OK","Type",5,"Type2","Four-Year")*100</f>
        <v>0.5966466893510285</v>
      </c>
      <c r="H172" s="318">
        <f>GETPIVOTDATA(" %UG Cor",'FTE Pivot Table'!$A$3,"State","OK","Type",5,"Type2","Four-Year")*100</f>
        <v>0</v>
      </c>
      <c r="I172" s="122" t="s">
        <v>169</v>
      </c>
      <c r="J172" s="331">
        <f>GETPIVOTDATA(" %G OnC Trad",'FTE Pivot Table'!$A$3,"State","OK","Type",5,"Type2","Four-Year")*100</f>
        <v>87.0740780677162</v>
      </c>
      <c r="K172" s="332">
        <f>GETPIVOTDATA(" %G OffC Trad",'FTE Pivot Table'!$A$3,"State","OK","Type",5,"Type2","Four-Year")*100</f>
        <v>2.5528358852706488</v>
      </c>
      <c r="L172" s="333">
        <f t="shared" si="21"/>
        <v>10.373086047013155</v>
      </c>
      <c r="M172" s="331">
        <f>GETPIVOTDATA(" %G EL Web",'FTE Pivot Table'!$A$3,"State","OK","Type",5,"Type2","Four-Year")*100</f>
        <v>2.6525770972611604</v>
      </c>
      <c r="N172" s="331">
        <f>GETPIVOTDATA(" % G EL CV",'FTE Pivot Table'!$A$3,"State","OK","Type",5,"Type2","Four-Year")*100</f>
        <v>7.720508949751995</v>
      </c>
      <c r="O172" s="332">
        <f>GETPIVOTDATA(" %G EL O",'FTE Pivot Table'!$A$3,"State","OK","Type",5,"Type2","Four-Year")*100</f>
        <v>0</v>
      </c>
      <c r="P172" s="331">
        <f>GETPIVOTDATA(" %G Cor",'FTE Pivot Table'!$A$3,"State","OK","Type",5,"Type2","Four-Year")*100</f>
        <v>0</v>
      </c>
      <c r="Q172" s="121">
        <f t="shared" si="22"/>
        <v>100</v>
      </c>
      <c r="R172" s="121">
        <f t="shared" si="23"/>
        <v>100.00000000000001</v>
      </c>
      <c r="S172" s="134"/>
      <c r="T172" s="27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row>
    <row r="173" spans="1:41" ht="15.75" customHeight="1">
      <c r="A173" s="122" t="s">
        <v>542</v>
      </c>
      <c r="B173" s="318">
        <f>GETPIVOTDATA(" %UG OnC Trad",'FTE Pivot Table'!$A$3,"State","SC","Type",5,"Type2","Four-Year")*100</f>
        <v>0</v>
      </c>
      <c r="C173" s="319">
        <f>GETPIVOTDATA(" %UG OffC Trad",'FTE Pivot Table'!$A$3,"State","SC","Type",5,"Type2","Four-Year")*100</f>
        <v>0</v>
      </c>
      <c r="D173" s="340">
        <f t="shared" si="20"/>
        <v>0</v>
      </c>
      <c r="E173" s="318">
        <f>GETPIVOTDATA(" %UG EL Web",'FTE Pivot Table'!$A$3,"State","SC","Type",5,"Type2","Four-Year")*100</f>
        <v>0</v>
      </c>
      <c r="F173" s="318">
        <f>GETPIVOTDATA(" % UG EL CV",'FTE Pivot Table'!$A$3,"State","SC","Type",5,"Type2","Four-Year")*100</f>
        <v>0</v>
      </c>
      <c r="G173" s="319">
        <f>GETPIVOTDATA(" %UG EL O",'FTE Pivot Table'!$A$3,"State","SC","Type",5,"Type2","Four-Year")*100</f>
        <v>0</v>
      </c>
      <c r="H173" s="318">
        <f>GETPIVOTDATA(" %UG Cor",'FTE Pivot Table'!$A$3,"State","SC","Type",5,"Type2","Four-Year")*100</f>
        <v>0</v>
      </c>
      <c r="I173" s="122" t="s">
        <v>542</v>
      </c>
      <c r="J173" s="331">
        <f>GETPIVOTDATA(" %G OnC Trad",'FTE Pivot Table'!$A$3,"State","SC","Type",5,"Type2","Four-Year")*100</f>
        <v>0</v>
      </c>
      <c r="K173" s="332">
        <f>GETPIVOTDATA(" %G OffC Trad",'FTE Pivot Table'!$A$3,"State","SC","Type",5,"Type2","Four-Year")*100</f>
        <v>0</v>
      </c>
      <c r="L173" s="333">
        <f t="shared" si="21"/>
        <v>0</v>
      </c>
      <c r="M173" s="331">
        <f>GETPIVOTDATA(" %G EL Web",'FTE Pivot Table'!$A$3,"State","SC","Type",5,"Type2","Four-Year")*100</f>
        <v>0</v>
      </c>
      <c r="N173" s="331">
        <f>GETPIVOTDATA(" % G EL CV",'FTE Pivot Table'!$A$3,"State","SC","Type",5,"Type2","Four-Year")*100</f>
        <v>0</v>
      </c>
      <c r="O173" s="332">
        <f>GETPIVOTDATA(" %G EL O",'FTE Pivot Table'!$A$3,"State","SC","Type",5,"Type2","Four-Year")*100</f>
        <v>0</v>
      </c>
      <c r="P173" s="331">
        <f>GETPIVOTDATA(" %G Cor",'FTE Pivot Table'!$A$3,"State","SC","Type",5,"Type2","Four-Year")*100</f>
        <v>0</v>
      </c>
      <c r="Q173" s="121">
        <f t="shared" si="22"/>
        <v>0</v>
      </c>
      <c r="R173" s="121">
        <f t="shared" si="23"/>
        <v>0</v>
      </c>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row>
    <row r="174" spans="1:41" ht="15.75" customHeight="1">
      <c r="A174" s="122"/>
      <c r="B174" s="318"/>
      <c r="C174" s="319"/>
      <c r="D174" s="340">
        <f t="shared" si="20"/>
        <v>0</v>
      </c>
      <c r="E174" s="318"/>
      <c r="F174" s="318"/>
      <c r="G174" s="319"/>
      <c r="H174" s="318"/>
      <c r="I174" s="122"/>
      <c r="J174" s="331"/>
      <c r="K174" s="332"/>
      <c r="L174" s="333">
        <f t="shared" si="21"/>
        <v>0</v>
      </c>
      <c r="M174" s="331"/>
      <c r="N174" s="331"/>
      <c r="O174" s="332"/>
      <c r="P174" s="331"/>
      <c r="Q174" s="121">
        <f t="shared" si="22"/>
        <v>0</v>
      </c>
      <c r="R174" s="121">
        <f t="shared" si="23"/>
        <v>0</v>
      </c>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row>
    <row r="175" spans="1:41" ht="15.75" customHeight="1">
      <c r="A175" s="122" t="s">
        <v>543</v>
      </c>
      <c r="B175" s="318">
        <f>GETPIVOTDATA(" %UG OnC Trad",'FTE Pivot Table'!$A$3,"State","TN","Type",5,"Type2","Four-Year")*100</f>
        <v>0</v>
      </c>
      <c r="C175" s="319">
        <f>GETPIVOTDATA(" %UG OffC Trad",'FTE Pivot Table'!$A$3,"State","TN","Type",5,"Type2","Four-Year")*100</f>
        <v>0</v>
      </c>
      <c r="D175" s="340">
        <f t="shared" si="20"/>
        <v>0</v>
      </c>
      <c r="E175" s="318">
        <f>GETPIVOTDATA(" %UG EL Web",'FTE Pivot Table'!$A$3,"State","TN","Type",5,"Type2","Four-Year")*100</f>
        <v>0</v>
      </c>
      <c r="F175" s="318">
        <f>GETPIVOTDATA(" % UG EL CV",'FTE Pivot Table'!$A$3,"State","TN","Type",5,"Type2","Four-Year")*100</f>
        <v>0</v>
      </c>
      <c r="G175" s="319">
        <f>GETPIVOTDATA(" %UG EL O",'FTE Pivot Table'!$A$3,"State","TN","Type",5,"Type2","Four-Year")*100</f>
        <v>0</v>
      </c>
      <c r="H175" s="318">
        <f>GETPIVOTDATA(" %UG Cor",'FTE Pivot Table'!$A$3,"State","TN","Type",5,"Type2","Four-Year")*100</f>
        <v>0</v>
      </c>
      <c r="I175" s="122" t="s">
        <v>543</v>
      </c>
      <c r="J175" s="331">
        <f>GETPIVOTDATA(" %G OnC Trad",'FTE Pivot Table'!$A$3,"State","TN","Type",5,"Type2","Four-Year")*100</f>
        <v>0</v>
      </c>
      <c r="K175" s="332">
        <f>GETPIVOTDATA(" %G OffC Trad",'FTE Pivot Table'!$A$3,"State","TN","Type",5,"Type2","Four-Year")*100</f>
        <v>0</v>
      </c>
      <c r="L175" s="333">
        <f t="shared" si="21"/>
        <v>0</v>
      </c>
      <c r="M175" s="331">
        <f>GETPIVOTDATA(" %G EL Web",'FTE Pivot Table'!$A$3,"State","TN","Type",5,"Type2","Four-Year")*100</f>
        <v>0</v>
      </c>
      <c r="N175" s="331">
        <f>GETPIVOTDATA(" % G EL CV",'FTE Pivot Table'!$A$3,"State","TN","Type",5,"Type2","Four-Year")*100</f>
        <v>0</v>
      </c>
      <c r="O175" s="332">
        <f>GETPIVOTDATA(" %G EL O",'FTE Pivot Table'!$A$3,"State","TN","Type",5,"Type2","Four-Year")*100</f>
        <v>0</v>
      </c>
      <c r="P175" s="331">
        <f>GETPIVOTDATA(" %G Cor",'FTE Pivot Table'!$A$3,"State","TN","Type",5,"Type2","Four-Year")*100</f>
        <v>0</v>
      </c>
      <c r="Q175" s="121">
        <f t="shared" si="22"/>
        <v>0</v>
      </c>
      <c r="R175" s="121">
        <f t="shared" si="23"/>
        <v>0</v>
      </c>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row>
    <row r="176" spans="1:41" ht="15.75" customHeight="1">
      <c r="A176" s="122" t="s">
        <v>277</v>
      </c>
      <c r="B176" s="318">
        <f>GETPIVOTDATA(" %UG OnC Trad",'FTE Pivot Table'!$A$3,"State","TX","Type",5,"Type2","Four-Year")*100</f>
        <v>64.30184371820641</v>
      </c>
      <c r="C176" s="319">
        <f>GETPIVOTDATA(" %UG OffC Trad",'FTE Pivot Table'!$A$3,"State","TX","Type",5,"Type2","Four-Year")*100</f>
        <v>10.29802228343135</v>
      </c>
      <c r="D176" s="340">
        <f t="shared" si="20"/>
        <v>25.400133998362243</v>
      </c>
      <c r="E176" s="318">
        <f>GETPIVOTDATA(" %UG EL Web",'FTE Pivot Table'!$A$3,"State","TX","Type",5,"Type2","Four-Year")*100</f>
        <v>22.779721581180677</v>
      </c>
      <c r="F176" s="318">
        <f>GETPIVOTDATA(" % UG EL CV",'FTE Pivot Table'!$A$3,"State","TX","Type",5,"Type2","Four-Year")*100</f>
        <v>2.471525348023524</v>
      </c>
      <c r="G176" s="319">
        <f>GETPIVOTDATA(" %UG EL O",'FTE Pivot Table'!$A$3,"State","TX","Type",5,"Type2","Four-Year")*100</f>
        <v>0.14888706915804362</v>
      </c>
      <c r="H176" s="318">
        <f>GETPIVOTDATA(" %UG Cor",'FTE Pivot Table'!$A$3,"State","TX","Type",5,"Type2","Four-Year")*100</f>
        <v>0</v>
      </c>
      <c r="I176" s="122" t="s">
        <v>277</v>
      </c>
      <c r="J176" s="331">
        <f>GETPIVOTDATA(" %G OnC Trad",'FTE Pivot Table'!$A$3,"State","TX","Type",5,"Type2","Four-Year")*100</f>
        <v>22.587225362288045</v>
      </c>
      <c r="K176" s="332">
        <f>GETPIVOTDATA(" %G OffC Trad",'FTE Pivot Table'!$A$3,"State","TX","Type",5,"Type2","Four-Year")*100</f>
        <v>24.860821894522118</v>
      </c>
      <c r="L176" s="333">
        <f t="shared" si="21"/>
        <v>52.55195274318984</v>
      </c>
      <c r="M176" s="331">
        <f>GETPIVOTDATA(" %G EL Web",'FTE Pivot Table'!$A$3,"State","TX","Type",5,"Type2","Four-Year")*100</f>
        <v>46.99332795036335</v>
      </c>
      <c r="N176" s="331">
        <f>GETPIVOTDATA(" % G EL CV",'FTE Pivot Table'!$A$3,"State","TX","Type",5,"Type2","Four-Year")*100</f>
        <v>3.7737452721941267</v>
      </c>
      <c r="O176" s="332">
        <f>GETPIVOTDATA(" %G EL O",'FTE Pivot Table'!$A$3,"State","TX","Type",5,"Type2","Four-Year")*100</f>
        <v>1.7848795206323573</v>
      </c>
      <c r="P176" s="331">
        <f>GETPIVOTDATA(" %G Cor",'FTE Pivot Table'!$A$3,"State","TX","Type",5,"Type2","Four-Year")*100</f>
        <v>0</v>
      </c>
      <c r="Q176" s="121">
        <f t="shared" si="22"/>
        <v>100</v>
      </c>
      <c r="R176" s="121">
        <f t="shared" si="23"/>
        <v>100</v>
      </c>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row>
    <row r="177" spans="1:41" ht="15.75" customHeight="1">
      <c r="A177" s="122" t="s">
        <v>544</v>
      </c>
      <c r="B177" s="318">
        <f>GETPIVOTDATA(" %UG OnC Trad",'FTE Pivot Table'!$A$3,"State","VA","Type",5,"Type2","Four-Year")*100</f>
        <v>0</v>
      </c>
      <c r="C177" s="319">
        <f>GETPIVOTDATA(" %UG OffC Trad",'FTE Pivot Table'!$A$3,"State","VA","Type",5,"Type2","Four-Year")*100</f>
        <v>0</v>
      </c>
      <c r="D177" s="340">
        <f t="shared" si="20"/>
        <v>0</v>
      </c>
      <c r="E177" s="318">
        <f>GETPIVOTDATA(" %UG EL Web",'FTE Pivot Table'!$A$3,"State","VA","Type",5,"Type2","Four-Year")*100</f>
        <v>0</v>
      </c>
      <c r="F177" s="318">
        <f>GETPIVOTDATA(" % UG EL CV",'FTE Pivot Table'!$A$3,"State","VA","Type",5,"Type2","Four-Year")*100</f>
        <v>0</v>
      </c>
      <c r="G177" s="319">
        <f>GETPIVOTDATA(" %UG EL O",'FTE Pivot Table'!$A$3,"State","VA","Type",5,"Type2","Four-Year")*100</f>
        <v>0</v>
      </c>
      <c r="H177" s="318">
        <f>GETPIVOTDATA(" %UG Cor",'FTE Pivot Table'!$A$3,"State","VA","Type",5,"Type2","Four-Year")*100</f>
        <v>0</v>
      </c>
      <c r="I177" s="122" t="s">
        <v>544</v>
      </c>
      <c r="J177" s="331">
        <f>GETPIVOTDATA(" %G OnC Trad",'FTE Pivot Table'!$A$3,"State","VA","Type",5,"Type2","Four-Year")*100</f>
        <v>0</v>
      </c>
      <c r="K177" s="332">
        <f>GETPIVOTDATA(" %G OffC Trad",'FTE Pivot Table'!$A$3,"State","VA","Type",5,"Type2","Four-Year")*100</f>
        <v>0</v>
      </c>
      <c r="L177" s="333">
        <f t="shared" si="21"/>
        <v>0</v>
      </c>
      <c r="M177" s="331">
        <f>GETPIVOTDATA(" %G EL Web",'FTE Pivot Table'!$A$3,"State","VA","Type",5,"Type2","Four-Year")*100</f>
        <v>0</v>
      </c>
      <c r="N177" s="331">
        <f>GETPIVOTDATA(" % G EL CV",'FTE Pivot Table'!$A$3,"State","VA","Type",5,"Type2","Four-Year")*100</f>
        <v>0</v>
      </c>
      <c r="O177" s="332">
        <f>GETPIVOTDATA(" %G EL O",'FTE Pivot Table'!$A$3,"State","VA","Type",5,"Type2","Four-Year")*100</f>
        <v>0</v>
      </c>
      <c r="P177" s="331">
        <f>GETPIVOTDATA(" %G Cor",'FTE Pivot Table'!$A$3,"State","VA","Type",5,"Type2","Four-Year")*100</f>
        <v>0</v>
      </c>
      <c r="Q177" s="121">
        <f t="shared" si="22"/>
        <v>0</v>
      </c>
      <c r="R177" s="121">
        <f t="shared" si="23"/>
        <v>0</v>
      </c>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row>
    <row r="178" spans="1:41" ht="15.75" customHeight="1">
      <c r="A178" s="116" t="s">
        <v>170</v>
      </c>
      <c r="B178" s="317">
        <f>GETPIVOTDATA(" %UG OnC Trad",'FTE Pivot Table'!$A$3,"State","WV","Type",5,"Type2","Four-Year")*100</f>
        <v>0</v>
      </c>
      <c r="C178" s="320">
        <f>GETPIVOTDATA(" %UG OffC Trad",'FTE Pivot Table'!$A$3,"State","WV","Type",5,"Type2","Four-Year")*100</f>
        <v>0</v>
      </c>
      <c r="D178" s="342">
        <f t="shared" si="20"/>
        <v>0</v>
      </c>
      <c r="E178" s="317">
        <f>GETPIVOTDATA(" %UG EL Web",'FTE Pivot Table'!$A$3,"State","WV","Type",5,"Type2","Four-Year")*100</f>
        <v>0</v>
      </c>
      <c r="F178" s="317">
        <f>GETPIVOTDATA(" % UG EL CV",'FTE Pivot Table'!$A$3,"State","WV","Type",5,"Type2","Four-Year")*100</f>
        <v>0</v>
      </c>
      <c r="G178" s="320">
        <f>GETPIVOTDATA(" %UG EL O",'FTE Pivot Table'!$A$3,"State","WV","Type",5,"Type2","Four-Year")*100</f>
        <v>0</v>
      </c>
      <c r="H178" s="317">
        <f>GETPIVOTDATA(" %UG Cor",'FTE Pivot Table'!$A$3,"State","WV","Type",5,"Type2","Four-Year")*100</f>
        <v>0</v>
      </c>
      <c r="I178" s="116" t="s">
        <v>170</v>
      </c>
      <c r="J178" s="337">
        <f>GETPIVOTDATA(" %G OnC Trad",'FTE Pivot Table'!$A$3,"State","WV","Type",5,"Type2","Four-Year")*100</f>
        <v>0</v>
      </c>
      <c r="K178" s="338">
        <f>GETPIVOTDATA(" %G OffC Trad",'FTE Pivot Table'!$A$3,"State","WV","Type",5,"Type2","Four-Year")*100</f>
        <v>0</v>
      </c>
      <c r="L178" s="339">
        <f t="shared" si="21"/>
        <v>0</v>
      </c>
      <c r="M178" s="337">
        <f>GETPIVOTDATA(" %G EL Web",'FTE Pivot Table'!$A$3,"State","WV","Type",5,"Type2","Four-Year")*100</f>
        <v>0</v>
      </c>
      <c r="N178" s="337">
        <f>GETPIVOTDATA(" % G EL CV",'FTE Pivot Table'!$A$3,"State","WV","Type",5,"Type2","Four-Year")*100</f>
        <v>0</v>
      </c>
      <c r="O178" s="338">
        <f>GETPIVOTDATA(" %G EL O",'FTE Pivot Table'!$A$3,"State","WV","Type",5,"Type2","Four-Year")*100</f>
        <v>0</v>
      </c>
      <c r="P178" s="337">
        <f>GETPIVOTDATA(" %G Cor",'FTE Pivot Table'!$A$3,"State","WV","Type",5,"Type2","Four-Year")*100</f>
        <v>0</v>
      </c>
      <c r="Q178" s="121">
        <f t="shared" si="22"/>
        <v>0</v>
      </c>
      <c r="R178" s="121">
        <f t="shared" si="23"/>
        <v>0</v>
      </c>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row>
    <row r="179" spans="1:41" s="279" customFormat="1" ht="18" customHeight="1">
      <c r="A179" s="347" t="s">
        <v>634</v>
      </c>
      <c r="B179" s="283"/>
      <c r="C179" s="283"/>
      <c r="D179" s="284"/>
      <c r="E179" s="283"/>
      <c r="F179" s="284"/>
      <c r="G179" s="284"/>
      <c r="H179" s="283"/>
      <c r="I179" s="347" t="s">
        <v>634</v>
      </c>
      <c r="J179" s="283"/>
      <c r="K179" s="283"/>
      <c r="L179" s="284"/>
      <c r="M179" s="283"/>
      <c r="N179" s="284"/>
      <c r="O179" s="284"/>
      <c r="P179" s="283"/>
      <c r="Q179" s="283"/>
      <c r="R179" s="283"/>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row>
    <row r="180" spans="1:18" s="279" customFormat="1" ht="13.5" customHeight="1">
      <c r="A180" s="347"/>
      <c r="B180" s="278"/>
      <c r="H180" s="351" t="s">
        <v>642</v>
      </c>
      <c r="I180" s="347"/>
      <c r="P180" s="351" t="s">
        <v>642</v>
      </c>
      <c r="Q180" s="281"/>
      <c r="R180" s="282"/>
    </row>
    <row r="181" spans="1:18" ht="18">
      <c r="A181" s="113" t="s">
        <v>583</v>
      </c>
      <c r="B181" s="114"/>
      <c r="C181" s="114"/>
      <c r="D181" s="114"/>
      <c r="E181" s="114"/>
      <c r="F181" s="114"/>
      <c r="G181" s="114"/>
      <c r="H181" s="132"/>
      <c r="I181" s="113" t="s">
        <v>625</v>
      </c>
      <c r="J181" s="115"/>
      <c r="K181" s="115"/>
      <c r="L181" s="114"/>
      <c r="M181" s="115"/>
      <c r="N181" s="115"/>
      <c r="O181" s="115"/>
      <c r="P181" s="115"/>
      <c r="Q181" s="270"/>
      <c r="R181" s="271"/>
    </row>
    <row r="182" spans="1:18" ht="12.75">
      <c r="A182" s="293"/>
      <c r="B182" s="115"/>
      <c r="C182" s="115"/>
      <c r="D182" s="115"/>
      <c r="E182" s="115"/>
      <c r="F182" s="115"/>
      <c r="G182" s="115"/>
      <c r="H182" s="127"/>
      <c r="I182" s="293"/>
      <c r="J182" s="115"/>
      <c r="K182" s="115"/>
      <c r="L182" s="115"/>
      <c r="M182" s="115"/>
      <c r="N182" s="115"/>
      <c r="O182" s="115"/>
      <c r="P182" s="115"/>
      <c r="R182" s="273"/>
    </row>
    <row r="183" spans="1:18" ht="15.75">
      <c r="A183" s="124" t="s">
        <v>617</v>
      </c>
      <c r="B183" s="115"/>
      <c r="C183" s="115"/>
      <c r="D183" s="115"/>
      <c r="E183" s="115"/>
      <c r="F183" s="115"/>
      <c r="G183" s="115"/>
      <c r="H183" s="127"/>
      <c r="I183" s="124" t="s">
        <v>618</v>
      </c>
      <c r="J183" s="115"/>
      <c r="K183" s="115"/>
      <c r="L183" s="115"/>
      <c r="M183" s="115"/>
      <c r="N183" s="115"/>
      <c r="O183" s="115"/>
      <c r="P183" s="115"/>
      <c r="R183" s="273" t="s">
        <v>2</v>
      </c>
    </row>
    <row r="184" spans="1:18" ht="15.75">
      <c r="A184" s="124" t="s">
        <v>552</v>
      </c>
      <c r="B184" s="115"/>
      <c r="C184" s="115"/>
      <c r="D184" s="115"/>
      <c r="E184" s="115"/>
      <c r="F184" s="115"/>
      <c r="G184" s="115"/>
      <c r="H184" s="127"/>
      <c r="I184" s="124" t="s">
        <v>552</v>
      </c>
      <c r="J184" s="115"/>
      <c r="K184" s="115"/>
      <c r="L184" s="115"/>
      <c r="M184" s="115"/>
      <c r="N184" s="115"/>
      <c r="O184" s="115"/>
      <c r="P184" s="115"/>
      <c r="R184" s="273" t="s">
        <v>2</v>
      </c>
    </row>
    <row r="185" spans="1:16" ht="12.75">
      <c r="A185" s="116"/>
      <c r="B185" s="117"/>
      <c r="C185" s="117"/>
      <c r="D185" s="117"/>
      <c r="E185" s="117"/>
      <c r="F185" s="117"/>
      <c r="G185" s="117"/>
      <c r="H185" s="117"/>
      <c r="I185" s="118"/>
      <c r="L185" s="119"/>
      <c r="P185" s="116"/>
    </row>
    <row r="186" spans="1:18" s="305" customFormat="1" ht="12">
      <c r="A186" s="300"/>
      <c r="B186" s="301" t="s">
        <v>279</v>
      </c>
      <c r="C186" s="301"/>
      <c r="D186" s="301"/>
      <c r="E186" s="301"/>
      <c r="F186" s="301"/>
      <c r="G186" s="301"/>
      <c r="H186" s="302"/>
      <c r="I186" s="300"/>
      <c r="J186" s="301" t="s">
        <v>279</v>
      </c>
      <c r="K186" s="301"/>
      <c r="L186" s="301"/>
      <c r="M186" s="301"/>
      <c r="N186" s="301"/>
      <c r="O186" s="301"/>
      <c r="P186" s="302"/>
      <c r="Q186" s="303"/>
      <c r="R186" s="304"/>
    </row>
    <row r="187" spans="1:18" s="305" customFormat="1" ht="12">
      <c r="A187" s="300"/>
      <c r="B187" s="301" t="s">
        <v>173</v>
      </c>
      <c r="C187" s="301"/>
      <c r="D187" s="370" t="s">
        <v>629</v>
      </c>
      <c r="E187" s="371"/>
      <c r="F187" s="371"/>
      <c r="G187" s="371"/>
      <c r="H187" s="306" t="s">
        <v>2</v>
      </c>
      <c r="I187" s="300"/>
      <c r="J187" s="301" t="s">
        <v>173</v>
      </c>
      <c r="K187" s="301"/>
      <c r="L187" s="370" t="s">
        <v>629</v>
      </c>
      <c r="M187" s="371"/>
      <c r="N187" s="371"/>
      <c r="O187" s="371"/>
      <c r="P187" s="306" t="s">
        <v>2</v>
      </c>
      <c r="Q187" s="303"/>
      <c r="R187" s="304"/>
    </row>
    <row r="188" spans="1:20" s="305" customFormat="1" ht="40.5" customHeight="1">
      <c r="A188" s="300"/>
      <c r="B188" s="307" t="s">
        <v>612</v>
      </c>
      <c r="C188" s="308" t="s">
        <v>611</v>
      </c>
      <c r="D188" s="309" t="s">
        <v>626</v>
      </c>
      <c r="E188" s="310" t="s">
        <v>0</v>
      </c>
      <c r="F188" s="307" t="s">
        <v>174</v>
      </c>
      <c r="G188" s="311" t="s">
        <v>631</v>
      </c>
      <c r="H188" s="312" t="s">
        <v>630</v>
      </c>
      <c r="I188" s="300"/>
      <c r="J188" s="307" t="s">
        <v>612</v>
      </c>
      <c r="K188" s="308" t="s">
        <v>611</v>
      </c>
      <c r="L188" s="309" t="s">
        <v>626</v>
      </c>
      <c r="M188" s="310" t="s">
        <v>0</v>
      </c>
      <c r="N188" s="307" t="s">
        <v>174</v>
      </c>
      <c r="O188" s="311" t="s">
        <v>631</v>
      </c>
      <c r="P188" s="312" t="s">
        <v>630</v>
      </c>
      <c r="Q188" s="313"/>
      <c r="R188" s="314"/>
      <c r="T188" s="315"/>
    </row>
    <row r="189" spans="1:41" ht="15.75" customHeight="1">
      <c r="A189" s="123" t="s">
        <v>534</v>
      </c>
      <c r="B189" s="318">
        <f>GETPIVOTDATA(" %UG OnC Trad",'FTE Pivot Table'!$A$3,"State","AL","Type",6,"Type2","Four-Year")*100</f>
        <v>0</v>
      </c>
      <c r="C189" s="319">
        <f>GETPIVOTDATA(" %UG OffC Trad",'FTE Pivot Table'!$A$3,"State","AL","Type",6,"Type2","Four-Year")*100</f>
        <v>0</v>
      </c>
      <c r="D189" s="340">
        <f aca="true" t="shared" si="24" ref="D189:D207">SUM(E189:G189)</f>
        <v>0</v>
      </c>
      <c r="E189" s="318">
        <f>GETPIVOTDATA(" %UG EL Web",'FTE Pivot Table'!$A$3,"State","AL","Type",6,"Type2","Four-Year")*100</f>
        <v>0</v>
      </c>
      <c r="F189" s="341">
        <f>GETPIVOTDATA(" % UG EL CV",'FTE Pivot Table'!$A$3,"State","AL","Type",6,"Type2","Four-Year")*100</f>
        <v>0</v>
      </c>
      <c r="G189" s="319">
        <f>GETPIVOTDATA(" %UG EL O",'FTE Pivot Table'!$A$3,"State","AL","Type",6,"Type2","Four-Year")*100</f>
        <v>0</v>
      </c>
      <c r="H189" s="318">
        <f>GETPIVOTDATA(" %UG Cor",'FTE Pivot Table'!$A$3,"State","AL","Type",6,"Type2","Four-Year")*100</f>
        <v>0</v>
      </c>
      <c r="I189" s="123" t="s">
        <v>534</v>
      </c>
      <c r="J189" s="331">
        <f>GETPIVOTDATA(" %G OnC Trad",'FTE Pivot Table'!$A$3,"State","AL","Type",6,"Type2","Four-Year")*100</f>
        <v>0</v>
      </c>
      <c r="K189" s="332">
        <f>GETPIVOTDATA(" %G OffC Trad",'FTE Pivot Table'!$A$3,"State","AL","Type",6,"Type2","Four-Year")*100</f>
        <v>0</v>
      </c>
      <c r="L189" s="333">
        <f aca="true" t="shared" si="25" ref="L189:L207">SUM(M189:O189)</f>
        <v>0</v>
      </c>
      <c r="M189" s="331">
        <f>GETPIVOTDATA(" %G EL Web",'FTE Pivot Table'!$A$3,"State","AL","Type",6,"Type2","Four-Year")*100</f>
        <v>0</v>
      </c>
      <c r="N189" s="334">
        <f>GETPIVOTDATA(" % G EL CV",'FTE Pivot Table'!$A$3,"State","AL","Type",6,"Type2","Four-Year")*100</f>
        <v>0</v>
      </c>
      <c r="O189" s="332">
        <f>GETPIVOTDATA(" %G EL O",'FTE Pivot Table'!$A$3,"State","AL","Type",6,"Type2","Four-Year")*100</f>
        <v>0</v>
      </c>
      <c r="P189" s="331">
        <f>GETPIVOTDATA(" %G Cor",'FTE Pivot Table'!$A$3,"State","AL","Type",6,"Type2","Four-Year")*100</f>
        <v>0</v>
      </c>
      <c r="Q189" s="121">
        <f aca="true" t="shared" si="26" ref="Q189:Q207">SUM(B189,C189,D189,H189)</f>
        <v>0</v>
      </c>
      <c r="R189" s="121">
        <f aca="true" t="shared" si="27" ref="R189:R207">SUM(J189,K189,L189,P189)</f>
        <v>0</v>
      </c>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row>
    <row r="190" spans="1:41" ht="15.75" customHeight="1">
      <c r="A190" s="122" t="s">
        <v>535</v>
      </c>
      <c r="B190" s="318">
        <f>GETPIVOTDATA(" %UG OnC Trad",'FTE Pivot Table'!$A$3,"State","AR","Type",6,"Type2","Four-Year")*100</f>
        <v>94.23122468058585</v>
      </c>
      <c r="C190" s="319">
        <f>GETPIVOTDATA(" %UG OffC Trad",'FTE Pivot Table'!$A$3,"State","AR","Type",6,"Type2","Four-Year")*100</f>
        <v>3.255219694608912</v>
      </c>
      <c r="D190" s="340">
        <f t="shared" si="24"/>
        <v>2.5135556248052353</v>
      </c>
      <c r="E190" s="318">
        <f>GETPIVOTDATA(" %UG EL Web",'FTE Pivot Table'!$A$3,"State","AR","Type",6,"Type2","Four-Year")*100</f>
        <v>1.100031162355874</v>
      </c>
      <c r="F190" s="318">
        <f>GETPIVOTDATA(" % UG EL CV",'FTE Pivot Table'!$A$3,"State","AR","Type",6,"Type2","Four-Year")*100</f>
        <v>1.413524462449361</v>
      </c>
      <c r="G190" s="319">
        <f>GETPIVOTDATA(" %UG EL O",'FTE Pivot Table'!$A$3,"State","AR","Type",6,"Type2","Four-Year")*100</f>
        <v>0</v>
      </c>
      <c r="H190" s="318">
        <f>GETPIVOTDATA(" %UG Cor",'FTE Pivot Table'!$A$3,"State","AR","Type",6,"Type2","Four-Year")*100</f>
        <v>0</v>
      </c>
      <c r="I190" s="122" t="s">
        <v>535</v>
      </c>
      <c r="J190" s="331">
        <f>GETPIVOTDATA(" %G OnC Trad",'FTE Pivot Table'!$A$3,"State","AR","Type",6,"Type2","Four-Year")*100</f>
        <v>71.79540277490165</v>
      </c>
      <c r="K190" s="332">
        <f>GETPIVOTDATA(" %G OffC Trad",'FTE Pivot Table'!$A$3,"State","AR","Type",6,"Type2","Four-Year")*100</f>
        <v>1.8637399047421825</v>
      </c>
      <c r="L190" s="333">
        <f t="shared" si="25"/>
        <v>26.340857320356182</v>
      </c>
      <c r="M190" s="331">
        <f>GETPIVOTDATA(" %G EL Web",'FTE Pivot Table'!$A$3,"State","AR","Type",6,"Type2","Four-Year")*100</f>
        <v>26.340857320356182</v>
      </c>
      <c r="N190" s="331">
        <f>GETPIVOTDATA(" % G EL CV",'FTE Pivot Table'!$A$3,"State","AR","Type",6,"Type2","Four-Year")*100</f>
        <v>0</v>
      </c>
      <c r="O190" s="332">
        <f>GETPIVOTDATA(" %G EL O",'FTE Pivot Table'!$A$3,"State","AR","Type",6,"Type2","Four-Year")*100</f>
        <v>0</v>
      </c>
      <c r="P190" s="331">
        <f>GETPIVOTDATA(" %G Cor",'FTE Pivot Table'!$A$3,"State","AR","Type",6,"Type2","Four-Year")*100</f>
        <v>0</v>
      </c>
      <c r="Q190" s="121">
        <f t="shared" si="26"/>
        <v>100</v>
      </c>
      <c r="R190" s="121">
        <f t="shared" si="27"/>
        <v>100.00000000000001</v>
      </c>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row>
    <row r="191" spans="1:41" ht="15.75" customHeight="1">
      <c r="A191" s="122" t="s">
        <v>536</v>
      </c>
      <c r="B191" s="318">
        <f>GETPIVOTDATA(" %UG OnC Trad",'FTE Pivot Table'!$A$3,"State","DE","Type",6,"Type2","Four-Year")*100</f>
        <v>0</v>
      </c>
      <c r="C191" s="319">
        <f>GETPIVOTDATA(" %UG OffC Trad",'FTE Pivot Table'!$A$3,"State","DE","Type",6,"Type2","Four-Year")*100</f>
        <v>0</v>
      </c>
      <c r="D191" s="340">
        <f t="shared" si="24"/>
        <v>0</v>
      </c>
      <c r="E191" s="318">
        <f>GETPIVOTDATA(" %UG EL Web",'FTE Pivot Table'!$A$3,"State","DE","Type",6,"Type2","Four-Year")*100</f>
        <v>0</v>
      </c>
      <c r="F191" s="318">
        <f>GETPIVOTDATA(" % UG EL CV",'FTE Pivot Table'!$A$3,"State","DE","Type",6,"Type2","Four-Year")*100</f>
        <v>0</v>
      </c>
      <c r="G191" s="319">
        <f>GETPIVOTDATA(" %UG EL O",'FTE Pivot Table'!$A$3,"State","DE","Type",6,"Type2","Four-Year")*100</f>
        <v>0</v>
      </c>
      <c r="H191" s="318">
        <f>GETPIVOTDATA(" %UG Cor",'FTE Pivot Table'!$A$3,"State","DE","Type",6,"Type2","Four-Year")*100</f>
        <v>0</v>
      </c>
      <c r="I191" s="122" t="s">
        <v>536</v>
      </c>
      <c r="J191" s="331">
        <f>GETPIVOTDATA(" %G OnC Trad",'FTE Pivot Table'!$A$3,"State","DE","Type",6,"Type2","Four-Year")*100</f>
        <v>0</v>
      </c>
      <c r="K191" s="332">
        <f>GETPIVOTDATA(" %G OffC Trad",'FTE Pivot Table'!$A$3,"State","DE","Type",6,"Type2","Four-Year")*100</f>
        <v>0</v>
      </c>
      <c r="L191" s="333">
        <f t="shared" si="25"/>
        <v>0</v>
      </c>
      <c r="M191" s="331">
        <f>GETPIVOTDATA(" %G EL Web",'FTE Pivot Table'!$A$3,"State","DE","Type",6,"Type2","Four-Year")*100</f>
        <v>0</v>
      </c>
      <c r="N191" s="331">
        <f>GETPIVOTDATA(" % G EL CV",'FTE Pivot Table'!$A$3,"State","DE","Type",6,"Type2","Four-Year")*100</f>
        <v>0</v>
      </c>
      <c r="O191" s="332">
        <f>GETPIVOTDATA(" %G EL O",'FTE Pivot Table'!$A$3,"State","DE","Type",6,"Type2","Four-Year")*100</f>
        <v>0</v>
      </c>
      <c r="P191" s="331">
        <f>GETPIVOTDATA(" %G Cor",'FTE Pivot Table'!$A$3,"State","DE","Type",6,"Type2","Four-Year")*100</f>
        <v>0</v>
      </c>
      <c r="Q191" s="121">
        <f t="shared" si="26"/>
        <v>0</v>
      </c>
      <c r="R191" s="121">
        <f t="shared" si="27"/>
        <v>0</v>
      </c>
      <c r="S191" s="134"/>
      <c r="T191" s="27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row>
    <row r="192" spans="1:41" ht="15.75" customHeight="1">
      <c r="A192" s="122" t="s">
        <v>537</v>
      </c>
      <c r="B192" s="318">
        <f>GETPIVOTDATA(" %UG OnC Trad",'FTE Pivot Table'!$A$3,"State","FL","Type",6,"Type2","Four-Year")*100</f>
        <v>100</v>
      </c>
      <c r="C192" s="319">
        <f>GETPIVOTDATA(" %UG OffC Trad",'FTE Pivot Table'!$A$3,"State","FL","Type",6,"Type2","Four-Year")*100</f>
        <v>0</v>
      </c>
      <c r="D192" s="340">
        <f t="shared" si="24"/>
        <v>0</v>
      </c>
      <c r="E192" s="318">
        <f>GETPIVOTDATA(" %UG EL Web",'FTE Pivot Table'!$A$3,"State","FL","Type",6,"Type2","Four-Year")*100</f>
        <v>0</v>
      </c>
      <c r="F192" s="318">
        <f>GETPIVOTDATA(" % UG EL CV",'FTE Pivot Table'!$A$3,"State","FL","Type",6,"Type2","Four-Year")*100</f>
        <v>0</v>
      </c>
      <c r="G192" s="319">
        <f>GETPIVOTDATA(" %UG EL O",'FTE Pivot Table'!$A$3,"State","FL","Type",6,"Type2","Four-Year")*100</f>
        <v>0</v>
      </c>
      <c r="H192" s="318">
        <f>GETPIVOTDATA(" %UG Cor",'FTE Pivot Table'!$A$3,"State","FL","Type",6,"Type2","Four-Year")*100</f>
        <v>0</v>
      </c>
      <c r="I192" s="122" t="s">
        <v>537</v>
      </c>
      <c r="J192" s="331">
        <f>GETPIVOTDATA(" %G OnC Trad",'FTE Pivot Table'!$A$3,"State","FL","Type",6,"Type2","Four-Year")*100</f>
        <v>0</v>
      </c>
      <c r="K192" s="332">
        <f>GETPIVOTDATA(" %G OffC Trad",'FTE Pivot Table'!$A$3,"State","FL","Type",6,"Type2","Four-Year")*100</f>
        <v>0</v>
      </c>
      <c r="L192" s="333">
        <f t="shared" si="25"/>
        <v>0</v>
      </c>
      <c r="M192" s="331">
        <f>GETPIVOTDATA(" %G EL Web",'FTE Pivot Table'!$A$3,"State","FL","Type",6,"Type2","Four-Year")*100</f>
        <v>0</v>
      </c>
      <c r="N192" s="331">
        <f>GETPIVOTDATA(" % G EL CV",'FTE Pivot Table'!$A$3,"State","FL","Type",6,"Type2","Four-Year")*100</f>
        <v>0</v>
      </c>
      <c r="O192" s="332">
        <f>GETPIVOTDATA(" %G EL O",'FTE Pivot Table'!$A$3,"State","FL","Type",6,"Type2","Four-Year")*100</f>
        <v>0</v>
      </c>
      <c r="P192" s="331">
        <f>GETPIVOTDATA(" %G Cor",'FTE Pivot Table'!$A$3,"State","FL","Type",6,"Type2","Four-Year")*100</f>
        <v>0</v>
      </c>
      <c r="Q192" s="121">
        <f t="shared" si="26"/>
        <v>100</v>
      </c>
      <c r="R192" s="121">
        <f t="shared" si="27"/>
        <v>0</v>
      </c>
      <c r="S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row>
    <row r="193" spans="1:41" ht="15.75" customHeight="1">
      <c r="A193" s="122"/>
      <c r="B193" s="318"/>
      <c r="C193" s="319"/>
      <c r="D193" s="340">
        <f t="shared" si="24"/>
        <v>0</v>
      </c>
      <c r="E193" s="318"/>
      <c r="F193" s="318"/>
      <c r="G193" s="319"/>
      <c r="H193" s="318"/>
      <c r="I193" s="122"/>
      <c r="J193" s="331"/>
      <c r="K193" s="332"/>
      <c r="L193" s="333">
        <f t="shared" si="25"/>
        <v>0</v>
      </c>
      <c r="M193" s="331"/>
      <c r="N193" s="331"/>
      <c r="O193" s="332"/>
      <c r="P193" s="331"/>
      <c r="Q193" s="121">
        <f t="shared" si="26"/>
        <v>0</v>
      </c>
      <c r="R193" s="121">
        <f t="shared" si="27"/>
        <v>0</v>
      </c>
      <c r="S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row>
    <row r="194" spans="1:41" ht="15.75" customHeight="1">
      <c r="A194" s="122" t="s">
        <v>538</v>
      </c>
      <c r="B194" s="318">
        <f>GETPIVOTDATA(" %UG OnC Trad",'FTE Pivot Table'!$A$3,"State","GA","Type",6,"Type2","Four-Year")*100</f>
        <v>87.12901634197031</v>
      </c>
      <c r="C194" s="319">
        <f>GETPIVOTDATA(" %UG OffC Trad",'FTE Pivot Table'!$A$3,"State","GA","Type",6,"Type2","Four-Year")*100</f>
        <v>0</v>
      </c>
      <c r="D194" s="340">
        <f t="shared" si="24"/>
        <v>12.357848780706606</v>
      </c>
      <c r="E194" s="318">
        <f>GETPIVOTDATA(" %UG EL Web",'FTE Pivot Table'!$A$3,"State","GA","Type",6,"Type2","Four-Year")*100</f>
        <v>12.203287830988442</v>
      </c>
      <c r="F194" s="318">
        <f>GETPIVOTDATA(" % UG EL CV",'FTE Pivot Table'!$A$3,"State","GA","Type",6,"Type2","Four-Year")*100</f>
        <v>0</v>
      </c>
      <c r="G194" s="319">
        <f>GETPIVOTDATA(" %UG EL O",'FTE Pivot Table'!$A$3,"State","GA","Type",6,"Type2","Four-Year")*100</f>
        <v>0.15456094971816456</v>
      </c>
      <c r="H194" s="318">
        <f>GETPIVOTDATA(" %UG Cor",'FTE Pivot Table'!$A$3,"State","GA","Type",6,"Type2","Four-Year")*100</f>
        <v>0.5131348773230866</v>
      </c>
      <c r="I194" s="122" t="s">
        <v>538</v>
      </c>
      <c r="J194" s="331">
        <f>GETPIVOTDATA(" %G OnC Trad",'FTE Pivot Table'!$A$3,"State","GA","Type",6,"Type2","Four-Year")*100</f>
        <v>0</v>
      </c>
      <c r="K194" s="332">
        <f>GETPIVOTDATA(" %G OffC Trad",'FTE Pivot Table'!$A$3,"State","GA","Type",6,"Type2","Four-Year")*100</f>
        <v>0</v>
      </c>
      <c r="L194" s="333">
        <f t="shared" si="25"/>
        <v>0</v>
      </c>
      <c r="M194" s="331">
        <f>GETPIVOTDATA(" %G EL Web",'FTE Pivot Table'!$A$3,"State","GA","Type",6,"Type2","Four-Year")*100</f>
        <v>0</v>
      </c>
      <c r="N194" s="331">
        <f>GETPIVOTDATA(" % G EL CV",'FTE Pivot Table'!$A$3,"State","GA","Type",6,"Type2","Four-Year")*100</f>
        <v>0</v>
      </c>
      <c r="O194" s="332">
        <f>GETPIVOTDATA(" %G EL O",'FTE Pivot Table'!$A$3,"State","GA","Type",6,"Type2","Four-Year")*100</f>
        <v>0</v>
      </c>
      <c r="P194" s="331">
        <f>GETPIVOTDATA(" %G Cor",'FTE Pivot Table'!$A$3,"State","GA","Type",6,"Type2","Four-Year")*100</f>
        <v>0</v>
      </c>
      <c r="Q194" s="121">
        <f t="shared" si="26"/>
        <v>100</v>
      </c>
      <c r="R194" s="121">
        <f t="shared" si="27"/>
        <v>0</v>
      </c>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row>
    <row r="195" spans="1:41" ht="15.75" customHeight="1">
      <c r="A195" s="122" t="s">
        <v>539</v>
      </c>
      <c r="B195" s="318">
        <f>GETPIVOTDATA(" %UG OnC Trad",'FTE Pivot Table'!$A$3,"State","KY","Type",6,"Type2","Four-Year")*100</f>
        <v>94.35547208468499</v>
      </c>
      <c r="C195" s="319">
        <f>GETPIVOTDATA(" %UG OffC Trad",'FTE Pivot Table'!$A$3,"State","KY","Type",6,"Type2","Four-Year")*100</f>
        <v>0</v>
      </c>
      <c r="D195" s="340">
        <f t="shared" si="24"/>
        <v>5.644527915315008</v>
      </c>
      <c r="E195" s="318">
        <f>GETPIVOTDATA(" %UG EL Web",'FTE Pivot Table'!$A$3,"State","KY","Type",6,"Type2","Four-Year")*100</f>
        <v>3.8774116441864437</v>
      </c>
      <c r="F195" s="318">
        <f>GETPIVOTDATA(" % UG EL CV",'FTE Pivot Table'!$A$3,"State","KY","Type",6,"Type2","Four-Year")*100</f>
        <v>0.31244664504012293</v>
      </c>
      <c r="G195" s="319">
        <f>GETPIVOTDATA(" %UG EL O",'FTE Pivot Table'!$A$3,"State","KY","Type",6,"Type2","Four-Year")*100</f>
        <v>1.4546696260884413</v>
      </c>
      <c r="H195" s="318">
        <f>GETPIVOTDATA(" %UG Cor",'FTE Pivot Table'!$A$3,"State","KY","Type",6,"Type2","Four-Year")*100</f>
        <v>0</v>
      </c>
      <c r="I195" s="122" t="s">
        <v>539</v>
      </c>
      <c r="J195" s="331">
        <f>GETPIVOTDATA(" %G OnC Trad",'FTE Pivot Table'!$A$3,"State","KY","Type",6,"Type2","Four-Year")*100</f>
        <v>98.51239669421487</v>
      </c>
      <c r="K195" s="332">
        <f>GETPIVOTDATA(" %G OffC Trad",'FTE Pivot Table'!$A$3,"State","KY","Type",6,"Type2","Four-Year")*100</f>
        <v>0</v>
      </c>
      <c r="L195" s="333">
        <f t="shared" si="25"/>
        <v>1.487603305785124</v>
      </c>
      <c r="M195" s="331">
        <f>GETPIVOTDATA(" %G EL Web",'FTE Pivot Table'!$A$3,"State","KY","Type",6,"Type2","Four-Year")*100</f>
        <v>1.3636363636363635</v>
      </c>
      <c r="N195" s="331">
        <f>GETPIVOTDATA(" % G EL CV",'FTE Pivot Table'!$A$3,"State","KY","Type",6,"Type2","Four-Year")*100</f>
        <v>0</v>
      </c>
      <c r="O195" s="332">
        <f>GETPIVOTDATA(" %G EL O",'FTE Pivot Table'!$A$3,"State","KY","Type",6,"Type2","Four-Year")*100</f>
        <v>0.12396694214876033</v>
      </c>
      <c r="P195" s="331">
        <f>GETPIVOTDATA(" %G Cor",'FTE Pivot Table'!$A$3,"State","KY","Type",6,"Type2","Four-Year")*100</f>
        <v>0</v>
      </c>
      <c r="Q195" s="121">
        <f t="shared" si="26"/>
        <v>100</v>
      </c>
      <c r="R195" s="121">
        <f t="shared" si="27"/>
        <v>100</v>
      </c>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row>
    <row r="196" spans="1:41" ht="15.75" customHeight="1">
      <c r="A196" s="122" t="s">
        <v>540</v>
      </c>
      <c r="B196" s="318">
        <f>GETPIVOTDATA(" %UG OnC Trad",'FTE Pivot Table'!$A$3,"State","LA","Type",6,"Type2","Four-Year")*100</f>
        <v>0</v>
      </c>
      <c r="C196" s="319">
        <f>GETPIVOTDATA(" %UG OffC Trad",'FTE Pivot Table'!$A$3,"State","LA","Type",6,"Type2","Four-Year")*100</f>
        <v>0</v>
      </c>
      <c r="D196" s="340">
        <f t="shared" si="24"/>
        <v>0</v>
      </c>
      <c r="E196" s="318">
        <f>GETPIVOTDATA(" %UG EL Web",'FTE Pivot Table'!$A$3,"State","LA","Type",6,"Type2","Four-Year")*100</f>
        <v>0</v>
      </c>
      <c r="F196" s="318">
        <f>GETPIVOTDATA(" % UG EL CV",'FTE Pivot Table'!$A$3,"State","LA","Type",6,"Type2","Four-Year")*100</f>
        <v>0</v>
      </c>
      <c r="G196" s="319">
        <f>GETPIVOTDATA(" %UG EL O",'FTE Pivot Table'!$A$3,"State","LA","Type",6,"Type2","Four-Year")*100</f>
        <v>0</v>
      </c>
      <c r="H196" s="318">
        <f>GETPIVOTDATA(" %UG Cor",'FTE Pivot Table'!$A$3,"State","LA","Type",6,"Type2","Four-Year")*100</f>
        <v>0</v>
      </c>
      <c r="I196" s="122" t="s">
        <v>540</v>
      </c>
      <c r="J196" s="331">
        <f>GETPIVOTDATA(" %G OnC Trad",'FTE Pivot Table'!$A$3,"State","LA","Type",6,"Type2","Four-Year")*100</f>
        <v>0</v>
      </c>
      <c r="K196" s="332">
        <f>GETPIVOTDATA(" %G OffC Trad",'FTE Pivot Table'!$A$3,"State","LA","Type",6,"Type2","Four-Year")*100</f>
        <v>0</v>
      </c>
      <c r="L196" s="333">
        <f t="shared" si="25"/>
        <v>0</v>
      </c>
      <c r="M196" s="331">
        <f>GETPIVOTDATA(" %G EL Web",'FTE Pivot Table'!$A$3,"State","LA","Type",6,"Type2","Four-Year")*100</f>
        <v>0</v>
      </c>
      <c r="N196" s="331">
        <f>GETPIVOTDATA(" % G EL CV",'FTE Pivot Table'!$A$3,"State","LA","Type",6,"Type2","Four-Year")*100</f>
        <v>0</v>
      </c>
      <c r="O196" s="332">
        <f>GETPIVOTDATA(" %G EL O",'FTE Pivot Table'!$A$3,"State","LA","Type",6,"Type2","Four-Year")*100</f>
        <v>0</v>
      </c>
      <c r="P196" s="331">
        <f>GETPIVOTDATA(" %G Cor",'FTE Pivot Table'!$A$3,"State","LA","Type",6,"Type2","Four-Year")*100</f>
        <v>0</v>
      </c>
      <c r="Q196" s="121">
        <f t="shared" si="26"/>
        <v>0</v>
      </c>
      <c r="R196" s="121">
        <f t="shared" si="27"/>
        <v>0</v>
      </c>
      <c r="S196" s="134"/>
      <c r="T196" s="27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row>
    <row r="197" spans="1:41" ht="15.75" customHeight="1">
      <c r="A197" s="122" t="s">
        <v>541</v>
      </c>
      <c r="B197" s="318">
        <f>GETPIVOTDATA(" %UG OnC Trad",'FTE Pivot Table'!$A$3,"State","MD","Type",6,"Type2","Four-Year")*100</f>
        <v>0</v>
      </c>
      <c r="C197" s="319">
        <f>GETPIVOTDATA(" %UG OffC Trad",'FTE Pivot Table'!$A$3,"State","MD","Type",6,"Type2","Four-Year")*100</f>
        <v>0</v>
      </c>
      <c r="D197" s="340">
        <f t="shared" si="24"/>
        <v>0</v>
      </c>
      <c r="E197" s="318">
        <f>GETPIVOTDATA(" %UG EL Web",'FTE Pivot Table'!$A$3,"State","MD","Type",6,"Type2","Four-Year")*100</f>
        <v>0</v>
      </c>
      <c r="F197" s="318">
        <f>GETPIVOTDATA(" % UG EL CV",'FTE Pivot Table'!$A$3,"State","MD","Type",6,"Type2","Four-Year")*100</f>
        <v>0</v>
      </c>
      <c r="G197" s="319">
        <f>GETPIVOTDATA(" %UG EL O",'FTE Pivot Table'!$A$3,"State","MD","Type",6,"Type2","Four-Year")*100</f>
        <v>0</v>
      </c>
      <c r="H197" s="318">
        <f>GETPIVOTDATA(" %UG Cor",'FTE Pivot Table'!$A$3,"State","MD","Type",6,"Type2","Four-Year")*100</f>
        <v>0</v>
      </c>
      <c r="I197" s="122" t="s">
        <v>541</v>
      </c>
      <c r="J197" s="331">
        <f>GETPIVOTDATA(" %G OnC Trad",'FTE Pivot Table'!$A$3,"State","MD","Type",6,"Type2","Four-Year")*100</f>
        <v>0</v>
      </c>
      <c r="K197" s="332">
        <f>GETPIVOTDATA(" %G OffC Trad",'FTE Pivot Table'!$A$3,"State","MD","Type",6,"Type2","Four-Year")*100</f>
        <v>0</v>
      </c>
      <c r="L197" s="333">
        <f t="shared" si="25"/>
        <v>0</v>
      </c>
      <c r="M197" s="331">
        <f>GETPIVOTDATA(" %G EL Web",'FTE Pivot Table'!$A$3,"State","MD","Type",6,"Type2","Four-Year")*100</f>
        <v>0</v>
      </c>
      <c r="N197" s="331">
        <f>GETPIVOTDATA(" % G EL CV",'FTE Pivot Table'!$A$3,"State","MD","Type",6,"Type2","Four-Year")*100</f>
        <v>0</v>
      </c>
      <c r="O197" s="332">
        <f>GETPIVOTDATA(" %G EL O",'FTE Pivot Table'!$A$3,"State","MD","Type",6,"Type2","Four-Year")*100</f>
        <v>0</v>
      </c>
      <c r="P197" s="331">
        <f>GETPIVOTDATA(" %G Cor",'FTE Pivot Table'!$A$3,"State","MD","Type",6,"Type2","Four-Year")*100</f>
        <v>0</v>
      </c>
      <c r="Q197" s="121">
        <f t="shared" si="26"/>
        <v>0</v>
      </c>
      <c r="R197" s="121">
        <f t="shared" si="27"/>
        <v>0</v>
      </c>
      <c r="S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row>
    <row r="198" spans="1:41" ht="15.75" customHeight="1">
      <c r="A198" s="122"/>
      <c r="B198" s="318"/>
      <c r="C198" s="319"/>
      <c r="D198" s="340">
        <f t="shared" si="24"/>
        <v>0</v>
      </c>
      <c r="E198" s="318"/>
      <c r="F198" s="318"/>
      <c r="G198" s="319"/>
      <c r="H198" s="318"/>
      <c r="I198" s="122"/>
      <c r="J198" s="331"/>
      <c r="K198" s="332"/>
      <c r="L198" s="333">
        <f t="shared" si="25"/>
        <v>0</v>
      </c>
      <c r="M198" s="331"/>
      <c r="N198" s="331"/>
      <c r="O198" s="332"/>
      <c r="P198" s="331"/>
      <c r="Q198" s="121">
        <f t="shared" si="26"/>
        <v>0</v>
      </c>
      <c r="R198" s="121">
        <f t="shared" si="27"/>
        <v>0</v>
      </c>
      <c r="S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row>
    <row r="199" spans="1:41" ht="15.75" customHeight="1">
      <c r="A199" s="122" t="s">
        <v>168</v>
      </c>
      <c r="B199" s="318">
        <f>GETPIVOTDATA(" %UG OnC Trad",'FTE Pivot Table'!$A$3,"State","MS","Type",6,"Type2","Four-Year")*100</f>
        <v>0</v>
      </c>
      <c r="C199" s="319">
        <f>GETPIVOTDATA(" %UG OffC Trad",'FTE Pivot Table'!$A$3,"State","MS","Type",6,"Type2","Four-Year")*100</f>
        <v>0</v>
      </c>
      <c r="D199" s="340">
        <f t="shared" si="24"/>
        <v>0</v>
      </c>
      <c r="E199" s="318">
        <f>GETPIVOTDATA(" %UG EL Web",'FTE Pivot Table'!$A$3,"State","MS","Type",6,"Type2","Four-Year")*100</f>
        <v>0</v>
      </c>
      <c r="F199" s="318">
        <f>GETPIVOTDATA(" % UG EL CV",'FTE Pivot Table'!$A$3,"State","MS","Type",6,"Type2","Four-Year")*100</f>
        <v>0</v>
      </c>
      <c r="G199" s="319">
        <f>GETPIVOTDATA(" %UG EL O",'FTE Pivot Table'!$A$3,"State","MS","Type",6,"Type2","Four-Year")*100</f>
        <v>0</v>
      </c>
      <c r="H199" s="318">
        <f>GETPIVOTDATA(" %UG Cor",'FTE Pivot Table'!$A$3,"State","MS","Type",6,"Type2","Four-Year")*100</f>
        <v>0</v>
      </c>
      <c r="I199" s="122" t="s">
        <v>168</v>
      </c>
      <c r="J199" s="331">
        <f>GETPIVOTDATA(" %G OnC Trad",'FTE Pivot Table'!$A$3,"State","MS","Type",6,"Type2","Four-Year")*100</f>
        <v>0</v>
      </c>
      <c r="K199" s="332">
        <f>GETPIVOTDATA(" %G OffC Trad",'FTE Pivot Table'!$A$3,"State","MS","Type",6,"Type2","Four-Year")*100</f>
        <v>0</v>
      </c>
      <c r="L199" s="333">
        <f t="shared" si="25"/>
        <v>0</v>
      </c>
      <c r="M199" s="331">
        <f>GETPIVOTDATA(" %G EL Web",'FTE Pivot Table'!$A$3,"State","MS","Type",6,"Type2","Four-Year")*100</f>
        <v>0</v>
      </c>
      <c r="N199" s="331">
        <f>GETPIVOTDATA(" % G EL CV",'FTE Pivot Table'!$A$3,"State","MS","Type",6,"Type2","Four-Year")*100</f>
        <v>0</v>
      </c>
      <c r="O199" s="332">
        <f>GETPIVOTDATA(" %G EL O",'FTE Pivot Table'!$A$3,"State","MS","Type",6,"Type2","Four-Year")*100</f>
        <v>0</v>
      </c>
      <c r="P199" s="331">
        <f>GETPIVOTDATA(" %G Cor",'FTE Pivot Table'!$A$3,"State","MS","Type",6,"Type2","Four-Year")*100</f>
        <v>0</v>
      </c>
      <c r="Q199" s="121">
        <f t="shared" si="26"/>
        <v>0</v>
      </c>
      <c r="R199" s="121">
        <f t="shared" si="27"/>
        <v>0</v>
      </c>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row>
    <row r="200" spans="1:41" ht="15.75" customHeight="1">
      <c r="A200" s="122" t="s">
        <v>176</v>
      </c>
      <c r="B200" s="318">
        <f>GETPIVOTDATA(" %UG OnC Trad",'FTE Pivot Table'!$A$3,"State","NC","Type",6,"Type2","Four-Year")*100</f>
        <v>96.33400059368411</v>
      </c>
      <c r="C200" s="319">
        <f>GETPIVOTDATA(" %UG OffC Trad",'FTE Pivot Table'!$A$3,"State","NC","Type",6,"Type2","Four-Year")*100</f>
        <v>2.192825555817724</v>
      </c>
      <c r="D200" s="340">
        <f t="shared" si="24"/>
        <v>1.4731738504981617</v>
      </c>
      <c r="E200" s="318">
        <f>GETPIVOTDATA(" %UG EL Web",'FTE Pivot Table'!$A$3,"State","NC","Type",6,"Type2","Four-Year")*100</f>
        <v>1.2151496007854896</v>
      </c>
      <c r="F200" s="318">
        <f>GETPIVOTDATA(" % UG EL CV",'FTE Pivot Table'!$A$3,"State","NC","Type",6,"Type2","Four-Year")*100</f>
        <v>0.2580242497126721</v>
      </c>
      <c r="G200" s="319">
        <f>GETPIVOTDATA(" %UG EL O",'FTE Pivot Table'!$A$3,"State","NC","Type",6,"Type2","Four-Year")*100</f>
        <v>0</v>
      </c>
      <c r="H200" s="318">
        <f>GETPIVOTDATA(" %UG Cor",'FTE Pivot Table'!$A$3,"State","NC","Type",6,"Type2","Four-Year")*100</f>
        <v>0</v>
      </c>
      <c r="I200" s="122" t="s">
        <v>176</v>
      </c>
      <c r="J200" s="331">
        <f>GETPIVOTDATA(" %G OnC Trad",'FTE Pivot Table'!$A$3,"State","NC","Type",6,"Type2","Four-Year")*100</f>
        <v>99.83314794215795</v>
      </c>
      <c r="K200" s="332">
        <f>GETPIVOTDATA(" %G OffC Trad",'FTE Pivot Table'!$A$3,"State","NC","Type",6,"Type2","Four-Year")*100</f>
        <v>0</v>
      </c>
      <c r="L200" s="333">
        <f t="shared" si="25"/>
        <v>0.16685205784204674</v>
      </c>
      <c r="M200" s="331">
        <f>GETPIVOTDATA(" %G EL Web",'FTE Pivot Table'!$A$3,"State","NC","Type",6,"Type2","Four-Year")*100</f>
        <v>0</v>
      </c>
      <c r="N200" s="331">
        <f>GETPIVOTDATA(" % G EL CV",'FTE Pivot Table'!$A$3,"State","NC","Type",6,"Type2","Four-Year")*100</f>
        <v>0.16685205784204674</v>
      </c>
      <c r="O200" s="332">
        <f>GETPIVOTDATA(" %G EL O",'FTE Pivot Table'!$A$3,"State","NC","Type",6,"Type2","Four-Year")*100</f>
        <v>0</v>
      </c>
      <c r="P200" s="331">
        <f>GETPIVOTDATA(" %G Cor",'FTE Pivot Table'!$A$3,"State","NC","Type",6,"Type2","Four-Year")*100</f>
        <v>0</v>
      </c>
      <c r="Q200" s="121">
        <f t="shared" si="26"/>
        <v>99.99999999999999</v>
      </c>
      <c r="R200" s="121">
        <f t="shared" si="27"/>
        <v>100</v>
      </c>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row>
    <row r="201" spans="1:41" ht="15.75" customHeight="1">
      <c r="A201" s="122" t="s">
        <v>169</v>
      </c>
      <c r="B201" s="318">
        <f>GETPIVOTDATA(" %UG OnC Trad",'FTE Pivot Table'!$A$3,"State","OK","Type",6,"Type2","Four-Year")*100</f>
        <v>98.97095636342948</v>
      </c>
      <c r="C201" s="319">
        <f>GETPIVOTDATA(" %UG OffC Trad",'FTE Pivot Table'!$A$3,"State","OK","Type",6,"Type2","Four-Year")*100</f>
        <v>0.23183705979404903</v>
      </c>
      <c r="D201" s="340">
        <f t="shared" si="24"/>
        <v>0.7972065767764692</v>
      </c>
      <c r="E201" s="318">
        <f>GETPIVOTDATA(" %UG EL Web",'FTE Pivot Table'!$A$3,"State","OK","Type",6,"Type2","Four-Year")*100</f>
        <v>0</v>
      </c>
      <c r="F201" s="318">
        <f>GETPIVOTDATA(" % UG EL CV",'FTE Pivot Table'!$A$3,"State","OK","Type",6,"Type2","Four-Year")*100</f>
        <v>0.7972065767764692</v>
      </c>
      <c r="G201" s="319">
        <f>GETPIVOTDATA(" %UG EL O",'FTE Pivot Table'!$A$3,"State","OK","Type",6,"Type2","Four-Year")*100</f>
        <v>0</v>
      </c>
      <c r="H201" s="318">
        <f>GETPIVOTDATA(" %UG Cor",'FTE Pivot Table'!$A$3,"State","OK","Type",6,"Type2","Four-Year")*100</f>
        <v>0</v>
      </c>
      <c r="I201" s="122" t="s">
        <v>169</v>
      </c>
      <c r="J201" s="331">
        <f>GETPIVOTDATA(" %G OnC Trad",'FTE Pivot Table'!$A$3,"State","OK","Type",6,"Type2","Four-Year")*100</f>
        <v>95.91836734693877</v>
      </c>
      <c r="K201" s="332">
        <f>GETPIVOTDATA(" %G OffC Trad",'FTE Pivot Table'!$A$3,"State","OK","Type",6,"Type2","Four-Year")*100</f>
        <v>0</v>
      </c>
      <c r="L201" s="333">
        <f t="shared" si="25"/>
        <v>4.081632653061225</v>
      </c>
      <c r="M201" s="331">
        <f>GETPIVOTDATA(" %G EL Web",'FTE Pivot Table'!$A$3,"State","OK","Type",6,"Type2","Four-Year")*100</f>
        <v>0</v>
      </c>
      <c r="N201" s="331">
        <f>GETPIVOTDATA(" % G EL CV",'FTE Pivot Table'!$A$3,"State","OK","Type",6,"Type2","Four-Year")*100</f>
        <v>4.081632653061225</v>
      </c>
      <c r="O201" s="332">
        <f>GETPIVOTDATA(" %G EL O",'FTE Pivot Table'!$A$3,"State","OK","Type",6,"Type2","Four-Year")*100</f>
        <v>0</v>
      </c>
      <c r="P201" s="331">
        <f>GETPIVOTDATA(" %G Cor",'FTE Pivot Table'!$A$3,"State","OK","Type",6,"Type2","Four-Year")*100</f>
        <v>0</v>
      </c>
      <c r="Q201" s="121">
        <f t="shared" si="26"/>
        <v>100</v>
      </c>
      <c r="R201" s="121">
        <f t="shared" si="27"/>
        <v>99.99999999999999</v>
      </c>
      <c r="S201" s="134"/>
      <c r="T201" s="27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row>
    <row r="202" spans="1:41" ht="15.75" customHeight="1">
      <c r="A202" s="122" t="s">
        <v>542</v>
      </c>
      <c r="B202" s="318">
        <f>GETPIVOTDATA(" %UG OnC Trad",'FTE Pivot Table'!$A$3,"State","SC","Type",6,"Type2","Four-Year")*100</f>
        <v>0</v>
      </c>
      <c r="C202" s="319">
        <f>GETPIVOTDATA(" %UG OffC Trad",'FTE Pivot Table'!$A$3,"State","SC","Type",6,"Type2","Four-Year")*100</f>
        <v>0</v>
      </c>
      <c r="D202" s="340">
        <f t="shared" si="24"/>
        <v>0</v>
      </c>
      <c r="E202" s="318">
        <f>GETPIVOTDATA(" %UG EL Web",'FTE Pivot Table'!$A$3,"State","SC","Type",6,"Type2","Four-Year")*100</f>
        <v>0</v>
      </c>
      <c r="F202" s="318">
        <f>GETPIVOTDATA(" % UG EL CV",'FTE Pivot Table'!$A$3,"State","SC","Type",6,"Type2","Four-Year")*100</f>
        <v>0</v>
      </c>
      <c r="G202" s="319">
        <f>GETPIVOTDATA(" %UG EL O",'FTE Pivot Table'!$A$3,"State","SC","Type",6,"Type2","Four-Year")*100</f>
        <v>0</v>
      </c>
      <c r="H202" s="318">
        <f>GETPIVOTDATA(" %UG Cor",'FTE Pivot Table'!$A$3,"State","SC","Type",6,"Type2","Four-Year")*100</f>
        <v>0</v>
      </c>
      <c r="I202" s="122" t="s">
        <v>542</v>
      </c>
      <c r="J202" s="331">
        <f>GETPIVOTDATA(" %G OnC Trad",'FTE Pivot Table'!$A$3,"State","SC","Type",6,"Type2","Four-Year")*100</f>
        <v>0</v>
      </c>
      <c r="K202" s="332">
        <f>GETPIVOTDATA(" %G OffC Trad",'FTE Pivot Table'!$A$3,"State","SC","Type",6,"Type2","Four-Year")*100</f>
        <v>0</v>
      </c>
      <c r="L202" s="333">
        <f t="shared" si="25"/>
        <v>0</v>
      </c>
      <c r="M202" s="331">
        <f>GETPIVOTDATA(" %G EL Web",'FTE Pivot Table'!$A$3,"State","SC","Type",6,"Type2","Four-Year")*100</f>
        <v>0</v>
      </c>
      <c r="N202" s="331">
        <f>GETPIVOTDATA(" % G EL CV",'FTE Pivot Table'!$A$3,"State","SC","Type",6,"Type2","Four-Year")*100</f>
        <v>0</v>
      </c>
      <c r="O202" s="332">
        <f>GETPIVOTDATA(" %G EL O",'FTE Pivot Table'!$A$3,"State","SC","Type",6,"Type2","Four-Year")*100</f>
        <v>0</v>
      </c>
      <c r="P202" s="331">
        <f>GETPIVOTDATA(" %G Cor",'FTE Pivot Table'!$A$3,"State","SC","Type",6,"Type2","Four-Year")*100</f>
        <v>0</v>
      </c>
      <c r="Q202" s="121">
        <f t="shared" si="26"/>
        <v>0</v>
      </c>
      <c r="R202" s="121">
        <f t="shared" si="27"/>
        <v>0</v>
      </c>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row>
    <row r="203" spans="1:41" ht="15.75" customHeight="1">
      <c r="A203" s="122"/>
      <c r="B203" s="318"/>
      <c r="C203" s="319"/>
      <c r="D203" s="340">
        <f t="shared" si="24"/>
        <v>0</v>
      </c>
      <c r="E203" s="318"/>
      <c r="F203" s="318"/>
      <c r="G203" s="319"/>
      <c r="H203" s="318"/>
      <c r="I203" s="122"/>
      <c r="J203" s="331"/>
      <c r="K203" s="332"/>
      <c r="L203" s="333">
        <f t="shared" si="25"/>
        <v>0</v>
      </c>
      <c r="M203" s="331"/>
      <c r="N203" s="331"/>
      <c r="O203" s="332"/>
      <c r="P203" s="331"/>
      <c r="Q203" s="121">
        <f t="shared" si="26"/>
        <v>0</v>
      </c>
      <c r="R203" s="121">
        <f t="shared" si="27"/>
        <v>0</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row>
    <row r="204" spans="1:41" ht="15.75" customHeight="1">
      <c r="A204" s="122" t="s">
        <v>543</v>
      </c>
      <c r="B204" s="318">
        <f>GETPIVOTDATA(" %UG OnC Trad",'FTE Pivot Table'!$A$3,"State","TN","Type",6,"Type2","Four-Year")*100</f>
        <v>0</v>
      </c>
      <c r="C204" s="319">
        <f>GETPIVOTDATA(" %UG OffC Trad",'FTE Pivot Table'!$A$3,"State","TN","Type",6,"Type2","Four-Year")*100</f>
        <v>0</v>
      </c>
      <c r="D204" s="340">
        <f t="shared" si="24"/>
        <v>0</v>
      </c>
      <c r="E204" s="318">
        <f>GETPIVOTDATA(" %UG EL Web",'FTE Pivot Table'!$A$3,"State","TN","Type",6,"Type2","Four-Year")*100</f>
        <v>0</v>
      </c>
      <c r="F204" s="318">
        <f>GETPIVOTDATA(" % UG EL CV",'FTE Pivot Table'!$A$3,"State","TN","Type",6,"Type2","Four-Year")*100</f>
        <v>0</v>
      </c>
      <c r="G204" s="319">
        <f>GETPIVOTDATA(" %UG EL O",'FTE Pivot Table'!$A$3,"State","TN","Type",6,"Type2","Four-Year")*100</f>
        <v>0</v>
      </c>
      <c r="H204" s="318">
        <f>GETPIVOTDATA(" %UG Cor",'FTE Pivot Table'!$A$3,"State","TN","Type",6,"Type2","Four-Year")*100</f>
        <v>0</v>
      </c>
      <c r="I204" s="122" t="s">
        <v>543</v>
      </c>
      <c r="J204" s="331">
        <f>GETPIVOTDATA(" %G OnC Trad",'FTE Pivot Table'!$A$3,"State","TN","Type",6,"Type2","Four-Year")*100</f>
        <v>0</v>
      </c>
      <c r="K204" s="332">
        <f>GETPIVOTDATA(" %G OffC Trad",'FTE Pivot Table'!$A$3,"State","TN","Type",6,"Type2","Four-Year")*100</f>
        <v>0</v>
      </c>
      <c r="L204" s="333">
        <f t="shared" si="25"/>
        <v>0</v>
      </c>
      <c r="M204" s="331">
        <f>GETPIVOTDATA(" %G EL Web",'FTE Pivot Table'!$A$3,"State","TN","Type",6,"Type2","Four-Year")*100</f>
        <v>0</v>
      </c>
      <c r="N204" s="331">
        <f>GETPIVOTDATA(" % G EL CV",'FTE Pivot Table'!$A$3,"State","TN","Type",6,"Type2","Four-Year")*100</f>
        <v>0</v>
      </c>
      <c r="O204" s="332">
        <f>GETPIVOTDATA(" %G EL O",'FTE Pivot Table'!$A$3,"State","TN","Type",6,"Type2","Four-Year")*100</f>
        <v>0</v>
      </c>
      <c r="P204" s="331">
        <f>GETPIVOTDATA(" %G Cor",'FTE Pivot Table'!$A$3,"State","TN","Type",6,"Type2","Four-Year")*100</f>
        <v>0</v>
      </c>
      <c r="Q204" s="121">
        <f t="shared" si="26"/>
        <v>0</v>
      </c>
      <c r="R204" s="121">
        <f t="shared" si="27"/>
        <v>0</v>
      </c>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row>
    <row r="205" spans="1:41" ht="15.75" customHeight="1">
      <c r="A205" s="122" t="s">
        <v>277</v>
      </c>
      <c r="B205" s="318">
        <f>GETPIVOTDATA(" %UG OnC Trad",'FTE Pivot Table'!$A$3,"State","TX","Type",6,"Type2","Four-Year")*100</f>
        <v>92.39443507527895</v>
      </c>
      <c r="C205" s="319">
        <f>GETPIVOTDATA(" %UG OffC Trad",'FTE Pivot Table'!$A$3,"State","TX","Type",6,"Type2","Four-Year")*100</f>
        <v>3.1006943570455126</v>
      </c>
      <c r="D205" s="340">
        <f t="shared" si="24"/>
        <v>4.50487056767554</v>
      </c>
      <c r="E205" s="318">
        <f>GETPIVOTDATA(" %UG EL Web",'FTE Pivot Table'!$A$3,"State","TX","Type",6,"Type2","Four-Year")*100</f>
        <v>2.7972053117774607</v>
      </c>
      <c r="F205" s="318">
        <f>GETPIVOTDATA(" % UG EL CV",'FTE Pivot Table'!$A$3,"State","TX","Type",6,"Type2","Four-Year")*100</f>
        <v>1.6159712907993198</v>
      </c>
      <c r="G205" s="319">
        <f>GETPIVOTDATA(" %UG EL O",'FTE Pivot Table'!$A$3,"State","TX","Type",6,"Type2","Four-Year")*100</f>
        <v>0.0916939650987598</v>
      </c>
      <c r="H205" s="318">
        <f>GETPIVOTDATA(" %UG Cor",'FTE Pivot Table'!$A$3,"State","TX","Type",6,"Type2","Four-Year")*100</f>
        <v>0</v>
      </c>
      <c r="I205" s="122" t="s">
        <v>277</v>
      </c>
      <c r="J205" s="331">
        <f>GETPIVOTDATA(" %G OnC Trad",'FTE Pivot Table'!$A$3,"State","TX","Type",6,"Type2","Four-Year")*100</f>
        <v>87.3380693689929</v>
      </c>
      <c r="K205" s="332">
        <f>GETPIVOTDATA(" %G OffC Trad",'FTE Pivot Table'!$A$3,"State","TX","Type",6,"Type2","Four-Year")*100</f>
        <v>12.160468031759299</v>
      </c>
      <c r="L205" s="333">
        <f t="shared" si="25"/>
        <v>0.5014625992478061</v>
      </c>
      <c r="M205" s="331">
        <f>GETPIVOTDATA(" %G EL Web",'FTE Pivot Table'!$A$3,"State","TX","Type",6,"Type2","Four-Year")*100</f>
        <v>0</v>
      </c>
      <c r="N205" s="331">
        <f>GETPIVOTDATA(" % G EL CV",'FTE Pivot Table'!$A$3,"State","TX","Type",6,"Type2","Four-Year")*100</f>
        <v>0.5014625992478061</v>
      </c>
      <c r="O205" s="332">
        <f>GETPIVOTDATA(" %G EL O",'FTE Pivot Table'!$A$3,"State","TX","Type",6,"Type2","Four-Year")*100</f>
        <v>0</v>
      </c>
      <c r="P205" s="331">
        <f>GETPIVOTDATA(" %G Cor",'FTE Pivot Table'!$A$3,"State","TX","Type",6,"Type2","Four-Year")*100</f>
        <v>0</v>
      </c>
      <c r="Q205" s="121">
        <f t="shared" si="26"/>
        <v>100</v>
      </c>
      <c r="R205" s="121">
        <f t="shared" si="27"/>
        <v>100</v>
      </c>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row>
    <row r="206" spans="1:41" ht="15.75" customHeight="1">
      <c r="A206" s="122" t="s">
        <v>544</v>
      </c>
      <c r="B206" s="318">
        <f>GETPIVOTDATA(" %UG OnC Trad",'FTE Pivot Table'!$A$3,"State","VA","Type",6,"Type2","Four-Year")*100</f>
        <v>0</v>
      </c>
      <c r="C206" s="319">
        <f>GETPIVOTDATA(" %UG OffC Trad",'FTE Pivot Table'!$A$3,"State","VA","Type",6,"Type2","Four-Year")*100</f>
        <v>0</v>
      </c>
      <c r="D206" s="340">
        <f t="shared" si="24"/>
        <v>0</v>
      </c>
      <c r="E206" s="318">
        <f>GETPIVOTDATA(" %UG EL Web",'FTE Pivot Table'!$A$3,"State","VA","Type",6,"Type2","Four-Year")*100</f>
        <v>0</v>
      </c>
      <c r="F206" s="318">
        <f>GETPIVOTDATA(" % UG EL CV",'FTE Pivot Table'!$A$3,"State","VA","Type",6,"Type2","Four-Year")*100</f>
        <v>0</v>
      </c>
      <c r="G206" s="319">
        <f>GETPIVOTDATA(" %UG EL O",'FTE Pivot Table'!$A$3,"State","VA","Type",6,"Type2","Four-Year")*100</f>
        <v>0</v>
      </c>
      <c r="H206" s="318">
        <f>GETPIVOTDATA(" %UG Cor",'FTE Pivot Table'!$A$3,"State","VA","Type",6,"Type2","Four-Year")*100</f>
        <v>0</v>
      </c>
      <c r="I206" s="122" t="s">
        <v>544</v>
      </c>
      <c r="J206" s="331">
        <f>GETPIVOTDATA(" %G OnC Trad",'FTE Pivot Table'!$A$3,"State","VA","Type",6,"Type2","Four-Year")*100</f>
        <v>0</v>
      </c>
      <c r="K206" s="332">
        <f>GETPIVOTDATA(" %G OffC Trad",'FTE Pivot Table'!$A$3,"State","VA","Type",6,"Type2","Four-Year")*100</f>
        <v>0</v>
      </c>
      <c r="L206" s="333">
        <f t="shared" si="25"/>
        <v>0</v>
      </c>
      <c r="M206" s="331">
        <f>GETPIVOTDATA(" %G EL Web",'FTE Pivot Table'!$A$3,"State","VA","Type",6,"Type2","Four-Year")*100</f>
        <v>0</v>
      </c>
      <c r="N206" s="331">
        <f>GETPIVOTDATA(" % G EL CV",'FTE Pivot Table'!$A$3,"State","VA","Type",6,"Type2","Four-Year")*100</f>
        <v>0</v>
      </c>
      <c r="O206" s="332">
        <f>GETPIVOTDATA(" %G EL O",'FTE Pivot Table'!$A$3,"State","VA","Type",6,"Type2","Four-Year")*100</f>
        <v>0</v>
      </c>
      <c r="P206" s="331">
        <f>GETPIVOTDATA(" %G Cor",'FTE Pivot Table'!$A$3,"State","VA","Type",6,"Type2","Four-Year")*100</f>
        <v>0</v>
      </c>
      <c r="Q206" s="121">
        <f t="shared" si="26"/>
        <v>0</v>
      </c>
      <c r="R206" s="121">
        <f t="shared" si="27"/>
        <v>0</v>
      </c>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row>
    <row r="207" spans="1:41" ht="15.75" customHeight="1">
      <c r="A207" s="116" t="s">
        <v>637</v>
      </c>
      <c r="B207" s="317">
        <f>GETPIVOTDATA(" %UG OnC Trad",'FTE Pivot Table'!$A$3,"State","WV","Type",6,"Type2","Four-Year")*100</f>
        <v>85.13489239853824</v>
      </c>
      <c r="C207" s="320">
        <f>GETPIVOTDATA(" %UG OffC Trad",'FTE Pivot Table'!$A$3,"State","WV","Type",6,"Type2","Four-Year")*100</f>
        <v>12.868854067451482</v>
      </c>
      <c r="D207" s="342">
        <f t="shared" si="24"/>
        <v>1.9962535340102734</v>
      </c>
      <c r="E207" s="317">
        <f>GETPIVOTDATA(" %UG EL Web",'FTE Pivot Table'!$A$3,"State","WV","Type",6,"Type2","Four-Year")*100</f>
        <v>1.0152590752176256</v>
      </c>
      <c r="F207" s="317">
        <f>GETPIVOTDATA(" % UG EL CV",'FTE Pivot Table'!$A$3,"State","WV","Type",6,"Type2","Four-Year")*100</f>
        <v>0.680763965095375</v>
      </c>
      <c r="G207" s="320">
        <f>GETPIVOTDATA(" %UG EL O",'FTE Pivot Table'!$A$3,"State","WV","Type",6,"Type2","Four-Year")*100</f>
        <v>0.30023049369727284</v>
      </c>
      <c r="H207" s="317">
        <f>GETPIVOTDATA(" %UG Cor",'FTE Pivot Table'!$A$3,"State","WV","Type",6,"Type2","Four-Year")*100</f>
        <v>0</v>
      </c>
      <c r="I207" s="116" t="s">
        <v>637</v>
      </c>
      <c r="J207" s="337">
        <f>GETPIVOTDATA(" %G OnC Trad",'FTE Pivot Table'!$A$3,"State","WV","Type",6,"Type2","Four-Year")*100</f>
        <v>91.40811455847255</v>
      </c>
      <c r="K207" s="338">
        <f>GETPIVOTDATA(" %G OffC Trad",'FTE Pivot Table'!$A$3,"State","WV","Type",6,"Type2","Four-Year")*100</f>
        <v>8.591885441527445</v>
      </c>
      <c r="L207" s="339">
        <f t="shared" si="25"/>
        <v>0</v>
      </c>
      <c r="M207" s="337">
        <f>GETPIVOTDATA(" %G EL Web",'FTE Pivot Table'!$A$3,"State","WV","Type",6,"Type2","Four-Year")*100</f>
        <v>0</v>
      </c>
      <c r="N207" s="337">
        <f>GETPIVOTDATA(" % G EL CV",'FTE Pivot Table'!$A$3,"State","WV","Type",6,"Type2","Four-Year")*100</f>
        <v>0</v>
      </c>
      <c r="O207" s="338">
        <f>GETPIVOTDATA(" %G EL O",'FTE Pivot Table'!$A$3,"State","WV","Type",6,"Type2","Four-Year")*100</f>
        <v>0</v>
      </c>
      <c r="P207" s="337">
        <f>GETPIVOTDATA(" %G Cor",'FTE Pivot Table'!$A$3,"State","WV","Type",6,"Type2","Four-Year")*100</f>
        <v>0</v>
      </c>
      <c r="Q207" s="121">
        <f t="shared" si="26"/>
        <v>100</v>
      </c>
      <c r="R207" s="121">
        <f t="shared" si="27"/>
        <v>100</v>
      </c>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row>
    <row r="208" spans="1:41" s="279" customFormat="1" ht="18" customHeight="1">
      <c r="A208" s="347" t="s">
        <v>634</v>
      </c>
      <c r="B208" s="283"/>
      <c r="C208" s="283"/>
      <c r="D208" s="284"/>
      <c r="E208" s="283"/>
      <c r="F208" s="284"/>
      <c r="G208" s="284"/>
      <c r="H208" s="283"/>
      <c r="I208" s="347" t="s">
        <v>634</v>
      </c>
      <c r="J208" s="283"/>
      <c r="K208" s="283"/>
      <c r="L208" s="284"/>
      <c r="M208" s="283"/>
      <c r="N208" s="284"/>
      <c r="O208" s="284"/>
      <c r="P208" s="283"/>
      <c r="Q208" s="283"/>
      <c r="R208" s="283"/>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row>
    <row r="209" spans="1:18" s="279" customFormat="1" ht="13.5" customHeight="1">
      <c r="A209" s="348" t="s">
        <v>638</v>
      </c>
      <c r="B209" s="278"/>
      <c r="H209" s="277"/>
      <c r="I209" s="348" t="s">
        <v>638</v>
      </c>
      <c r="P209" s="280"/>
      <c r="Q209" s="281"/>
      <c r="R209" s="282"/>
    </row>
    <row r="210" spans="8:18" s="279" customFormat="1" ht="11.25">
      <c r="H210" s="351" t="s">
        <v>643</v>
      </c>
      <c r="P210" s="351" t="s">
        <v>642</v>
      </c>
      <c r="Q210" s="281"/>
      <c r="R210" s="282"/>
    </row>
    <row r="211" spans="1:16" ht="18">
      <c r="A211" s="113" t="s">
        <v>584</v>
      </c>
      <c r="B211" s="114"/>
      <c r="C211" s="114"/>
      <c r="D211" s="114"/>
      <c r="E211" s="114"/>
      <c r="F211" s="114"/>
      <c r="G211" s="114"/>
      <c r="H211" s="132"/>
      <c r="I211" s="122"/>
      <c r="J211" s="122"/>
      <c r="K211" s="122"/>
      <c r="L211" s="122"/>
      <c r="M211" s="122"/>
      <c r="N211" s="122"/>
      <c r="O211" s="122"/>
      <c r="P211" s="122"/>
    </row>
    <row r="212" spans="1:16" ht="12.75">
      <c r="A212" s="293"/>
      <c r="B212" s="115"/>
      <c r="C212" s="115"/>
      <c r="D212" s="115"/>
      <c r="E212" s="115"/>
      <c r="F212" s="115"/>
      <c r="G212" s="115"/>
      <c r="H212" s="127"/>
      <c r="I212" s="122"/>
      <c r="J212" s="122"/>
      <c r="K212" s="122"/>
      <c r="L212" s="122"/>
      <c r="M212" s="122"/>
      <c r="N212" s="122"/>
      <c r="O212" s="122"/>
      <c r="P212" s="122"/>
    </row>
    <row r="213" spans="1:16" ht="15.75">
      <c r="A213" s="124" t="s">
        <v>617</v>
      </c>
      <c r="B213" s="115"/>
      <c r="C213" s="115"/>
      <c r="D213" s="115"/>
      <c r="E213" s="115"/>
      <c r="F213" s="115"/>
      <c r="G213" s="115"/>
      <c r="H213" s="127"/>
      <c r="I213" s="131"/>
      <c r="J213" s="122"/>
      <c r="K213" s="122"/>
      <c r="L213" s="127"/>
      <c r="M213" s="122"/>
      <c r="N213" s="122"/>
      <c r="O213" s="122"/>
      <c r="P213" s="122"/>
    </row>
    <row r="214" spans="1:16" ht="15.75">
      <c r="A214" s="124" t="s">
        <v>553</v>
      </c>
      <c r="B214" s="115"/>
      <c r="C214" s="115"/>
      <c r="D214" s="115"/>
      <c r="E214" s="115"/>
      <c r="F214" s="115"/>
      <c r="G214" s="115"/>
      <c r="H214" s="127"/>
      <c r="I214" s="131"/>
      <c r="J214" s="122"/>
      <c r="K214" s="122"/>
      <c r="L214" s="122"/>
      <c r="M214" s="122"/>
      <c r="N214" s="122"/>
      <c r="O214" s="122"/>
      <c r="P214" s="122"/>
    </row>
    <row r="215" spans="1:16" ht="12.75">
      <c r="A215" s="116"/>
      <c r="B215" s="117"/>
      <c r="C215" s="117"/>
      <c r="D215" s="117"/>
      <c r="E215" s="117"/>
      <c r="F215" s="117"/>
      <c r="G215" s="117"/>
      <c r="H215" s="117"/>
      <c r="I215" s="131"/>
      <c r="J215" s="122"/>
      <c r="K215" s="122"/>
      <c r="L215" s="122"/>
      <c r="M215" s="122"/>
      <c r="N215" s="122"/>
      <c r="O215" s="122"/>
      <c r="P215" s="122"/>
    </row>
    <row r="216" spans="1:16" ht="12.75">
      <c r="A216" s="300"/>
      <c r="B216" s="301" t="s">
        <v>279</v>
      </c>
      <c r="C216" s="301"/>
      <c r="D216" s="301"/>
      <c r="E216" s="301"/>
      <c r="F216" s="301"/>
      <c r="G216" s="301"/>
      <c r="H216" s="302"/>
      <c r="I216" s="131"/>
      <c r="J216" s="122"/>
      <c r="K216" s="122"/>
      <c r="L216" s="122"/>
      <c r="M216" s="122"/>
      <c r="N216" s="122"/>
      <c r="O216" s="122"/>
      <c r="P216" s="122"/>
    </row>
    <row r="217" spans="1:16" ht="12.75">
      <c r="A217" s="300"/>
      <c r="B217" s="301" t="s">
        <v>173</v>
      </c>
      <c r="C217" s="301"/>
      <c r="D217" s="370" t="s">
        <v>629</v>
      </c>
      <c r="E217" s="371"/>
      <c r="F217" s="371"/>
      <c r="G217" s="371"/>
      <c r="H217" s="306" t="s">
        <v>2</v>
      </c>
      <c r="I217" s="131"/>
      <c r="J217" s="122"/>
      <c r="K217" s="122"/>
      <c r="L217" s="122"/>
      <c r="M217" s="122"/>
      <c r="N217" s="122"/>
      <c r="O217" s="122"/>
      <c r="P217" s="122"/>
    </row>
    <row r="218" spans="1:16" ht="36">
      <c r="A218" s="300"/>
      <c r="B218" s="307" t="s">
        <v>612</v>
      </c>
      <c r="C218" s="308" t="s">
        <v>611</v>
      </c>
      <c r="D218" s="309" t="s">
        <v>626</v>
      </c>
      <c r="E218" s="310" t="s">
        <v>0</v>
      </c>
      <c r="F218" s="307" t="s">
        <v>174</v>
      </c>
      <c r="G218" s="311" t="s">
        <v>631</v>
      </c>
      <c r="H218" s="312" t="s">
        <v>630</v>
      </c>
      <c r="I218" s="131"/>
      <c r="J218" s="122"/>
      <c r="K218" s="122"/>
      <c r="L218" s="122"/>
      <c r="M218" s="122"/>
      <c r="N218" s="122"/>
      <c r="O218" s="122"/>
      <c r="P218" s="122"/>
    </row>
    <row r="219" spans="1:41" ht="15.75" customHeight="1">
      <c r="A219" s="123" t="s">
        <v>534</v>
      </c>
      <c r="B219" s="318">
        <f>(GETPIVOTDATA(" %UG OnC Trad",'FTE Pivot Table'!$A$3,"State","AL","Type2","Two-Year"))*100</f>
        <v>0</v>
      </c>
      <c r="C219" s="319">
        <f>(GETPIVOTDATA(" %UG OffC Trad",'FTE Pivot Table'!$A$3,"State","AL","Type2","Two-Year"))*100</f>
        <v>0</v>
      </c>
      <c r="D219" s="340">
        <f aca="true" t="shared" si="28" ref="D219:D237">SUM(E219:G219)</f>
        <v>0</v>
      </c>
      <c r="E219" s="318">
        <f>(GETPIVOTDATA(" %UG EL Web",'FTE Pivot Table'!$A$3,"State","AL","Type2","Two-Year"))*100</f>
        <v>0</v>
      </c>
      <c r="F219" s="341">
        <f>(GETPIVOTDATA(" % UG EL CV",'FTE Pivot Table'!$A$3,"State","AL","Type2","Two-Year"))*100</f>
        <v>0</v>
      </c>
      <c r="G219" s="319">
        <f>(GETPIVOTDATA(" %UG EL O",'FTE Pivot Table'!$A$3,"State","AL","Type2","Two-Year"))*100</f>
        <v>0</v>
      </c>
      <c r="H219" s="318">
        <f>(GETPIVOTDATA(" %UG Cor",'FTE Pivot Table'!$A$3,"State","AL","Type2","Two-Year"))*100</f>
        <v>0</v>
      </c>
      <c r="I219" s="122"/>
      <c r="J219" s="331"/>
      <c r="K219" s="331"/>
      <c r="L219" s="331"/>
      <c r="M219" s="331"/>
      <c r="N219" s="331"/>
      <c r="O219" s="331"/>
      <c r="P219" s="331"/>
      <c r="Q219" s="121">
        <f aca="true" t="shared" si="29" ref="Q219:Q237">SUM(B219,C219,D219,H219)</f>
        <v>0</v>
      </c>
      <c r="R219" s="121">
        <f aca="true" t="shared" si="30" ref="R219:R237">SUM(J219,K219,L219,P219)</f>
        <v>0</v>
      </c>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row>
    <row r="220" spans="1:41" ht="15.75" customHeight="1">
      <c r="A220" s="122" t="s">
        <v>535</v>
      </c>
      <c r="B220" s="318">
        <f>(GETPIVOTDATA(" %UG OnC Trad",'FTE Pivot Table'!$A$3,"State","AR","Type2","Two-Year"))*100</f>
        <v>86.91046823208478</v>
      </c>
      <c r="C220" s="319">
        <f>(GETPIVOTDATA(" %UG OffC Trad",'FTE Pivot Table'!$A$3,"State","AR","Type2","Two-Year"))*100</f>
        <v>6.598130256461782</v>
      </c>
      <c r="D220" s="340">
        <f t="shared" si="28"/>
        <v>6.491401511453435</v>
      </c>
      <c r="E220" s="318">
        <f>(GETPIVOTDATA(" %UG EL Web",'FTE Pivot Table'!$A$3,"State","AR","Type2","Two-Year"))*100</f>
        <v>3.9369257761293484</v>
      </c>
      <c r="F220" s="318">
        <f>(GETPIVOTDATA(" % UG EL CV",'FTE Pivot Table'!$A$3,"State","AR","Type2","Two-Year"))*100</f>
        <v>0.8678582498191962</v>
      </c>
      <c r="G220" s="319">
        <f>(GETPIVOTDATA(" %UG EL O",'FTE Pivot Table'!$A$3,"State","AR","Type2","Two-Year"))*100</f>
        <v>1.6866174855048905</v>
      </c>
      <c r="H220" s="318">
        <f>(GETPIVOTDATA(" %UG Cor",'FTE Pivot Table'!$A$3,"State","AR","Type2","Two-Year"))*100</f>
        <v>0</v>
      </c>
      <c r="I220" s="122"/>
      <c r="J220" s="331"/>
      <c r="K220" s="331"/>
      <c r="L220" s="331"/>
      <c r="M220" s="331"/>
      <c r="N220" s="331"/>
      <c r="O220" s="331"/>
      <c r="P220" s="331"/>
      <c r="Q220" s="121">
        <f t="shared" si="29"/>
        <v>100</v>
      </c>
      <c r="R220" s="121">
        <f t="shared" si="30"/>
        <v>0</v>
      </c>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row>
    <row r="221" spans="1:41" ht="15.75" customHeight="1">
      <c r="A221" s="122" t="s">
        <v>536</v>
      </c>
      <c r="B221" s="318">
        <f>(GETPIVOTDATA(" %UG OnC Trad",'FTE Pivot Table'!$A$3,"State","DE","Type2","Two-Year"))*100</f>
        <v>0</v>
      </c>
      <c r="C221" s="319">
        <f>(GETPIVOTDATA(" %UG OffC Trad",'FTE Pivot Table'!$A$3,"State","DE","Type2","Two-Year"))*100</f>
        <v>0</v>
      </c>
      <c r="D221" s="340">
        <f t="shared" si="28"/>
        <v>0</v>
      </c>
      <c r="E221" s="318">
        <f>(GETPIVOTDATA(" %UG EL Web",'FTE Pivot Table'!$A$3,"State","DE","Type2","Two-Year"))*100</f>
        <v>0</v>
      </c>
      <c r="F221" s="318">
        <f>(GETPIVOTDATA(" % UG EL CV",'FTE Pivot Table'!$A$3,"State","DE","Type2","Two-Year"))*100</f>
        <v>0</v>
      </c>
      <c r="G221" s="319">
        <f>(GETPIVOTDATA(" %UG EL O",'FTE Pivot Table'!$A$3,"State","DE","Type2","Two-Year"))*100</f>
        <v>0</v>
      </c>
      <c r="H221" s="318">
        <f>(GETPIVOTDATA(" %UG Cor",'FTE Pivot Table'!$A$3,"State","DE","Type2","Two-Year"))*100</f>
        <v>0</v>
      </c>
      <c r="I221" s="122"/>
      <c r="J221" s="331"/>
      <c r="K221" s="331"/>
      <c r="L221" s="331"/>
      <c r="M221" s="331"/>
      <c r="N221" s="331"/>
      <c r="O221" s="331"/>
      <c r="P221" s="331"/>
      <c r="Q221" s="121">
        <f t="shared" si="29"/>
        <v>0</v>
      </c>
      <c r="R221" s="121">
        <f t="shared" si="30"/>
        <v>0</v>
      </c>
      <c r="S221" s="134"/>
      <c r="T221" s="27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row>
    <row r="222" spans="1:41" ht="15.75" customHeight="1">
      <c r="A222" s="122" t="s">
        <v>537</v>
      </c>
      <c r="B222" s="318">
        <f>(GETPIVOTDATA(" %UG OnC Trad",'FTE Pivot Table'!$A$3,"State","FL","Type2","Two-Year"))*100</f>
        <v>92.65141395174543</v>
      </c>
      <c r="C222" s="319">
        <f>(GETPIVOTDATA(" %UG OffC Trad",'FTE Pivot Table'!$A$3,"State","FL","Type2","Two-Year"))*100</f>
        <v>0</v>
      </c>
      <c r="D222" s="340">
        <f t="shared" si="28"/>
        <v>6.872470031286354</v>
      </c>
      <c r="E222" s="318">
        <f>(GETPIVOTDATA(" %UG EL Web",'FTE Pivot Table'!$A$3,"State","FL","Type2","Two-Year"))*100</f>
        <v>4.706230446029356</v>
      </c>
      <c r="F222" s="318">
        <f>(GETPIVOTDATA(" % UG EL CV",'FTE Pivot Table'!$A$3,"State","FL","Type2","Two-Year"))*100</f>
        <v>0.2554400645946591</v>
      </c>
      <c r="G222" s="319">
        <f>(GETPIVOTDATA(" %UG EL O",'FTE Pivot Table'!$A$3,"State","FL","Type2","Two-Year"))*100</f>
        <v>1.9107995206623378</v>
      </c>
      <c r="H222" s="318">
        <f>(GETPIVOTDATA(" %UG Cor",'FTE Pivot Table'!$A$3,"State","FL","Type2","Two-Year"))*100</f>
        <v>0.47611601696822975</v>
      </c>
      <c r="I222" s="122"/>
      <c r="J222" s="331"/>
      <c r="K222" s="331"/>
      <c r="L222" s="331"/>
      <c r="M222" s="331"/>
      <c r="N222" s="331"/>
      <c r="O222" s="331"/>
      <c r="P222" s="331"/>
      <c r="Q222" s="121">
        <f t="shared" si="29"/>
        <v>100.00000000000001</v>
      </c>
      <c r="R222" s="121">
        <f t="shared" si="30"/>
        <v>0</v>
      </c>
      <c r="S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row>
    <row r="223" spans="1:41" ht="15.75" customHeight="1">
      <c r="A223" s="122"/>
      <c r="B223" s="318"/>
      <c r="C223" s="319"/>
      <c r="D223" s="340">
        <f t="shared" si="28"/>
        <v>0</v>
      </c>
      <c r="E223" s="318"/>
      <c r="F223" s="318"/>
      <c r="G223" s="319"/>
      <c r="H223" s="318"/>
      <c r="I223" s="122"/>
      <c r="J223" s="331"/>
      <c r="K223" s="331"/>
      <c r="L223" s="331"/>
      <c r="M223" s="331"/>
      <c r="N223" s="331"/>
      <c r="O223" s="331"/>
      <c r="P223" s="331"/>
      <c r="Q223" s="121">
        <f t="shared" si="29"/>
        <v>0</v>
      </c>
      <c r="R223" s="121">
        <f t="shared" si="30"/>
        <v>0</v>
      </c>
      <c r="S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row>
    <row r="224" spans="1:41" ht="15.75" customHeight="1">
      <c r="A224" s="122" t="s">
        <v>538</v>
      </c>
      <c r="B224" s="318">
        <f>(GETPIVOTDATA(" %UG OnC Trad",'FTE Pivot Table'!$A$3,"State","GA","Type2","Two-Year"))*100</f>
        <v>84.40714111581032</v>
      </c>
      <c r="C224" s="319">
        <f>(GETPIVOTDATA(" %UG OffC Trad",'FTE Pivot Table'!$A$3,"State","GA","Type2","Two-Year"))*100</f>
        <v>11.98554997294921</v>
      </c>
      <c r="D224" s="340">
        <f t="shared" si="28"/>
        <v>3.6073089112404637</v>
      </c>
      <c r="E224" s="318">
        <f>(GETPIVOTDATA(" %UG EL Web",'FTE Pivot Table'!$A$3,"State","GA","Type2","Two-Year"))*100</f>
        <v>2.61271833721464</v>
      </c>
      <c r="F224" s="318">
        <f>(GETPIVOTDATA(" % UG EL CV",'FTE Pivot Table'!$A$3,"State","GA","Type2","Two-Year"))*100</f>
        <v>0.28924945221234466</v>
      </c>
      <c r="G224" s="319">
        <f>(GETPIVOTDATA(" %UG EL O",'FTE Pivot Table'!$A$3,"State","GA","Type2","Two-Year"))*100</f>
        <v>0.7053411218134792</v>
      </c>
      <c r="H224" s="318">
        <f>(GETPIVOTDATA(" %UG Cor",'FTE Pivot Table'!$A$3,"State","GA","Type2","Two-Year"))*100</f>
        <v>0</v>
      </c>
      <c r="I224" s="122"/>
      <c r="J224" s="331"/>
      <c r="K224" s="331"/>
      <c r="L224" s="331"/>
      <c r="M224" s="331"/>
      <c r="N224" s="331"/>
      <c r="O224" s="331"/>
      <c r="P224" s="331"/>
      <c r="Q224" s="121">
        <f t="shared" si="29"/>
        <v>100</v>
      </c>
      <c r="R224" s="121">
        <f t="shared" si="30"/>
        <v>0</v>
      </c>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row>
    <row r="225" spans="1:41" ht="15.75" customHeight="1">
      <c r="A225" s="122" t="s">
        <v>539</v>
      </c>
      <c r="B225" s="318">
        <f>(GETPIVOTDATA(" %UG OnC Trad",'FTE Pivot Table'!$A$3,"State","KY","Type2","Two-Year"))*100</f>
        <v>80.29957086673411</v>
      </c>
      <c r="C225" s="319">
        <f>(GETPIVOTDATA(" %UG OffC Trad",'FTE Pivot Table'!$A$3,"State","KY","Type2","Two-Year"))*100</f>
        <v>10.837292993724535</v>
      </c>
      <c r="D225" s="340">
        <f t="shared" si="28"/>
        <v>8.863136139541332</v>
      </c>
      <c r="E225" s="318">
        <f>(GETPIVOTDATA(" %UG EL Web",'FTE Pivot Table'!$A$3,"State","KY","Type2","Two-Year"))*100</f>
        <v>6.797314561027205</v>
      </c>
      <c r="F225" s="318">
        <f>(GETPIVOTDATA(" % UG EL CV",'FTE Pivot Table'!$A$3,"State","KY","Type2","Two-Year"))*100</f>
        <v>1.1148761281528534</v>
      </c>
      <c r="G225" s="319">
        <f>(GETPIVOTDATA(" %UG EL O",'FTE Pivot Table'!$A$3,"State","KY","Type2","Two-Year"))*100</f>
        <v>0.9509454503612744</v>
      </c>
      <c r="H225" s="318">
        <f>(GETPIVOTDATA(" %UG Cor",'FTE Pivot Table'!$A$3,"State","KY","Type2","Two-Year"))*100</f>
        <v>0</v>
      </c>
      <c r="I225" s="122"/>
      <c r="J225" s="331"/>
      <c r="K225" s="331"/>
      <c r="L225" s="331"/>
      <c r="M225" s="331"/>
      <c r="N225" s="331"/>
      <c r="O225" s="331"/>
      <c r="P225" s="331"/>
      <c r="Q225" s="121">
        <f t="shared" si="29"/>
        <v>99.99999999999997</v>
      </c>
      <c r="R225" s="121">
        <f t="shared" si="30"/>
        <v>0</v>
      </c>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row>
    <row r="226" spans="1:41" ht="15.75" customHeight="1">
      <c r="A226" s="122" t="s">
        <v>540</v>
      </c>
      <c r="B226" s="318">
        <f>(GETPIVOTDATA(" %UG OnC Trad",'FTE Pivot Table'!$A$3,"State","LA","Type2","Two-Year"))*100</f>
        <v>0</v>
      </c>
      <c r="C226" s="319">
        <f>(GETPIVOTDATA(" %UG OffC Trad",'FTE Pivot Table'!$A$3,"State","LA","Type2","Two-Year"))*100</f>
        <v>0</v>
      </c>
      <c r="D226" s="340">
        <f t="shared" si="28"/>
        <v>0</v>
      </c>
      <c r="E226" s="318">
        <f>(GETPIVOTDATA(" %UG EL Web",'FTE Pivot Table'!$A$3,"State","LA","Type2","Two-Year"))*100</f>
        <v>0</v>
      </c>
      <c r="F226" s="318">
        <f>(GETPIVOTDATA(" % UG EL CV",'FTE Pivot Table'!$A$3,"State","LA","Type2","Two-Year"))*100</f>
        <v>0</v>
      </c>
      <c r="G226" s="319">
        <f>(GETPIVOTDATA(" %UG EL O",'FTE Pivot Table'!$A$3,"State","LA","Type2","Two-Year"))*100</f>
        <v>0</v>
      </c>
      <c r="H226" s="318">
        <f>(GETPIVOTDATA(" %UG Cor",'FTE Pivot Table'!$A$3,"State","LA","Type2","Two-Year"))*100</f>
        <v>0</v>
      </c>
      <c r="I226" s="122"/>
      <c r="J226" s="331"/>
      <c r="K226" s="331"/>
      <c r="L226" s="331"/>
      <c r="M226" s="331"/>
      <c r="N226" s="331"/>
      <c r="O226" s="331"/>
      <c r="P226" s="331"/>
      <c r="Q226" s="121">
        <f t="shared" si="29"/>
        <v>0</v>
      </c>
      <c r="R226" s="121">
        <f t="shared" si="30"/>
        <v>0</v>
      </c>
      <c r="S226" s="134"/>
      <c r="T226" s="27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row>
    <row r="227" spans="1:41" ht="15.75" customHeight="1">
      <c r="A227" s="122" t="s">
        <v>541</v>
      </c>
      <c r="B227" s="318">
        <f>(GETPIVOTDATA(" %UG OnC Trad",'FTE Pivot Table'!$A$3,"State","MD","Type2","Two-Year"))*100</f>
        <v>90.0420831667333</v>
      </c>
      <c r="C227" s="319">
        <f>(GETPIVOTDATA(" %UG OffC Trad",'FTE Pivot Table'!$A$3,"State","MD","Type2","Two-Year"))*100</f>
        <v>3.2219112355057975</v>
      </c>
      <c r="D227" s="340">
        <f t="shared" si="28"/>
        <v>6.723010795681727</v>
      </c>
      <c r="E227" s="318">
        <f>(GETPIVOTDATA(" %UG EL Web",'FTE Pivot Table'!$A$3,"State","MD","Type2","Two-Year"))*100</f>
        <v>5.034236305477808</v>
      </c>
      <c r="F227" s="318">
        <f>(GETPIVOTDATA(" % UG EL CV",'FTE Pivot Table'!$A$3,"State","MD","Type2","Two-Year"))*100</f>
        <v>1.2991803278688525</v>
      </c>
      <c r="G227" s="319">
        <f>(GETPIVOTDATA(" %UG EL O",'FTE Pivot Table'!$A$3,"State","MD","Type2","Two-Year"))*100</f>
        <v>0.389594162335066</v>
      </c>
      <c r="H227" s="321">
        <f>(GETPIVOTDATA(" %UG Cor",'FTE Pivot Table'!$A$3,"State","MD","Type2","Two-Year"))*100</f>
        <v>0.012994802079168333</v>
      </c>
      <c r="I227" s="122"/>
      <c r="J227" s="331"/>
      <c r="K227" s="331"/>
      <c r="L227" s="331"/>
      <c r="M227" s="331"/>
      <c r="N227" s="331"/>
      <c r="O227" s="331"/>
      <c r="P227" s="331"/>
      <c r="Q227" s="121">
        <f t="shared" si="29"/>
        <v>100</v>
      </c>
      <c r="R227" s="121">
        <f t="shared" si="30"/>
        <v>0</v>
      </c>
      <c r="S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row>
    <row r="228" spans="1:41" ht="15.75" customHeight="1">
      <c r="A228" s="122"/>
      <c r="B228" s="318"/>
      <c r="C228" s="319"/>
      <c r="D228" s="340">
        <f t="shared" si="28"/>
        <v>0</v>
      </c>
      <c r="E228" s="318"/>
      <c r="F228" s="318"/>
      <c r="G228" s="319"/>
      <c r="H228" s="318"/>
      <c r="I228" s="122"/>
      <c r="J228" s="331"/>
      <c r="K228" s="331"/>
      <c r="L228" s="331"/>
      <c r="M228" s="331"/>
      <c r="N228" s="331"/>
      <c r="O228" s="331"/>
      <c r="P228" s="331"/>
      <c r="Q228" s="121">
        <f t="shared" si="29"/>
        <v>0</v>
      </c>
      <c r="R228" s="121">
        <f t="shared" si="30"/>
        <v>0</v>
      </c>
      <c r="S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row>
    <row r="229" spans="1:41" ht="15.75" customHeight="1">
      <c r="A229" s="122" t="s">
        <v>640</v>
      </c>
      <c r="B229" s="318">
        <f>(GETPIVOTDATA(" %UG OnC Trad",'FTE Pivot Table'!$A$3,"State","MS","Type2","Two-Year"))*100</f>
        <v>94.23488471961025</v>
      </c>
      <c r="C229" s="319">
        <f>(GETPIVOTDATA(" %UG OffC Trad",'FTE Pivot Table'!$A$3,"State","MS","Type2","Two-Year"))*100</f>
        <v>0</v>
      </c>
      <c r="D229" s="340">
        <f t="shared" si="28"/>
        <v>5.765115280389747</v>
      </c>
      <c r="E229" s="318">
        <f>(GETPIVOTDATA(" %UG EL Web",'FTE Pivot Table'!$A$3,"State","MS","Type2","Two-Year"))*100</f>
        <v>5.765115280389747</v>
      </c>
      <c r="F229" s="318">
        <f>(GETPIVOTDATA(" % UG EL CV",'FTE Pivot Table'!$A$3,"State","MS","Type2","Two-Year"))*100</f>
        <v>0</v>
      </c>
      <c r="G229" s="319">
        <f>(GETPIVOTDATA(" %UG EL O",'FTE Pivot Table'!$A$3,"State","MS","Type2","Two-Year"))*100</f>
        <v>0</v>
      </c>
      <c r="H229" s="318">
        <f>(GETPIVOTDATA(" %UG Cor",'FTE Pivot Table'!$A$3,"State","MS","Type2","Two-Year"))*100</f>
        <v>0</v>
      </c>
      <c r="I229" s="122"/>
      <c r="J229" s="331"/>
      <c r="K229" s="331"/>
      <c r="L229" s="331"/>
      <c r="M229" s="331"/>
      <c r="N229" s="331"/>
      <c r="O229" s="331"/>
      <c r="P229" s="331"/>
      <c r="Q229" s="121">
        <f t="shared" si="29"/>
        <v>100</v>
      </c>
      <c r="R229" s="121">
        <f t="shared" si="30"/>
        <v>0</v>
      </c>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row>
    <row r="230" spans="1:41" ht="15.75" customHeight="1">
      <c r="A230" s="122" t="s">
        <v>176</v>
      </c>
      <c r="B230" s="318">
        <f>(GETPIVOTDATA(" %UG OnC Trad",'FTE Pivot Table'!$A$3,"State","NC","Type2","Two-Year"))*100</f>
        <v>75.93697479251824</v>
      </c>
      <c r="C230" s="319">
        <f>(GETPIVOTDATA(" %UG OffC Trad",'FTE Pivot Table'!$A$3,"State","NC","Type2","Two-Year"))*100</f>
        <v>17.17673533343951</v>
      </c>
      <c r="D230" s="340">
        <f t="shared" si="28"/>
        <v>6.886289874042232</v>
      </c>
      <c r="E230" s="318">
        <f>(GETPIVOTDATA(" %UG EL Web",'FTE Pivot Table'!$A$3,"State","NC","Type2","Two-Year"))*100</f>
        <v>5.363511248741201</v>
      </c>
      <c r="F230" s="318">
        <f>(GETPIVOTDATA(" % UG EL CV",'FTE Pivot Table'!$A$3,"State","NC","Type2","Two-Year"))*100</f>
        <v>0.4493109287367901</v>
      </c>
      <c r="G230" s="319">
        <f>(GETPIVOTDATA(" %UG EL O",'FTE Pivot Table'!$A$3,"State","NC","Type2","Two-Year"))*100</f>
        <v>1.073467696564241</v>
      </c>
      <c r="H230" s="318">
        <f>(GETPIVOTDATA(" %UG Cor",'FTE Pivot Table'!$A$3,"State","NC","Type2","Two-Year"))*100</f>
        <v>0</v>
      </c>
      <c r="I230" s="122"/>
      <c r="J230" s="331"/>
      <c r="K230" s="331"/>
      <c r="L230" s="331"/>
      <c r="M230" s="331"/>
      <c r="N230" s="331"/>
      <c r="O230" s="331"/>
      <c r="P230" s="331"/>
      <c r="Q230" s="121">
        <f t="shared" si="29"/>
        <v>99.99999999999999</v>
      </c>
      <c r="R230" s="121">
        <f t="shared" si="30"/>
        <v>0</v>
      </c>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row>
    <row r="231" spans="1:41" ht="15.75" customHeight="1">
      <c r="A231" s="122" t="s">
        <v>169</v>
      </c>
      <c r="B231" s="318">
        <f>(GETPIVOTDATA(" %UG OnC Trad",'FTE Pivot Table'!$A$3,"State","OK","Type2","Two-Year"))*100</f>
        <v>83.69098276137503</v>
      </c>
      <c r="C231" s="319">
        <f>(GETPIVOTDATA(" %UG OffC Trad",'FTE Pivot Table'!$A$3,"State","OK","Type2","Two-Year"))*100</f>
        <v>5.023744862541209</v>
      </c>
      <c r="D231" s="340">
        <f t="shared" si="28"/>
        <v>10.907315160404897</v>
      </c>
      <c r="E231" s="318">
        <f>(GETPIVOTDATA(" %UG EL Web",'FTE Pivot Table'!$A$3,"State","OK","Type2","Two-Year"))*100</f>
        <v>7.12149817738211</v>
      </c>
      <c r="F231" s="318">
        <f>(GETPIVOTDATA(" % UG EL CV",'FTE Pivot Table'!$A$3,"State","OK","Type2","Two-Year"))*100</f>
        <v>1.9335724762914446</v>
      </c>
      <c r="G231" s="319">
        <f>(GETPIVOTDATA(" %UG EL O",'FTE Pivot Table'!$A$3,"State","OK","Type2","Two-Year"))*100</f>
        <v>1.8522445067313418</v>
      </c>
      <c r="H231" s="318">
        <f>(GETPIVOTDATA(" %UG Cor",'FTE Pivot Table'!$A$3,"State","OK","Type2","Two-Year"))*100</f>
        <v>0.3779572156788707</v>
      </c>
      <c r="I231" s="122"/>
      <c r="J231" s="331"/>
      <c r="K231" s="331"/>
      <c r="L231" s="331"/>
      <c r="M231" s="331"/>
      <c r="N231" s="331"/>
      <c r="O231" s="331"/>
      <c r="P231" s="331"/>
      <c r="Q231" s="121">
        <f t="shared" si="29"/>
        <v>100</v>
      </c>
      <c r="R231" s="121">
        <f t="shared" si="30"/>
        <v>0</v>
      </c>
      <c r="S231" s="134"/>
      <c r="T231" s="27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row>
    <row r="232" spans="1:41" ht="15.75" customHeight="1">
      <c r="A232" s="122" t="s">
        <v>542</v>
      </c>
      <c r="B232" s="318">
        <f>(GETPIVOTDATA(" %UG OnC Trad",'FTE Pivot Table'!$A$3,"State","SC","Type2","Two-Year"))*100</f>
        <v>0</v>
      </c>
      <c r="C232" s="319">
        <f>(GETPIVOTDATA(" %UG OffC Trad",'FTE Pivot Table'!$A$3,"State","SC","Type2","Two-Year"))*100</f>
        <v>0</v>
      </c>
      <c r="D232" s="340">
        <f t="shared" si="28"/>
        <v>0</v>
      </c>
      <c r="E232" s="318">
        <f>(GETPIVOTDATA(" %UG EL Web",'FTE Pivot Table'!$A$3,"State","SC","Type2","Two-Year"))*100</f>
        <v>0</v>
      </c>
      <c r="F232" s="318">
        <f>(GETPIVOTDATA(" % UG EL CV",'FTE Pivot Table'!$A$3,"State","SC","Type2","Two-Year"))*100</f>
        <v>0</v>
      </c>
      <c r="G232" s="319">
        <f>(GETPIVOTDATA(" %UG EL O",'FTE Pivot Table'!$A$3,"State","SC","Type2","Two-Year"))*100</f>
        <v>0</v>
      </c>
      <c r="H232" s="318">
        <f>(GETPIVOTDATA(" %UG Cor",'FTE Pivot Table'!$A$3,"State","SC","Type2","Two-Year"))*100</f>
        <v>0</v>
      </c>
      <c r="I232" s="122"/>
      <c r="J232" s="331"/>
      <c r="K232" s="331"/>
      <c r="L232" s="331"/>
      <c r="M232" s="331"/>
      <c r="N232" s="331"/>
      <c r="O232" s="331"/>
      <c r="P232" s="331"/>
      <c r="Q232" s="121">
        <f t="shared" si="29"/>
        <v>0</v>
      </c>
      <c r="R232" s="121">
        <f t="shared" si="30"/>
        <v>0</v>
      </c>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row>
    <row r="233" spans="1:41" ht="15.75" customHeight="1">
      <c r="A233" s="122"/>
      <c r="B233" s="318"/>
      <c r="C233" s="319"/>
      <c r="D233" s="340">
        <f t="shared" si="28"/>
        <v>0</v>
      </c>
      <c r="E233" s="318"/>
      <c r="F233" s="318"/>
      <c r="G233" s="319"/>
      <c r="H233" s="318"/>
      <c r="I233" s="122"/>
      <c r="J233" s="331"/>
      <c r="K233" s="331"/>
      <c r="L233" s="331"/>
      <c r="M233" s="331"/>
      <c r="N233" s="331"/>
      <c r="O233" s="331"/>
      <c r="P233" s="331"/>
      <c r="Q233" s="121">
        <f t="shared" si="29"/>
        <v>0</v>
      </c>
      <c r="R233" s="121">
        <f t="shared" si="30"/>
        <v>0</v>
      </c>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row>
    <row r="234" spans="1:41" ht="15.75" customHeight="1">
      <c r="A234" s="122" t="s">
        <v>543</v>
      </c>
      <c r="B234" s="318">
        <f>(GETPIVOTDATA(" %UG OnC Trad",'FTE Pivot Table'!$A$3,"State","TN","Type2","Two-Year"))*100</f>
        <v>0</v>
      </c>
      <c r="C234" s="319">
        <f>(GETPIVOTDATA(" %UG OffC Trad",'FTE Pivot Table'!$A$3,"State","TN","Type2","Two-Year"))*100</f>
        <v>0</v>
      </c>
      <c r="D234" s="340">
        <f t="shared" si="28"/>
        <v>0</v>
      </c>
      <c r="E234" s="318">
        <f>(GETPIVOTDATA(" %UG EL Web",'FTE Pivot Table'!$A$3,"State","TN","Type2","Two-Year"))*100</f>
        <v>0</v>
      </c>
      <c r="F234" s="318">
        <f>(GETPIVOTDATA(" % UG EL CV",'FTE Pivot Table'!$A$3,"State","TN","Type2","Two-Year"))*100</f>
        <v>0</v>
      </c>
      <c r="G234" s="319">
        <f>(GETPIVOTDATA(" %UG EL O",'FTE Pivot Table'!$A$3,"State","TN","Type2","Two-Year"))*100</f>
        <v>0</v>
      </c>
      <c r="H234" s="318">
        <f>(GETPIVOTDATA(" %UG Cor",'FTE Pivot Table'!$A$3,"State","TN","Type2","Two-Year"))*100</f>
        <v>0</v>
      </c>
      <c r="I234" s="122"/>
      <c r="J234" s="331"/>
      <c r="K234" s="331"/>
      <c r="L234" s="331"/>
      <c r="M234" s="331"/>
      <c r="N234" s="331"/>
      <c r="O234" s="331"/>
      <c r="P234" s="331"/>
      <c r="Q234" s="121">
        <f t="shared" si="29"/>
        <v>0</v>
      </c>
      <c r="R234" s="121">
        <f t="shared" si="30"/>
        <v>0</v>
      </c>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row>
    <row r="235" spans="1:41" ht="15.75" customHeight="1">
      <c r="A235" s="122" t="s">
        <v>277</v>
      </c>
      <c r="B235" s="318">
        <f>(GETPIVOTDATA(" %UG Onc Trad",'FTE Pivot Table'!$A$3,"State","TX","Type2","Two-Year"))*100</f>
        <v>80.17677434381413</v>
      </c>
      <c r="C235" s="319">
        <f>(GETPIVOTDATA(" %UG OffC Trad",'FTE Pivot Table'!$A$3,"State","TX","Type2","Two-Year"))*100</f>
        <v>12.343308882406255</v>
      </c>
      <c r="D235" s="340">
        <f t="shared" si="28"/>
        <v>7.4799167737796175</v>
      </c>
      <c r="E235" s="318">
        <f>(GETPIVOTDATA(" %UG EL Web",'FTE Pivot Table'!$A$3,"State","TX","Type2","Two-Year"))*100</f>
        <v>5.498990232890198</v>
      </c>
      <c r="F235" s="318">
        <f>(GETPIVOTDATA(" % UG EL CV",'FTE Pivot Table'!$A$3,"State","TX","Type2","Two-Year"))*100</f>
        <v>0.43563385670999644</v>
      </c>
      <c r="G235" s="319">
        <f>(GETPIVOTDATA(" %UG EL O",'FTE Pivot Table'!$A$3,"State","TX","Type2","Two-Year"))*100</f>
        <v>1.5452926841794232</v>
      </c>
      <c r="H235" s="318">
        <f>(GETPIVOTDATA(" %UG Cor",'FTE Pivot Table'!$A$3,"State","TX","Type2","Two-Year"))*100</f>
        <v>0</v>
      </c>
      <c r="I235" s="122"/>
      <c r="J235" s="331"/>
      <c r="K235" s="331"/>
      <c r="L235" s="331"/>
      <c r="M235" s="331"/>
      <c r="N235" s="331"/>
      <c r="O235" s="331"/>
      <c r="P235" s="331"/>
      <c r="Q235" s="121">
        <f t="shared" si="29"/>
        <v>100</v>
      </c>
      <c r="R235" s="121">
        <f t="shared" si="30"/>
        <v>0</v>
      </c>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row>
    <row r="236" spans="1:41" ht="15.75" customHeight="1">
      <c r="A236" s="122" t="s">
        <v>544</v>
      </c>
      <c r="B236" s="318">
        <f>(GETPIVOTDATA(" %UG OnC Trad",'FTE Pivot Table'!$A$3,"State","VA","Type2","Two-Year"))*100</f>
        <v>0</v>
      </c>
      <c r="C236" s="319">
        <f>(GETPIVOTDATA(" %UG OffC Trad",'FTE Pivot Table'!$A$3,"State","VA","Type2","Two-Year"))*100</f>
        <v>0</v>
      </c>
      <c r="D236" s="340">
        <f t="shared" si="28"/>
        <v>0</v>
      </c>
      <c r="E236" s="318">
        <f>(GETPIVOTDATA(" %UG EL Web",'FTE Pivot Table'!$A$3,"State","VA","Type2","Two-Year"))*100</f>
        <v>0</v>
      </c>
      <c r="F236" s="318">
        <f>(GETPIVOTDATA(" % UG EL CV",'FTE Pivot Table'!$A$3,"State","VA","Type2","Two-Year"))*100</f>
        <v>0</v>
      </c>
      <c r="G236" s="319">
        <f>(GETPIVOTDATA(" %UG EL O",'FTE Pivot Table'!$A$3,"State","VA","Type2","Two-Year"))*100</f>
        <v>0</v>
      </c>
      <c r="H236" s="318">
        <f>(GETPIVOTDATA(" %UG Cor",'FTE Pivot Table'!$A$3,"State","VA","Type2","Two-Year"))*100</f>
        <v>0</v>
      </c>
      <c r="I236" s="122"/>
      <c r="J236" s="331"/>
      <c r="K236" s="331"/>
      <c r="L236" s="331"/>
      <c r="M236" s="331"/>
      <c r="N236" s="331"/>
      <c r="O236" s="331"/>
      <c r="P236" s="331"/>
      <c r="Q236" s="121">
        <f t="shared" si="29"/>
        <v>0</v>
      </c>
      <c r="R236" s="121">
        <f t="shared" si="30"/>
        <v>0</v>
      </c>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row>
    <row r="237" spans="1:41" ht="15.75" customHeight="1">
      <c r="A237" s="116" t="s">
        <v>633</v>
      </c>
      <c r="B237" s="317">
        <f>(GETPIVOTDATA(" %UG OnC Trad",'FTE Pivot Table'!$A$3,"State","WV","Type2","Two-Year"))*100</f>
        <v>79.57749312973588</v>
      </c>
      <c r="C237" s="320">
        <f>(GETPIVOTDATA(" %UG OffC Trad",'FTE Pivot Table'!$A$3,"State","WV","Type2","Two-Year"))*100</f>
        <v>14.908473134105254</v>
      </c>
      <c r="D237" s="342">
        <f t="shared" si="28"/>
        <v>5.5140337361588605</v>
      </c>
      <c r="E237" s="317">
        <f>(GETPIVOTDATA(" %UG EL Web",'FTE Pivot Table'!$A$3,"State","WV","Type2","Two-Year"))*100</f>
        <v>3.6860835470110036</v>
      </c>
      <c r="F237" s="317">
        <f>(GETPIVOTDATA(" % UG EL CV",'FTE Pivot Table'!$A$3,"State","WV","Type2","Two-Year"))*100</f>
        <v>1.53790431073141</v>
      </c>
      <c r="G237" s="320">
        <f>(GETPIVOTDATA(" %UG EL O",'FTE Pivot Table'!$A$3,"State","WV","Type2","Two-Year"))*100</f>
        <v>0.29004587841644724</v>
      </c>
      <c r="H237" s="317">
        <f>(GETPIVOTDATA(" %UG Cor",'FTE Pivot Table'!$A$3,"State","WV","Type2","Two-Year"))*100</f>
        <v>0</v>
      </c>
      <c r="I237" s="122"/>
      <c r="J237" s="331"/>
      <c r="K237" s="331"/>
      <c r="L237" s="331"/>
      <c r="M237" s="331"/>
      <c r="N237" s="331"/>
      <c r="O237" s="331"/>
      <c r="P237" s="331"/>
      <c r="Q237" s="121">
        <f t="shared" si="29"/>
        <v>100</v>
      </c>
      <c r="R237" s="121">
        <f t="shared" si="30"/>
        <v>0</v>
      </c>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row>
    <row r="238" spans="1:41" s="279" customFormat="1" ht="18" customHeight="1">
      <c r="A238" s="347" t="s">
        <v>634</v>
      </c>
      <c r="B238" s="283"/>
      <c r="C238" s="283"/>
      <c r="D238" s="284"/>
      <c r="E238" s="283"/>
      <c r="F238" s="284"/>
      <c r="G238" s="284"/>
      <c r="H238" s="283"/>
      <c r="I238" s="347"/>
      <c r="J238" s="283"/>
      <c r="K238" s="283"/>
      <c r="L238" s="284"/>
      <c r="M238" s="283"/>
      <c r="N238" s="284"/>
      <c r="O238" s="284"/>
      <c r="P238" s="283"/>
      <c r="Q238" s="283"/>
      <c r="R238" s="283"/>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row>
    <row r="239" spans="1:18" s="279" customFormat="1" ht="13.5" customHeight="1">
      <c r="A239" s="347" t="s">
        <v>641</v>
      </c>
      <c r="B239" s="278"/>
      <c r="H239" s="277"/>
      <c r="I239" s="347"/>
      <c r="P239" s="280"/>
      <c r="Q239" s="281"/>
      <c r="R239" s="282"/>
    </row>
    <row r="240" spans="1:18" s="279" customFormat="1" ht="13.5" customHeight="1">
      <c r="A240" s="348" t="s">
        <v>639</v>
      </c>
      <c r="H240" s="277"/>
      <c r="I240" s="348"/>
      <c r="Q240" s="281"/>
      <c r="R240" s="282"/>
    </row>
    <row r="241" spans="1:41" ht="9" customHeight="1">
      <c r="A241" s="122"/>
      <c r="B241" s="318"/>
      <c r="C241" s="318"/>
      <c r="D241" s="316"/>
      <c r="E241" s="318"/>
      <c r="F241" s="316"/>
      <c r="G241" s="316"/>
      <c r="H241" s="318"/>
      <c r="I241" s="122"/>
      <c r="J241" s="318"/>
      <c r="K241" s="318"/>
      <c r="L241" s="316"/>
      <c r="M241" s="318"/>
      <c r="N241" s="316"/>
      <c r="O241" s="316"/>
      <c r="P241" s="318"/>
      <c r="Q241" s="121"/>
      <c r="R241" s="121"/>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row>
    <row r="242" spans="8:18" s="279" customFormat="1" ht="11.25">
      <c r="H242" s="351" t="s">
        <v>642</v>
      </c>
      <c r="I242" s="277"/>
      <c r="J242" s="277"/>
      <c r="K242" s="277"/>
      <c r="L242" s="277"/>
      <c r="M242" s="277"/>
      <c r="N242" s="277"/>
      <c r="O242" s="277"/>
      <c r="P242" s="277"/>
      <c r="Q242" s="277"/>
      <c r="R242" s="277"/>
    </row>
    <row r="243" spans="1:17" ht="18">
      <c r="A243" s="113" t="s">
        <v>585</v>
      </c>
      <c r="B243" s="114"/>
      <c r="C243" s="114"/>
      <c r="D243" s="114"/>
      <c r="E243" s="114"/>
      <c r="F243" s="114"/>
      <c r="G243" s="114"/>
      <c r="H243" s="132"/>
      <c r="I243" s="131"/>
      <c r="J243" s="122"/>
      <c r="K243" s="122"/>
      <c r="L243" s="122"/>
      <c r="M243" s="122"/>
      <c r="N243" s="122"/>
      <c r="O243" s="122"/>
      <c r="P243" s="122"/>
      <c r="Q243" s="270"/>
    </row>
    <row r="244" spans="1:16" ht="12.75">
      <c r="A244" s="293"/>
      <c r="B244" s="115"/>
      <c r="C244" s="115"/>
      <c r="D244" s="115"/>
      <c r="E244" s="115"/>
      <c r="F244" s="115"/>
      <c r="G244" s="115"/>
      <c r="H244" s="127"/>
      <c r="I244" s="131"/>
      <c r="J244" s="122"/>
      <c r="K244" s="122"/>
      <c r="L244" s="122"/>
      <c r="M244" s="122"/>
      <c r="N244" s="122"/>
      <c r="O244" s="122"/>
      <c r="P244" s="122"/>
    </row>
    <row r="245" spans="1:16" ht="15.75">
      <c r="A245" s="124" t="s">
        <v>617</v>
      </c>
      <c r="B245" s="115"/>
      <c r="C245" s="115"/>
      <c r="D245" s="115"/>
      <c r="E245" s="115"/>
      <c r="F245" s="115"/>
      <c r="G245" s="115"/>
      <c r="H245" s="127"/>
      <c r="I245" s="131"/>
      <c r="J245" s="122"/>
      <c r="K245" s="122"/>
      <c r="L245" s="122"/>
      <c r="M245" s="122"/>
      <c r="N245" s="122"/>
      <c r="O245" s="122"/>
      <c r="P245" s="122"/>
    </row>
    <row r="246" spans="1:16" ht="15.75">
      <c r="A246" s="124" t="s">
        <v>554</v>
      </c>
      <c r="B246" s="115"/>
      <c r="C246" s="115"/>
      <c r="D246" s="115"/>
      <c r="E246" s="115"/>
      <c r="F246" s="115"/>
      <c r="G246" s="115"/>
      <c r="H246" s="127"/>
      <c r="I246" s="131"/>
      <c r="J246" s="122"/>
      <c r="K246" s="122"/>
      <c r="L246" s="122"/>
      <c r="M246" s="122"/>
      <c r="N246" s="122"/>
      <c r="O246" s="122"/>
      <c r="P246" s="122"/>
    </row>
    <row r="247" spans="1:16" ht="12.75">
      <c r="A247" s="116"/>
      <c r="B247" s="117"/>
      <c r="C247" s="117"/>
      <c r="D247" s="117"/>
      <c r="E247" s="117"/>
      <c r="F247" s="117"/>
      <c r="G247" s="117"/>
      <c r="H247" s="117"/>
      <c r="I247" s="131"/>
      <c r="J247" s="122"/>
      <c r="K247" s="122"/>
      <c r="L247" s="122"/>
      <c r="M247" s="122"/>
      <c r="N247" s="122"/>
      <c r="O247" s="122"/>
      <c r="P247" s="122"/>
    </row>
    <row r="248" spans="1:16" ht="12.75">
      <c r="A248" s="300"/>
      <c r="B248" s="301" t="s">
        <v>279</v>
      </c>
      <c r="C248" s="301"/>
      <c r="D248" s="301"/>
      <c r="E248" s="301"/>
      <c r="F248" s="301"/>
      <c r="G248" s="301"/>
      <c r="H248" s="302"/>
      <c r="I248" s="131"/>
      <c r="J248" s="122"/>
      <c r="K248" s="122"/>
      <c r="L248" s="122"/>
      <c r="M248" s="122"/>
      <c r="N248" s="122"/>
      <c r="O248" s="122"/>
      <c r="P248" s="122"/>
    </row>
    <row r="249" spans="1:16" ht="12.75">
      <c r="A249" s="300"/>
      <c r="B249" s="301" t="s">
        <v>173</v>
      </c>
      <c r="C249" s="301"/>
      <c r="D249" s="370" t="s">
        <v>629</v>
      </c>
      <c r="E249" s="371"/>
      <c r="F249" s="371"/>
      <c r="G249" s="371"/>
      <c r="H249" s="306" t="s">
        <v>2</v>
      </c>
      <c r="I249" s="131"/>
      <c r="J249" s="122"/>
      <c r="K249" s="122"/>
      <c r="L249" s="122"/>
      <c r="M249" s="122"/>
      <c r="N249" s="122"/>
      <c r="O249" s="122"/>
      <c r="P249" s="122"/>
    </row>
    <row r="250" spans="1:16" ht="36">
      <c r="A250" s="300"/>
      <c r="B250" s="307" t="s">
        <v>612</v>
      </c>
      <c r="C250" s="308" t="s">
        <v>611</v>
      </c>
      <c r="D250" s="309" t="s">
        <v>626</v>
      </c>
      <c r="E250" s="310" t="s">
        <v>0</v>
      </c>
      <c r="F250" s="307" t="s">
        <v>174</v>
      </c>
      <c r="G250" s="311" t="s">
        <v>631</v>
      </c>
      <c r="H250" s="312" t="s">
        <v>630</v>
      </c>
      <c r="I250" s="131"/>
      <c r="J250" s="122"/>
      <c r="K250" s="122"/>
      <c r="L250" s="122"/>
      <c r="M250" s="122"/>
      <c r="N250" s="122"/>
      <c r="O250" s="122"/>
      <c r="P250" s="122"/>
    </row>
    <row r="251" spans="1:41" ht="15.75" customHeight="1">
      <c r="A251" s="123" t="s">
        <v>534</v>
      </c>
      <c r="B251" s="318">
        <f>(GETPIVOTDATA(" %UG OnC Trad",'FTE Pivot Table'!$A$3,"State","AL","Type",7,"Type2","Two-Year"))*100</f>
        <v>0</v>
      </c>
      <c r="C251" s="319">
        <f>(GETPIVOTDATA(" %UG OffC Trad",'FTE Pivot Table'!$A$3,"State","AL","Type",7,"Type2","Two-Year"))*100</f>
        <v>0</v>
      </c>
      <c r="D251" s="340">
        <f aca="true" t="shared" si="31" ref="D251:D269">SUM(E251:G251)</f>
        <v>0</v>
      </c>
      <c r="E251" s="318">
        <f>(GETPIVOTDATA(" %UG EL Web",'FTE Pivot Table'!$A$3,"State","AL","Type",7,"Type2","Two-Year"))*100</f>
        <v>0</v>
      </c>
      <c r="F251" s="341">
        <f>(GETPIVOTDATA(" % UG EL CV",'FTE Pivot Table'!$A$3,"State","AL","Type",7,"Type2","Two-Year"))*100</f>
        <v>0</v>
      </c>
      <c r="G251" s="319">
        <f>(GETPIVOTDATA(" %UG EL O",'FTE Pivot Table'!$A$3,"State","AL","Type",7,"Type2","Two-Year"))*100</f>
        <v>0</v>
      </c>
      <c r="H251" s="318">
        <f>(GETPIVOTDATA(" %UG Cor",'FTE Pivot Table'!$A$3,"State","AL","Type",7,"Type2","Two-Year"))*100</f>
        <v>0</v>
      </c>
      <c r="I251" s="122"/>
      <c r="J251" s="331"/>
      <c r="K251" s="331"/>
      <c r="L251" s="331"/>
      <c r="M251" s="331"/>
      <c r="N251" s="331"/>
      <c r="O251" s="331"/>
      <c r="P251" s="331"/>
      <c r="Q251" s="121">
        <f aca="true" t="shared" si="32" ref="Q251:Q269">SUM(B251,C251,D251,H251)</f>
        <v>0</v>
      </c>
      <c r="R251" s="121">
        <f aca="true" t="shared" si="33" ref="R251:R269">SUM(J251,K251,L251,P251)</f>
        <v>0</v>
      </c>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row>
    <row r="252" spans="1:41" ht="15.75" customHeight="1">
      <c r="A252" s="122" t="s">
        <v>535</v>
      </c>
      <c r="B252" s="318">
        <f>(GETPIVOTDATA(" %UG OnC Trad",'FTE Pivot Table'!$A$3,"State","AR","Type",7,"Type2","Two-Year"))*100</f>
        <v>91.72289174183584</v>
      </c>
      <c r="C252" s="319">
        <f>(GETPIVOTDATA(" %UG OffC Trad",'FTE Pivot Table'!$A$3,"State","AR","Type",7,"Type2","Two-Year"))*100</f>
        <v>1.59421768211824</v>
      </c>
      <c r="D252" s="340">
        <f t="shared" si="31"/>
        <v>6.682890576045933</v>
      </c>
      <c r="E252" s="318">
        <f>(GETPIVOTDATA(" %UG EL Web",'FTE Pivot Table'!$A$3,"State","AR","Type",7,"Type2","Two-Year"))*100</f>
        <v>6.6282441746936165</v>
      </c>
      <c r="F252" s="318">
        <f>(GETPIVOTDATA(" % UG EL CV",'FTE Pivot Table'!$A$3,"State","AR","Type",7,"Type2","Two-Year"))*100</f>
        <v>0.054646401352316284</v>
      </c>
      <c r="G252" s="319">
        <f>(GETPIVOTDATA(" %UG EL O",'FTE Pivot Table'!$A$3,"State","AR","Type",7,"Type2","Two-Year"))*100</f>
        <v>0</v>
      </c>
      <c r="H252" s="318">
        <f>(GETPIVOTDATA(" %UG Cor",'FTE Pivot Table'!$A$3,"State","AR","Type",7,"Type2","Two-Year"))*100</f>
        <v>0</v>
      </c>
      <c r="I252" s="122"/>
      <c r="J252" s="331"/>
      <c r="K252" s="331"/>
      <c r="L252" s="331"/>
      <c r="M252" s="331"/>
      <c r="N252" s="331"/>
      <c r="O252" s="331"/>
      <c r="P252" s="331"/>
      <c r="Q252" s="121">
        <f t="shared" si="32"/>
        <v>100.00000000000001</v>
      </c>
      <c r="R252" s="121">
        <f t="shared" si="33"/>
        <v>0</v>
      </c>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row>
    <row r="253" spans="1:41" ht="15.75" customHeight="1">
      <c r="A253" s="122" t="s">
        <v>536</v>
      </c>
      <c r="B253" s="318">
        <f>(GETPIVOTDATA(" %UG OnC Trad",'FTE Pivot Table'!$A$3,"State","DE","Type",7,"Type2","Two-Year"))*100</f>
        <v>0</v>
      </c>
      <c r="C253" s="319">
        <f>(GETPIVOTDATA(" %UG OffC Trad",'FTE Pivot Table'!$A$3,"State","DE","Type",7,"Type2","Two-Year"))*100</f>
        <v>0</v>
      </c>
      <c r="D253" s="340">
        <f t="shared" si="31"/>
        <v>0</v>
      </c>
      <c r="E253" s="318">
        <f>(GETPIVOTDATA(" %UG EL Web",'FTE Pivot Table'!$A$3,"State","DE","Type",7,"Type2","Two-Year"))*100</f>
        <v>0</v>
      </c>
      <c r="F253" s="318">
        <f>(GETPIVOTDATA(" % UG EL CV",'FTE Pivot Table'!$A$3,"State","DE","Type",7,"Type2","Two-Year"))*100</f>
        <v>0</v>
      </c>
      <c r="G253" s="319">
        <f>(GETPIVOTDATA(" %UG EL O",'FTE Pivot Table'!$A$3,"State","DE","Type",7,"Type2","Two-Year"))*100</f>
        <v>0</v>
      </c>
      <c r="H253" s="318">
        <f>(GETPIVOTDATA(" %UG Cor",'FTE Pivot Table'!$A$3,"State","DE","Type",7,"Type2","Two-Year"))*100</f>
        <v>0</v>
      </c>
      <c r="I253" s="122"/>
      <c r="J253" s="331"/>
      <c r="K253" s="331"/>
      <c r="L253" s="331"/>
      <c r="M253" s="331"/>
      <c r="N253" s="331"/>
      <c r="O253" s="331"/>
      <c r="P253" s="331"/>
      <c r="Q253" s="121">
        <f t="shared" si="32"/>
        <v>0</v>
      </c>
      <c r="R253" s="121">
        <f t="shared" si="33"/>
        <v>0</v>
      </c>
      <c r="S253" s="134"/>
      <c r="T253" s="27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row>
    <row r="254" spans="1:41" ht="15.75" customHeight="1">
      <c r="A254" s="122" t="s">
        <v>537</v>
      </c>
      <c r="B254" s="318">
        <f>(GETPIVOTDATA(" %UG OnC Trad",'FTE Pivot Table'!$A$3,"State","FL","Type",7,"Type2","Two-Year"))*100</f>
        <v>0</v>
      </c>
      <c r="C254" s="319">
        <f>(GETPIVOTDATA(" %UG OffC Trad",'FTE Pivot Table'!$A$3,"State","FL","Type",7,"Type2","Two-Year"))*100</f>
        <v>0</v>
      </c>
      <c r="D254" s="340">
        <f t="shared" si="31"/>
        <v>0</v>
      </c>
      <c r="E254" s="318">
        <f>(GETPIVOTDATA(" %UG EL Web",'FTE Pivot Table'!$A$3,"State","FL","Type",7,"Type2","Two-Year"))*100</f>
        <v>0</v>
      </c>
      <c r="F254" s="318">
        <f>(GETPIVOTDATA(" % UG EL CV",'FTE Pivot Table'!$A$3,"State","FL","Type",7,"Type2","Two-Year"))*100</f>
        <v>0</v>
      </c>
      <c r="G254" s="319">
        <f>(GETPIVOTDATA(" %UG EL O",'FTE Pivot Table'!$A$3,"State","FL","Type",7,"Type2","Two-Year"))*100</f>
        <v>0</v>
      </c>
      <c r="H254" s="318">
        <f>(GETPIVOTDATA(" %UG Cor",'FTE Pivot Table'!$A$3,"State","FL","Type",7,"Type2","Two-Year"))*100</f>
        <v>0</v>
      </c>
      <c r="I254" s="122"/>
      <c r="J254" s="331"/>
      <c r="K254" s="331"/>
      <c r="L254" s="331"/>
      <c r="M254" s="331"/>
      <c r="N254" s="331"/>
      <c r="O254" s="331"/>
      <c r="P254" s="331"/>
      <c r="Q254" s="121">
        <f t="shared" si="32"/>
        <v>0</v>
      </c>
      <c r="R254" s="121">
        <f t="shared" si="33"/>
        <v>0</v>
      </c>
      <c r="S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row>
    <row r="255" spans="1:41" ht="15.75" customHeight="1">
      <c r="A255" s="122"/>
      <c r="B255" s="318"/>
      <c r="C255" s="319"/>
      <c r="D255" s="340">
        <f t="shared" si="31"/>
        <v>0</v>
      </c>
      <c r="E255" s="318"/>
      <c r="F255" s="318"/>
      <c r="G255" s="319"/>
      <c r="H255" s="318"/>
      <c r="I255" s="122"/>
      <c r="J255" s="331"/>
      <c r="K255" s="331"/>
      <c r="L255" s="331"/>
      <c r="M255" s="331"/>
      <c r="N255" s="331"/>
      <c r="O255" s="331"/>
      <c r="P255" s="331"/>
      <c r="Q255" s="121">
        <f t="shared" si="32"/>
        <v>0</v>
      </c>
      <c r="R255" s="121">
        <f t="shared" si="33"/>
        <v>0</v>
      </c>
      <c r="S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row>
    <row r="256" spans="1:41" ht="15.75" customHeight="1">
      <c r="A256" s="122" t="s">
        <v>538</v>
      </c>
      <c r="B256" s="318">
        <f>(GETPIVOTDATA(" %UG OnC Trad",'FTE Pivot Table'!$A$3,"State","GA","Type",7,"Type2","Two-Year"))*100</f>
        <v>83.23608901012857</v>
      </c>
      <c r="C256" s="319">
        <f>(GETPIVOTDATA(" %UG OffC Trad",'FTE Pivot Table'!$A$3,"State","GA","Type",7,"Type2","Two-Year"))*100</f>
        <v>13.444974868025561</v>
      </c>
      <c r="D256" s="340">
        <f t="shared" si="31"/>
        <v>3.3189361218458737</v>
      </c>
      <c r="E256" s="318">
        <f>(GETPIVOTDATA(" %UG EL Web",'FTE Pivot Table'!$A$3,"State","GA","Type",7,"Type2","Two-Year"))*100</f>
        <v>3.3189361218458737</v>
      </c>
      <c r="F256" s="318">
        <f>(GETPIVOTDATA(" % UG EL CV",'FTE Pivot Table'!$A$3,"State","GA","Type",7,"Type2","Two-Year"))*100</f>
        <v>0</v>
      </c>
      <c r="G256" s="319">
        <f>(GETPIVOTDATA(" %UG EL O",'FTE Pivot Table'!$A$3,"State","GA","Type",7,"Type2","Two-Year"))*100</f>
        <v>0</v>
      </c>
      <c r="H256" s="318">
        <f>(GETPIVOTDATA(" %UG Cor",'FTE Pivot Table'!$A$3,"State","GA","Type",7,"Type2","Two-Year"))*100</f>
        <v>0</v>
      </c>
      <c r="I256" s="122"/>
      <c r="J256" s="331"/>
      <c r="K256" s="331"/>
      <c r="L256" s="331"/>
      <c r="M256" s="331"/>
      <c r="N256" s="331"/>
      <c r="O256" s="331"/>
      <c r="P256" s="331"/>
      <c r="Q256" s="121">
        <f t="shared" si="32"/>
        <v>100.00000000000001</v>
      </c>
      <c r="R256" s="121">
        <f t="shared" si="33"/>
        <v>0</v>
      </c>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row>
    <row r="257" spans="1:41" ht="15.75" customHeight="1">
      <c r="A257" s="122" t="s">
        <v>539</v>
      </c>
      <c r="B257" s="318">
        <f>(GETPIVOTDATA(" %UG OnC Trad",'FTE Pivot Table'!$A$3,"State","KY","Type",7,"Type2","Two-Year"))*100</f>
        <v>0</v>
      </c>
      <c r="C257" s="319">
        <f>(GETPIVOTDATA(" %UG OffC Trad",'FTE Pivot Table'!$A$3,"State","KY","Type",7,"Type2","Two-Year"))*100</f>
        <v>0</v>
      </c>
      <c r="D257" s="340">
        <f t="shared" si="31"/>
        <v>0</v>
      </c>
      <c r="E257" s="318">
        <f>(GETPIVOTDATA(" %UG EL Web",'FTE Pivot Table'!$A$3,"State","KY","Type",7,"Type2","Two-Year"))*100</f>
        <v>0</v>
      </c>
      <c r="F257" s="318">
        <f>(GETPIVOTDATA(" % UG EL CV",'FTE Pivot Table'!$A$3,"State","KY","Type",7,"Type2","Two-Year"))*100</f>
        <v>0</v>
      </c>
      <c r="G257" s="319">
        <f>(GETPIVOTDATA(" %UG EL O",'FTE Pivot Table'!$A$3,"State","KY","Type",7,"Type2","Two-Year"))*100</f>
        <v>0</v>
      </c>
      <c r="H257" s="318">
        <f>(GETPIVOTDATA(" %UG Cor",'FTE Pivot Table'!$A$3,"State","KY","Type",7,"Type2","Two-Year"))*100</f>
        <v>0</v>
      </c>
      <c r="I257" s="122"/>
      <c r="J257" s="331"/>
      <c r="K257" s="331"/>
      <c r="L257" s="331"/>
      <c r="M257" s="331"/>
      <c r="N257" s="331"/>
      <c r="O257" s="331"/>
      <c r="P257" s="331"/>
      <c r="Q257" s="121">
        <f t="shared" si="32"/>
        <v>0</v>
      </c>
      <c r="R257" s="121">
        <f t="shared" si="33"/>
        <v>0</v>
      </c>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row>
    <row r="258" spans="1:41" ht="15.75" customHeight="1">
      <c r="A258" s="122" t="s">
        <v>540</v>
      </c>
      <c r="B258" s="318">
        <f>(GETPIVOTDATA(" %UG OnC Trad",'FTE Pivot Table'!$A$3,"State","LA","Type",7,"Type2","Two-Year"))*100</f>
        <v>0</v>
      </c>
      <c r="C258" s="319">
        <f>(GETPIVOTDATA(" %UG OffC Trad",'FTE Pivot Table'!$A$3,"State","LA","Type",7,"Type2","Two-Year"))*100</f>
        <v>0</v>
      </c>
      <c r="D258" s="340">
        <f t="shared" si="31"/>
        <v>0</v>
      </c>
      <c r="E258" s="318">
        <f>(GETPIVOTDATA(" %UG EL Web",'FTE Pivot Table'!$A$3,"State","LA","Type",7,"Type2","Two-Year"))*100</f>
        <v>0</v>
      </c>
      <c r="F258" s="318">
        <f>(GETPIVOTDATA(" % UG EL CV",'FTE Pivot Table'!$A$3,"State","LA","Type",7,"Type2","Two-Year"))*100</f>
        <v>0</v>
      </c>
      <c r="G258" s="319">
        <f>(GETPIVOTDATA(" %UG EL O",'FTE Pivot Table'!$A$3,"State","LA","Type",7,"Type2","Two-Year"))*100</f>
        <v>0</v>
      </c>
      <c r="H258" s="318">
        <f>(GETPIVOTDATA(" %UG Cor",'FTE Pivot Table'!$A$3,"State","LA","Type",7,"Type2","Two-Year"))*100</f>
        <v>0</v>
      </c>
      <c r="I258" s="122"/>
      <c r="J258" s="331"/>
      <c r="K258" s="331"/>
      <c r="L258" s="331"/>
      <c r="M258" s="331"/>
      <c r="N258" s="331"/>
      <c r="O258" s="331"/>
      <c r="P258" s="331"/>
      <c r="Q258" s="121">
        <f t="shared" si="32"/>
        <v>0</v>
      </c>
      <c r="R258" s="121">
        <f t="shared" si="33"/>
        <v>0</v>
      </c>
      <c r="S258" s="134"/>
      <c r="T258" s="27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row>
    <row r="259" spans="1:41" ht="15.75" customHeight="1">
      <c r="A259" s="122" t="s">
        <v>541</v>
      </c>
      <c r="B259" s="318">
        <f>(GETPIVOTDATA(" %UG OnC Trad",'FTE Pivot Table'!$A$3,"State","MD","Type",7,"Type2","Two-Year"))*100</f>
        <v>0</v>
      </c>
      <c r="C259" s="319">
        <f>(GETPIVOTDATA(" %UG OffC Trad",'FTE Pivot Table'!$A$3,"State","MD","Type",7,"Type2","Two-Year"))*100</f>
        <v>0</v>
      </c>
      <c r="D259" s="340">
        <f t="shared" si="31"/>
        <v>0</v>
      </c>
      <c r="E259" s="318">
        <f>(GETPIVOTDATA(" %UG EL Web",'FTE Pivot Table'!$A$3,"State","MD","Type",7,"Type2","Two-Year"))*100</f>
        <v>0</v>
      </c>
      <c r="F259" s="318">
        <f>(GETPIVOTDATA(" % UG EL CV",'FTE Pivot Table'!$A$3,"State","MD","Type",7,"Type2","Two-Year"))*100</f>
        <v>0</v>
      </c>
      <c r="G259" s="319">
        <f>(GETPIVOTDATA(" %UG EL O",'FTE Pivot Table'!$A$3,"State","MD","Type",7,"Type2","Two-Year"))*100</f>
        <v>0</v>
      </c>
      <c r="H259" s="318">
        <f>(GETPIVOTDATA(" %UG Cor",'FTE Pivot Table'!$A$3,"State","MD","Type",7,"Type2","Two-Year"))*100</f>
        <v>0</v>
      </c>
      <c r="I259" s="122"/>
      <c r="J259" s="331"/>
      <c r="K259" s="331"/>
      <c r="L259" s="331"/>
      <c r="M259" s="331"/>
      <c r="N259" s="331"/>
      <c r="O259" s="331"/>
      <c r="P259" s="331"/>
      <c r="Q259" s="121">
        <f t="shared" si="32"/>
        <v>0</v>
      </c>
      <c r="R259" s="121">
        <f t="shared" si="33"/>
        <v>0</v>
      </c>
      <c r="S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row>
    <row r="260" spans="1:41" ht="15.75" customHeight="1">
      <c r="A260" s="122"/>
      <c r="B260" s="318"/>
      <c r="C260" s="319"/>
      <c r="D260" s="340">
        <f t="shared" si="31"/>
        <v>0</v>
      </c>
      <c r="E260" s="318"/>
      <c r="F260" s="318"/>
      <c r="G260" s="319"/>
      <c r="H260" s="318"/>
      <c r="I260" s="122"/>
      <c r="J260" s="331"/>
      <c r="K260" s="331"/>
      <c r="L260" s="331"/>
      <c r="M260" s="331"/>
      <c r="N260" s="331"/>
      <c r="O260" s="331"/>
      <c r="P260" s="331"/>
      <c r="Q260" s="121">
        <f t="shared" si="32"/>
        <v>0</v>
      </c>
      <c r="R260" s="121">
        <f t="shared" si="33"/>
        <v>0</v>
      </c>
      <c r="S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row>
    <row r="261" spans="1:41" ht="15.75" customHeight="1">
      <c r="A261" s="122" t="s">
        <v>168</v>
      </c>
      <c r="B261" s="318">
        <f>(GETPIVOTDATA(" %UG OnC Trad",'FTE Pivot Table'!$A$3,"State","MS","Type",7,"Type2","Two-Year"))*100</f>
        <v>0</v>
      </c>
      <c r="C261" s="319">
        <f>(GETPIVOTDATA(" %UG OffC Trad",'FTE Pivot Table'!$A$3,"State","MS","Type",7,"Type2","Two-Year"))*100</f>
        <v>0</v>
      </c>
      <c r="D261" s="340">
        <f t="shared" si="31"/>
        <v>0</v>
      </c>
      <c r="E261" s="318">
        <f>(GETPIVOTDATA(" %UG EL Web",'FTE Pivot Table'!$A$3,"State","MS","Type",7,"Type2","Two-Year"))*100</f>
        <v>0</v>
      </c>
      <c r="F261" s="318">
        <f>(GETPIVOTDATA(" % UG EL CV",'FTE Pivot Table'!$A$3,"State","MS","Type",7,"Type2","Two-Year"))*100</f>
        <v>0</v>
      </c>
      <c r="G261" s="319">
        <f>(GETPIVOTDATA(" %UG EL O",'FTE Pivot Table'!$A$3,"State","MS","Type",7,"Type2","Two-Year"))*100</f>
        <v>0</v>
      </c>
      <c r="H261" s="318">
        <f>(GETPIVOTDATA(" %UG Cor",'FTE Pivot Table'!$A$3,"State","MS","Type",7,"Type2","Two-Year"))*100</f>
        <v>0</v>
      </c>
      <c r="I261" s="122"/>
      <c r="J261" s="331"/>
      <c r="K261" s="331"/>
      <c r="L261" s="331"/>
      <c r="M261" s="331"/>
      <c r="N261" s="331"/>
      <c r="O261" s="331"/>
      <c r="P261" s="331"/>
      <c r="Q261" s="121">
        <f t="shared" si="32"/>
        <v>0</v>
      </c>
      <c r="R261" s="121">
        <f t="shared" si="33"/>
        <v>0</v>
      </c>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row>
    <row r="262" spans="1:41" ht="15.75" customHeight="1">
      <c r="A262" s="122" t="s">
        <v>176</v>
      </c>
      <c r="B262" s="318">
        <f>(GETPIVOTDATA(" %UG OnC Trad",'FTE Pivot Table'!$A$3,"State","NC","Type","7","Type",7,"Type2","Two-Year"))*100</f>
        <v>0</v>
      </c>
      <c r="C262" s="319">
        <f>(GETPIVOTDATA(" %UG OffC Trad",'FTE Pivot Table'!$A$3,"State","NC","Type",7,"Type2","Two-Year"))*100</f>
        <v>0</v>
      </c>
      <c r="D262" s="340">
        <f t="shared" si="31"/>
        <v>0</v>
      </c>
      <c r="E262" s="318">
        <f>(GETPIVOTDATA(" %UG EL Web",'FTE Pivot Table'!$A$3,"State","NC","Type",7,"Type2","Two-Year"))*100</f>
        <v>0</v>
      </c>
      <c r="F262" s="318">
        <f>(GETPIVOTDATA(" % UG EL CV",'FTE Pivot Table'!$A$3,"State","NC","Type",7,"Type2","Two-Year"))*100</f>
        <v>0</v>
      </c>
      <c r="G262" s="319">
        <f>(GETPIVOTDATA(" %UG EL O",'FTE Pivot Table'!$A$3,"State","NC","Type",7,"Type2","Two-Year"))*100</f>
        <v>0</v>
      </c>
      <c r="H262" s="318">
        <f>(GETPIVOTDATA(" %UG Cor",'FTE Pivot Table'!$A$3,"State","NC","Type",7,"Type2","Two-Year"))*100</f>
        <v>0</v>
      </c>
      <c r="I262" s="122"/>
      <c r="J262" s="331"/>
      <c r="K262" s="331"/>
      <c r="L262" s="331"/>
      <c r="M262" s="331"/>
      <c r="N262" s="331"/>
      <c r="O262" s="331"/>
      <c r="P262" s="331"/>
      <c r="Q262" s="121">
        <f t="shared" si="32"/>
        <v>0</v>
      </c>
      <c r="R262" s="121">
        <f t="shared" si="33"/>
        <v>0</v>
      </c>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row>
    <row r="263" spans="1:41" ht="15.75" customHeight="1">
      <c r="A263" s="122" t="s">
        <v>169</v>
      </c>
      <c r="B263" s="318">
        <f>(GETPIVOTDATA(" %UG OnC Trad",'FTE Pivot Table'!$A$3,"State","OK","Type",7,"Type2","Two-Year"))*100</f>
        <v>72.25299291310209</v>
      </c>
      <c r="C263" s="319">
        <f>(GETPIVOTDATA(" %UG OffC Trad",'FTE Pivot Table'!$A$3,"State","OK","Type",7,"Type2","Two-Year"))*100</f>
        <v>6.703858422197606</v>
      </c>
      <c r="D263" s="340">
        <f t="shared" si="31"/>
        <v>21.043148664700308</v>
      </c>
      <c r="E263" s="318">
        <f>(GETPIVOTDATA(" %UG EL Web",'FTE Pivot Table'!$A$3,"State","OK","Type",7,"Type2","Two-Year"))*100</f>
        <v>15.189451065703953</v>
      </c>
      <c r="F263" s="318">
        <f>(GETPIVOTDATA(" % UG EL CV",'FTE Pivot Table'!$A$3,"State","OK","Type",7,"Type2","Two-Year"))*100</f>
        <v>5.5133663432407545</v>
      </c>
      <c r="G263" s="319">
        <f>(GETPIVOTDATA(" %UG EL O",'FTE Pivot Table'!$A$3,"State","OK","Type",7,"Type2","Two-Year"))*100</f>
        <v>0.34033125575560214</v>
      </c>
      <c r="H263" s="318">
        <f>(GETPIVOTDATA(" %UG Cor",'FTE Pivot Table'!$A$3,"State","OK","Type",7,"Type2","Two-Year"))*100</f>
        <v>0</v>
      </c>
      <c r="I263" s="122"/>
      <c r="J263" s="331"/>
      <c r="K263" s="331"/>
      <c r="L263" s="331"/>
      <c r="M263" s="331"/>
      <c r="N263" s="331"/>
      <c r="O263" s="331"/>
      <c r="P263" s="331"/>
      <c r="Q263" s="121">
        <f t="shared" si="32"/>
        <v>100.00000000000001</v>
      </c>
      <c r="R263" s="121">
        <f t="shared" si="33"/>
        <v>0</v>
      </c>
      <c r="S263" s="134"/>
      <c r="T263" s="27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row>
    <row r="264" spans="1:41" ht="15.75" customHeight="1">
      <c r="A264" s="122" t="s">
        <v>542</v>
      </c>
      <c r="B264" s="318">
        <f>(GETPIVOTDATA(" %UG OnC Trad",'FTE Pivot Table'!$A$3,"State","SC","Type",7,"Type2","Two-Year"))*100</f>
        <v>0</v>
      </c>
      <c r="C264" s="319">
        <f>(GETPIVOTDATA(" %UG OffC Trad",'FTE Pivot Table'!$A$3,"State","SC","Type",7,"Type2","Two-Year"))*100</f>
        <v>0</v>
      </c>
      <c r="D264" s="340">
        <f t="shared" si="31"/>
        <v>0</v>
      </c>
      <c r="E264" s="318">
        <f>(GETPIVOTDATA(" %UG EL Web",'FTE Pivot Table'!$A$3,"State","SC","Type",7,"Type2","Two-Year"))*100</f>
        <v>0</v>
      </c>
      <c r="F264" s="318">
        <f>(GETPIVOTDATA(" % UG EL CV",'FTE Pivot Table'!$A$3,"State","SC","Type",7,"Type2","Two-Year"))*100</f>
        <v>0</v>
      </c>
      <c r="G264" s="319">
        <f>(GETPIVOTDATA(" %UG EL O",'FTE Pivot Table'!$A$3,"State","SC","Type",7,"Type2","Two-Year"))*100</f>
        <v>0</v>
      </c>
      <c r="H264" s="318">
        <f>(GETPIVOTDATA(" %UG Cor",'FTE Pivot Table'!$A$3,"State","SC","Type",7,"Type2","Two-Year"))*100</f>
        <v>0</v>
      </c>
      <c r="I264" s="122"/>
      <c r="J264" s="331"/>
      <c r="K264" s="331"/>
      <c r="L264" s="331"/>
      <c r="M264" s="331"/>
      <c r="N264" s="331"/>
      <c r="O264" s="331"/>
      <c r="P264" s="331"/>
      <c r="Q264" s="121">
        <f t="shared" si="32"/>
        <v>0</v>
      </c>
      <c r="R264" s="121">
        <f t="shared" si="33"/>
        <v>0</v>
      </c>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row>
    <row r="265" spans="1:41" ht="15.75" customHeight="1">
      <c r="A265" s="122"/>
      <c r="B265" s="318"/>
      <c r="C265" s="319"/>
      <c r="D265" s="340">
        <f t="shared" si="31"/>
        <v>0</v>
      </c>
      <c r="E265" s="318"/>
      <c r="F265" s="318"/>
      <c r="G265" s="319"/>
      <c r="H265" s="318"/>
      <c r="I265" s="122"/>
      <c r="J265" s="331"/>
      <c r="K265" s="331"/>
      <c r="L265" s="331"/>
      <c r="M265" s="331"/>
      <c r="N265" s="331"/>
      <c r="O265" s="331"/>
      <c r="P265" s="331"/>
      <c r="Q265" s="121">
        <f t="shared" si="32"/>
        <v>0</v>
      </c>
      <c r="R265" s="121">
        <f t="shared" si="33"/>
        <v>0</v>
      </c>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row>
    <row r="266" spans="1:41" ht="15.75" customHeight="1">
      <c r="A266" s="122" t="s">
        <v>543</v>
      </c>
      <c r="B266" s="318">
        <f>(GETPIVOTDATA(" %UG OnC Trad",'FTE Pivot Table'!$A$3,"State","TN","Type",7,"Type2","Two-Year"))*100</f>
        <v>0</v>
      </c>
      <c r="C266" s="319">
        <f>(GETPIVOTDATA(" %UG OffC Trad",'FTE Pivot Table'!$A$3,"State","TN","Type",7,"Type2","Two-Year"))*100</f>
        <v>0</v>
      </c>
      <c r="D266" s="340">
        <f t="shared" si="31"/>
        <v>0</v>
      </c>
      <c r="E266" s="318">
        <f>(GETPIVOTDATA(" %UG EL Web",'FTE Pivot Table'!$A$3,"State","TN","Type",7,"Type2","Two-Year"))*100</f>
        <v>0</v>
      </c>
      <c r="F266" s="318">
        <f>(GETPIVOTDATA(" % UG EL CV",'FTE Pivot Table'!$A$3,"State","TN","Type",7,"Type2","Two-Year"))*100</f>
        <v>0</v>
      </c>
      <c r="G266" s="319">
        <f>(GETPIVOTDATA(" %UG EL O",'FTE Pivot Table'!$A$3,"State","TN","Type",7,"Type2","Two-Year"))*100</f>
        <v>0</v>
      </c>
      <c r="H266" s="318">
        <f>(GETPIVOTDATA(" %UG Cor",'FTE Pivot Table'!$A$3,"State","TN","Type",7,"Type2","Two-Year"))*100</f>
        <v>0</v>
      </c>
      <c r="I266" s="122"/>
      <c r="J266" s="331"/>
      <c r="K266" s="331"/>
      <c r="L266" s="331"/>
      <c r="M266" s="331"/>
      <c r="N266" s="331"/>
      <c r="O266" s="331"/>
      <c r="P266" s="331"/>
      <c r="Q266" s="121">
        <f t="shared" si="32"/>
        <v>0</v>
      </c>
      <c r="R266" s="121">
        <f t="shared" si="33"/>
        <v>0</v>
      </c>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row>
    <row r="267" spans="1:41" ht="15.75" customHeight="1">
      <c r="A267" s="122" t="s">
        <v>277</v>
      </c>
      <c r="B267" s="318">
        <f>(GETPIVOTDATA(" %UG Onc Trad",'FTE Pivot Table'!$A$3,"State","TX","Type",7,"Type2","Two-Year"))*100</f>
        <v>0</v>
      </c>
      <c r="C267" s="319">
        <f>(GETPIVOTDATA(" %UG OffC Trad",'FTE Pivot Table'!$A$3,"State","TX","Type",7,"Type2","Two-Year"))*100</f>
        <v>0</v>
      </c>
      <c r="D267" s="340">
        <f t="shared" si="31"/>
        <v>0</v>
      </c>
      <c r="E267" s="318">
        <f>(GETPIVOTDATA(" %UG EL Web",'FTE Pivot Table'!$A$3,"State","TX","Type",7,"Type2","Two-Year"))*100</f>
        <v>0</v>
      </c>
      <c r="F267" s="318">
        <f>(GETPIVOTDATA(" % UG EL CV",'FTE Pivot Table'!$A$3,"State","TX","Type",7,"Type2","Two-Year"))*100</f>
        <v>0</v>
      </c>
      <c r="G267" s="319">
        <f>(GETPIVOTDATA(" %UG EL O",'FTE Pivot Table'!$A$3,"State","TX","Type",7,"Type2","Two-Year"))*100</f>
        <v>0</v>
      </c>
      <c r="H267" s="318">
        <f>(GETPIVOTDATA(" %UG Cor",'FTE Pivot Table'!$A$3,"State","TX","Type",7,"Type2","Two-Year"))*100</f>
        <v>0</v>
      </c>
      <c r="I267" s="122"/>
      <c r="J267" s="331"/>
      <c r="K267" s="331"/>
      <c r="L267" s="331"/>
      <c r="M267" s="331"/>
      <c r="N267" s="331"/>
      <c r="O267" s="331"/>
      <c r="P267" s="331"/>
      <c r="Q267" s="121">
        <f t="shared" si="32"/>
        <v>0</v>
      </c>
      <c r="R267" s="121">
        <f t="shared" si="33"/>
        <v>0</v>
      </c>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row>
    <row r="268" spans="1:41" ht="15.75" customHeight="1">
      <c r="A268" s="122" t="s">
        <v>544</v>
      </c>
      <c r="B268" s="318">
        <f>(GETPIVOTDATA(" %UG OnC Trad",'FTE Pivot Table'!$A$3,"State","VA","Type",7,"Type2","Two-Year"))*100</f>
        <v>0</v>
      </c>
      <c r="C268" s="319">
        <f>(GETPIVOTDATA(" %UG OffC Trad",'FTE Pivot Table'!$A$3,"State","VA","Type",7,"Type2","Two-Year"))*100</f>
        <v>0</v>
      </c>
      <c r="D268" s="340">
        <f t="shared" si="31"/>
        <v>0</v>
      </c>
      <c r="E268" s="318">
        <f>(GETPIVOTDATA(" %UG EL Web",'FTE Pivot Table'!$A$3,"State","VA","Type",7,"Type2","Two-Year"))*100</f>
        <v>0</v>
      </c>
      <c r="F268" s="318">
        <f>(GETPIVOTDATA(" % UG EL CV",'FTE Pivot Table'!$A$3,"State","VA","Type",7,"Type2","Two-Year"))*100</f>
        <v>0</v>
      </c>
      <c r="G268" s="319">
        <f>(GETPIVOTDATA(" %UG EL O",'FTE Pivot Table'!$A$3,"State","VA","Type",7,"Type2","Two-Year"))*100</f>
        <v>0</v>
      </c>
      <c r="H268" s="318">
        <f>(GETPIVOTDATA(" %UG Cor",'FTE Pivot Table'!$A$3,"State","VA","Type",7,"Type2","Two-Year"))*100</f>
        <v>0</v>
      </c>
      <c r="I268" s="122"/>
      <c r="J268" s="331"/>
      <c r="K268" s="331"/>
      <c r="L268" s="331"/>
      <c r="M268" s="331"/>
      <c r="N268" s="331"/>
      <c r="O268" s="331"/>
      <c r="P268" s="331"/>
      <c r="Q268" s="121">
        <f t="shared" si="32"/>
        <v>0</v>
      </c>
      <c r="R268" s="121">
        <f t="shared" si="33"/>
        <v>0</v>
      </c>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row>
    <row r="269" spans="1:41" ht="15.75" customHeight="1">
      <c r="A269" s="116" t="s">
        <v>637</v>
      </c>
      <c r="B269" s="317">
        <f>(GETPIVOTDATA(" %UG OnC Trad",'FTE Pivot Table'!$A$3,"State","WV","Type",7,"Type2","Two-Year"))*100</f>
        <v>68.6617038021391</v>
      </c>
      <c r="C269" s="320">
        <f>(GETPIVOTDATA(" %UG OffC Trad",'FTE Pivot Table'!$A$3,"State","WV","Type",7,"Type2","Two-Year"))*100</f>
        <v>22.749616173605645</v>
      </c>
      <c r="D269" s="342">
        <f t="shared" si="31"/>
        <v>8.588680024255249</v>
      </c>
      <c r="E269" s="317">
        <f>(GETPIVOTDATA(" %UG EL Web",'FTE Pivot Table'!$A$3,"State","WV","Type",7,"Type2","Two-Year"))*100</f>
        <v>7.861022590924925</v>
      </c>
      <c r="F269" s="317">
        <f>(GETPIVOTDATA(" % UG EL CV",'FTE Pivot Table'!$A$3,"State","WV","Type",7,"Type2","Two-Year"))*100</f>
        <v>0</v>
      </c>
      <c r="G269" s="320">
        <f>(GETPIVOTDATA(" %UG EL O",'FTE Pivot Table'!$A$3,"State","WV","Type",7,"Type2","Two-Year"))*100</f>
        <v>0.727657433330323</v>
      </c>
      <c r="H269" s="317">
        <f>(GETPIVOTDATA(" %UG Cor",'FTE Pivot Table'!$A$3,"State","WV","Type",7,"Type2","Two-Year"))*100</f>
        <v>0</v>
      </c>
      <c r="I269" s="122"/>
      <c r="J269" s="331"/>
      <c r="K269" s="331"/>
      <c r="L269" s="331"/>
      <c r="M269" s="331"/>
      <c r="N269" s="331"/>
      <c r="O269" s="331"/>
      <c r="P269" s="331"/>
      <c r="Q269" s="121">
        <f t="shared" si="32"/>
        <v>100</v>
      </c>
      <c r="R269" s="121">
        <f t="shared" si="33"/>
        <v>0</v>
      </c>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row>
    <row r="270" spans="1:41" s="279" customFormat="1" ht="18" customHeight="1">
      <c r="A270" s="347" t="s">
        <v>634</v>
      </c>
      <c r="B270" s="283"/>
      <c r="C270" s="283"/>
      <c r="D270" s="284"/>
      <c r="E270" s="283"/>
      <c r="F270" s="284"/>
      <c r="G270" s="284"/>
      <c r="H270" s="283"/>
      <c r="I270" s="347"/>
      <c r="J270" s="283"/>
      <c r="K270" s="283"/>
      <c r="L270" s="284"/>
      <c r="M270" s="283"/>
      <c r="N270" s="284"/>
      <c r="O270" s="284"/>
      <c r="P270" s="283"/>
      <c r="Q270" s="283"/>
      <c r="R270" s="283"/>
      <c r="S270" s="285"/>
      <c r="T270" s="285"/>
      <c r="U270" s="285"/>
      <c r="V270" s="285"/>
      <c r="W270" s="285"/>
      <c r="X270" s="285"/>
      <c r="Y270" s="285"/>
      <c r="Z270" s="285"/>
      <c r="AA270" s="285"/>
      <c r="AB270" s="285"/>
      <c r="AC270" s="285"/>
      <c r="AD270" s="285"/>
      <c r="AE270" s="285"/>
      <c r="AF270" s="285"/>
      <c r="AG270" s="285"/>
      <c r="AH270" s="285"/>
      <c r="AI270" s="285"/>
      <c r="AJ270" s="285"/>
      <c r="AK270" s="285"/>
      <c r="AL270" s="285"/>
      <c r="AM270" s="285"/>
      <c r="AN270" s="285"/>
      <c r="AO270" s="285"/>
    </row>
    <row r="271" spans="1:18" s="279" customFormat="1" ht="13.5" customHeight="1">
      <c r="A271" s="348" t="s">
        <v>638</v>
      </c>
      <c r="B271" s="278"/>
      <c r="H271" s="277"/>
      <c r="I271" s="347"/>
      <c r="P271" s="280"/>
      <c r="Q271" s="281"/>
      <c r="R271" s="282"/>
    </row>
    <row r="272" spans="8:18" s="279" customFormat="1" ht="13.5" customHeight="1">
      <c r="H272" s="277"/>
      <c r="I272" s="348"/>
      <c r="Q272" s="281"/>
      <c r="R272" s="282"/>
    </row>
    <row r="273" spans="1:18" s="279" customFormat="1" ht="11.25">
      <c r="A273" s="277"/>
      <c r="B273" s="283"/>
      <c r="C273" s="283"/>
      <c r="D273" s="284"/>
      <c r="E273" s="283"/>
      <c r="F273" s="284"/>
      <c r="G273" s="284"/>
      <c r="H273" s="351" t="s">
        <v>642</v>
      </c>
      <c r="I273" s="286"/>
      <c r="J273" s="277"/>
      <c r="K273" s="277"/>
      <c r="L273" s="277"/>
      <c r="M273" s="277"/>
      <c r="N273" s="277"/>
      <c r="O273" s="277"/>
      <c r="P273" s="277"/>
      <c r="Q273" s="281"/>
      <c r="R273" s="282"/>
    </row>
    <row r="274" spans="1:17" ht="18">
      <c r="A274" s="113" t="s">
        <v>586</v>
      </c>
      <c r="B274" s="114"/>
      <c r="C274" s="114"/>
      <c r="D274" s="114"/>
      <c r="E274" s="114"/>
      <c r="F274" s="114"/>
      <c r="G274" s="114"/>
      <c r="H274" s="132"/>
      <c r="I274" s="131"/>
      <c r="J274" s="122"/>
      <c r="K274" s="122"/>
      <c r="L274" s="122"/>
      <c r="M274" s="122"/>
      <c r="N274" s="122"/>
      <c r="O274" s="122"/>
      <c r="P274" s="122"/>
      <c r="Q274" s="270"/>
    </row>
    <row r="275" spans="1:16" ht="12.75">
      <c r="A275" s="293"/>
      <c r="B275" s="115"/>
      <c r="C275" s="115"/>
      <c r="D275" s="115"/>
      <c r="E275" s="115"/>
      <c r="F275" s="115"/>
      <c r="G275" s="115"/>
      <c r="H275" s="127"/>
      <c r="I275" s="131"/>
      <c r="J275" s="122"/>
      <c r="K275" s="122"/>
      <c r="L275" s="122"/>
      <c r="M275" s="122"/>
      <c r="N275" s="122"/>
      <c r="O275" s="122"/>
      <c r="P275" s="122"/>
    </row>
    <row r="276" spans="1:16" ht="15.75">
      <c r="A276" s="124" t="s">
        <v>617</v>
      </c>
      <c r="B276" s="115"/>
      <c r="C276" s="115"/>
      <c r="D276" s="115"/>
      <c r="E276" s="115"/>
      <c r="F276" s="115"/>
      <c r="G276" s="115"/>
      <c r="H276" s="127"/>
      <c r="I276" s="131"/>
      <c r="J276" s="122"/>
      <c r="K276" s="122"/>
      <c r="L276" s="122"/>
      <c r="M276" s="122"/>
      <c r="N276" s="122"/>
      <c r="O276" s="122"/>
      <c r="P276" s="122"/>
    </row>
    <row r="277" spans="1:16" ht="15.75">
      <c r="A277" s="124" t="s">
        <v>555</v>
      </c>
      <c r="B277" s="115"/>
      <c r="C277" s="115"/>
      <c r="D277" s="115"/>
      <c r="E277" s="115"/>
      <c r="F277" s="115"/>
      <c r="G277" s="115"/>
      <c r="H277" s="127"/>
      <c r="I277" s="131"/>
      <c r="J277" s="122"/>
      <c r="K277" s="122"/>
      <c r="L277" s="122"/>
      <c r="M277" s="122"/>
      <c r="N277" s="122"/>
      <c r="O277" s="122"/>
      <c r="P277" s="122"/>
    </row>
    <row r="278" spans="1:16" ht="12.75">
      <c r="A278" s="116"/>
      <c r="B278" s="117"/>
      <c r="C278" s="117"/>
      <c r="D278" s="117"/>
      <c r="E278" s="117"/>
      <c r="F278" s="117"/>
      <c r="G278" s="117"/>
      <c r="H278" s="117"/>
      <c r="I278" s="131"/>
      <c r="J278" s="122"/>
      <c r="K278" s="122"/>
      <c r="L278" s="122"/>
      <c r="M278" s="122"/>
      <c r="N278" s="122"/>
      <c r="O278" s="122"/>
      <c r="P278" s="122"/>
    </row>
    <row r="279" spans="1:16" ht="12.75">
      <c r="A279" s="300"/>
      <c r="B279" s="301" t="s">
        <v>279</v>
      </c>
      <c r="C279" s="301"/>
      <c r="D279" s="301"/>
      <c r="E279" s="301"/>
      <c r="F279" s="301"/>
      <c r="G279" s="301"/>
      <c r="H279" s="302"/>
      <c r="I279" s="131"/>
      <c r="J279" s="122"/>
      <c r="K279" s="122"/>
      <c r="L279" s="122"/>
      <c r="M279" s="122"/>
      <c r="N279" s="122"/>
      <c r="O279" s="122"/>
      <c r="P279" s="122"/>
    </row>
    <row r="280" spans="1:16" ht="12.75">
      <c r="A280" s="300"/>
      <c r="B280" s="301" t="s">
        <v>173</v>
      </c>
      <c r="C280" s="301"/>
      <c r="D280" s="370" t="s">
        <v>629</v>
      </c>
      <c r="E280" s="371"/>
      <c r="F280" s="371"/>
      <c r="G280" s="371"/>
      <c r="H280" s="306" t="s">
        <v>2</v>
      </c>
      <c r="I280" s="131"/>
      <c r="J280" s="122"/>
      <c r="K280" s="122"/>
      <c r="L280" s="122"/>
      <c r="M280" s="122"/>
      <c r="N280" s="122"/>
      <c r="O280" s="122"/>
      <c r="P280" s="122"/>
    </row>
    <row r="281" spans="1:16" ht="36">
      <c r="A281" s="300"/>
      <c r="B281" s="307" t="s">
        <v>612</v>
      </c>
      <c r="C281" s="308" t="s">
        <v>611</v>
      </c>
      <c r="D281" s="309" t="s">
        <v>626</v>
      </c>
      <c r="E281" s="310" t="s">
        <v>0</v>
      </c>
      <c r="F281" s="307" t="s">
        <v>174</v>
      </c>
      <c r="G281" s="311" t="s">
        <v>631</v>
      </c>
      <c r="H281" s="312" t="s">
        <v>630</v>
      </c>
      <c r="I281" s="131"/>
      <c r="J281" s="122"/>
      <c r="K281" s="122"/>
      <c r="L281" s="122"/>
      <c r="M281" s="122"/>
      <c r="N281" s="122"/>
      <c r="O281" s="122"/>
      <c r="P281" s="122"/>
    </row>
    <row r="282" spans="1:41" ht="15.75" customHeight="1">
      <c r="A282" s="123" t="s">
        <v>534</v>
      </c>
      <c r="B282" s="318">
        <f>(GETPIVOTDATA(" %UG OnC Trad",'FTE Pivot Table'!$A$3,"State","AL","Type",8,"Type2","Two-Year"))*100</f>
        <v>0</v>
      </c>
      <c r="C282" s="319">
        <f>(GETPIVOTDATA(" %UG OffC Trad",'FTE Pivot Table'!$A$3,"State","AL","Type",8,"Type2","Two-Year"))*100</f>
        <v>0</v>
      </c>
      <c r="D282" s="340">
        <f aca="true" t="shared" si="34" ref="D282:D300">SUM(E282:G282)</f>
        <v>0</v>
      </c>
      <c r="E282" s="318">
        <f>(GETPIVOTDATA(" %UG EL Web",'FTE Pivot Table'!$A$3,"State","AL","Type",8,"Type2","Two-Year"))*100</f>
        <v>0</v>
      </c>
      <c r="F282" s="341">
        <f>(GETPIVOTDATA(" % UG EL CV",'FTE Pivot Table'!$A$3,"State","AL","Type",8,"Type2","Two-Year"))*100</f>
        <v>0</v>
      </c>
      <c r="G282" s="319">
        <f>(GETPIVOTDATA(" %UG EL O",'FTE Pivot Table'!$A$3,"State","AL","Type",8,"Type2","Two-Year"))*100</f>
        <v>0</v>
      </c>
      <c r="H282" s="318">
        <f>(GETPIVOTDATA(" %UG Cor",'FTE Pivot Table'!$A$3,"State","AL","Type",8,"Type2","Two-Year"))*100</f>
        <v>0</v>
      </c>
      <c r="I282" s="122"/>
      <c r="J282" s="331"/>
      <c r="K282" s="331"/>
      <c r="L282" s="331"/>
      <c r="M282" s="331"/>
      <c r="N282" s="331"/>
      <c r="O282" s="331"/>
      <c r="P282" s="331"/>
      <c r="Q282" s="121">
        <f aca="true" t="shared" si="35" ref="Q282:Q300">SUM(B282,C282,D282,H282)</f>
        <v>0</v>
      </c>
      <c r="R282" s="121">
        <f aca="true" t="shared" si="36" ref="R282:R300">SUM(J282,K282,L282,P282)</f>
        <v>0</v>
      </c>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row>
    <row r="283" spans="1:41" ht="15.75" customHeight="1">
      <c r="A283" s="122" t="s">
        <v>535</v>
      </c>
      <c r="B283" s="318">
        <f>(GETPIVOTDATA(" %UG OnC Trad",'FTE Pivot Table'!$A$3,"State","AR","Type",8,"Type2","Two-Year"))*100</f>
        <v>0</v>
      </c>
      <c r="C283" s="319">
        <f>(GETPIVOTDATA(" %UG OffC Trad",'FTE Pivot Table'!$A$3,"State","AR","Type",8,"Type2","Two-Year"))*100</f>
        <v>0</v>
      </c>
      <c r="D283" s="340">
        <f t="shared" si="34"/>
        <v>0</v>
      </c>
      <c r="E283" s="318">
        <f>(GETPIVOTDATA(" %UG EL Web",'FTE Pivot Table'!$A$3,"State","AR","Type",8,"Type2","Two-Year"))*100</f>
        <v>0</v>
      </c>
      <c r="F283" s="318">
        <f>(GETPIVOTDATA(" % UG EL CV",'FTE Pivot Table'!$A$3,"State","AR","Type",8,"Type2","Two-Year"))*100</f>
        <v>0</v>
      </c>
      <c r="G283" s="319">
        <f>(GETPIVOTDATA(" %UG EL O",'FTE Pivot Table'!$A$3,"State","AR","Type",8,"Type2","Two-Year"))*100</f>
        <v>0</v>
      </c>
      <c r="H283" s="318">
        <f>(GETPIVOTDATA(" %UG Cor",'FTE Pivot Table'!$A$3,"State","AR","Type",8,"Type2","Two-Year"))*100</f>
        <v>0</v>
      </c>
      <c r="I283" s="122"/>
      <c r="J283" s="331"/>
      <c r="K283" s="331"/>
      <c r="L283" s="331"/>
      <c r="M283" s="331"/>
      <c r="N283" s="331"/>
      <c r="O283" s="331"/>
      <c r="P283" s="331"/>
      <c r="Q283" s="121">
        <f t="shared" si="35"/>
        <v>0</v>
      </c>
      <c r="R283" s="121">
        <f t="shared" si="36"/>
        <v>0</v>
      </c>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row>
    <row r="284" spans="1:41" ht="15.75" customHeight="1">
      <c r="A284" s="122" t="s">
        <v>536</v>
      </c>
      <c r="B284" s="318">
        <f>(GETPIVOTDATA(" %UG OnC Trad",'FTE Pivot Table'!$A$3,"State","DE","Type",8,"Type2","Two-Year"))*100</f>
        <v>0</v>
      </c>
      <c r="C284" s="319">
        <f>(GETPIVOTDATA(" %UG OffC Trad",'FTE Pivot Table'!$A$3,"State","DE","Type",8,"Type2","Two-Year"))*100</f>
        <v>0</v>
      </c>
      <c r="D284" s="340">
        <f t="shared" si="34"/>
        <v>0</v>
      </c>
      <c r="E284" s="318">
        <f>(GETPIVOTDATA(" %UG EL Web",'FTE Pivot Table'!$A$3,"State","DE","Type",8,"Type2","Two-Year"))*100</f>
        <v>0</v>
      </c>
      <c r="F284" s="318">
        <f>(GETPIVOTDATA(" % UG EL CV",'FTE Pivot Table'!$A$3,"State","DE","Type",8,"Type2","Two-Year"))*100</f>
        <v>0</v>
      </c>
      <c r="G284" s="319">
        <f>(GETPIVOTDATA(" %UG EL O",'FTE Pivot Table'!$A$3,"State","DE","Type",8,"Type2","Two-Year"))*100</f>
        <v>0</v>
      </c>
      <c r="H284" s="318">
        <f>(GETPIVOTDATA(" %UG Cor",'FTE Pivot Table'!$A$3,"State","DE","Type",8,"Type2","Two-Year"))*100</f>
        <v>0</v>
      </c>
      <c r="I284" s="122"/>
      <c r="J284" s="331"/>
      <c r="K284" s="331"/>
      <c r="L284" s="331"/>
      <c r="M284" s="331"/>
      <c r="N284" s="331"/>
      <c r="O284" s="331"/>
      <c r="P284" s="331"/>
      <c r="Q284" s="121">
        <f t="shared" si="35"/>
        <v>0</v>
      </c>
      <c r="R284" s="121">
        <f t="shared" si="36"/>
        <v>0</v>
      </c>
      <c r="S284" s="134"/>
      <c r="T284" s="27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row>
    <row r="285" spans="1:41" ht="15.75" customHeight="1">
      <c r="A285" s="122" t="s">
        <v>537</v>
      </c>
      <c r="B285" s="318">
        <f>(GETPIVOTDATA(" %UG OnC Trad",'FTE Pivot Table'!$A$3,"State","FL","Type",8,"Type2","Two-Year"))*100</f>
        <v>92.87228089457166</v>
      </c>
      <c r="C285" s="319">
        <f>(GETPIVOTDATA(" %UG OffC Trad",'FTE Pivot Table'!$A$3,"State","FL","Type",8,"Type2","Two-Year"))*100</f>
        <v>0</v>
      </c>
      <c r="D285" s="340">
        <f t="shared" si="34"/>
        <v>6.788914989377059</v>
      </c>
      <c r="E285" s="318">
        <f>(GETPIVOTDATA(" %UG EL Web",'FTE Pivot Table'!$A$3,"State","FL","Type",8,"Type2","Two-Year"))*100</f>
        <v>4.823365053811295</v>
      </c>
      <c r="F285" s="318">
        <f>(GETPIVOTDATA(" % UG EL CV",'FTE Pivot Table'!$A$3,"State","FL","Type",8,"Type2","Two-Year"))*100</f>
        <v>0.2263131619988932</v>
      </c>
      <c r="G285" s="319">
        <f>(GETPIVOTDATA(" %UG EL O",'FTE Pivot Table'!$A$3,"State","FL","Type",8,"Type2","Two-Year"))*100</f>
        <v>1.7392367735668701</v>
      </c>
      <c r="H285" s="318">
        <f>(GETPIVOTDATA(" %UG Cor",'FTE Pivot Table'!$A$3,"State","FL","Type",8,"Type2","Two-Year"))*100</f>
        <v>0.33880411605128424</v>
      </c>
      <c r="I285" s="122"/>
      <c r="J285" s="331"/>
      <c r="K285" s="331"/>
      <c r="L285" s="331"/>
      <c r="M285" s="331"/>
      <c r="N285" s="331"/>
      <c r="O285" s="331"/>
      <c r="P285" s="331"/>
      <c r="Q285" s="121">
        <f t="shared" si="35"/>
        <v>100</v>
      </c>
      <c r="R285" s="121">
        <f t="shared" si="36"/>
        <v>0</v>
      </c>
      <c r="S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row>
    <row r="286" spans="1:41" ht="15.75" customHeight="1">
      <c r="A286" s="122"/>
      <c r="B286" s="318"/>
      <c r="C286" s="319"/>
      <c r="D286" s="340">
        <f t="shared" si="34"/>
        <v>0</v>
      </c>
      <c r="E286" s="318"/>
      <c r="F286" s="318"/>
      <c r="G286" s="319"/>
      <c r="H286" s="318"/>
      <c r="I286" s="122"/>
      <c r="J286" s="331"/>
      <c r="K286" s="331"/>
      <c r="L286" s="331"/>
      <c r="M286" s="331"/>
      <c r="N286" s="331"/>
      <c r="O286" s="331"/>
      <c r="P286" s="331"/>
      <c r="Q286" s="121">
        <f t="shared" si="35"/>
        <v>0</v>
      </c>
      <c r="R286" s="121">
        <f t="shared" si="36"/>
        <v>0</v>
      </c>
      <c r="S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row>
    <row r="287" spans="1:41" ht="15.75" customHeight="1">
      <c r="A287" s="122" t="s">
        <v>538</v>
      </c>
      <c r="B287" s="318">
        <f>(GETPIVOTDATA(" %UG OnC Trad",'FTE Pivot Table'!$A$3,"State","GA","Type",8,"Type2","Two-Year"))*100</f>
        <v>93.0251798561151</v>
      </c>
      <c r="C287" s="319">
        <f>(GETPIVOTDATA(" %UG OffC Trad",'FTE Pivot Table'!$A$3,"State","GA","Type",8,"Type2","Two-Year"))*100</f>
        <v>2.081160071942446</v>
      </c>
      <c r="D287" s="340">
        <f t="shared" si="34"/>
        <v>4.8936600719424455</v>
      </c>
      <c r="E287" s="318">
        <f>(GETPIVOTDATA(" %UG EL Web",'FTE Pivot Table'!$A$3,"State","GA","Type",8,"Type2","Two-Year"))*100</f>
        <v>3.4249999999999994</v>
      </c>
      <c r="F287" s="318">
        <f>(GETPIVOTDATA(" % UG EL CV",'FTE Pivot Table'!$A$3,"State","GA","Type",8,"Type2","Two-Year"))*100</f>
        <v>0.07778776978417266</v>
      </c>
      <c r="G287" s="319">
        <f>(GETPIVOTDATA(" %UG EL O",'FTE Pivot Table'!$A$3,"State","GA","Type",8,"Type2","Two-Year"))*100</f>
        <v>1.3908723021582736</v>
      </c>
      <c r="H287" s="318">
        <f>(GETPIVOTDATA(" %UG Cor",'FTE Pivot Table'!$A$3,"State","GA","Type",8,"Type2","Two-Year"))*100</f>
        <v>0</v>
      </c>
      <c r="I287" s="122"/>
      <c r="J287" s="331"/>
      <c r="K287" s="331"/>
      <c r="L287" s="331"/>
      <c r="M287" s="331"/>
      <c r="N287" s="331"/>
      <c r="O287" s="331"/>
      <c r="P287" s="331"/>
      <c r="Q287" s="121">
        <f t="shared" si="35"/>
        <v>100</v>
      </c>
      <c r="R287" s="121">
        <f t="shared" si="36"/>
        <v>0</v>
      </c>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row>
    <row r="288" spans="1:41" ht="15.75" customHeight="1">
      <c r="A288" s="122" t="s">
        <v>539</v>
      </c>
      <c r="B288" s="318">
        <f>(GETPIVOTDATA(" %UG OnC Trad",'FTE Pivot Table'!$A$3,"State","KY","Type",8,"Type2","Two-Year"))*100</f>
        <v>92.50614082408902</v>
      </c>
      <c r="C288" s="319">
        <f>(GETPIVOTDATA(" %UG OffC Trad",'FTE Pivot Table'!$A$3,"State","KY","Type",8,"Type2","Two-Year"))*100</f>
        <v>2.0828141815383687</v>
      </c>
      <c r="D288" s="340">
        <f t="shared" si="34"/>
        <v>5.411044994372623</v>
      </c>
      <c r="E288" s="318">
        <f>(GETPIVOTDATA(" %UG EL Web",'FTE Pivot Table'!$A$3,"State","KY","Type",8,"Type2","Two-Year"))*100</f>
        <v>4.582136431722525</v>
      </c>
      <c r="F288" s="318">
        <f>(GETPIVOTDATA(" % UG EL CV",'FTE Pivot Table'!$A$3,"State","KY","Type",8,"Type2","Two-Year"))*100</f>
        <v>0.33599960567283443</v>
      </c>
      <c r="G288" s="319">
        <f>(GETPIVOTDATA(" %UG EL O",'FTE Pivot Table'!$A$3,"State","KY","Type",8,"Type2","Two-Year"))*100</f>
        <v>0.4929089569772632</v>
      </c>
      <c r="H288" s="318">
        <f>(GETPIVOTDATA(" %UG Cor",'FTE Pivot Table'!$A$3,"State","KY","Type",8,"Type2","Two-Year"))*100</f>
        <v>0</v>
      </c>
      <c r="I288" s="122"/>
      <c r="J288" s="331"/>
      <c r="K288" s="331"/>
      <c r="L288" s="331"/>
      <c r="M288" s="331"/>
      <c r="N288" s="331"/>
      <c r="O288" s="331"/>
      <c r="P288" s="331"/>
      <c r="Q288" s="121">
        <f t="shared" si="35"/>
        <v>100</v>
      </c>
      <c r="R288" s="121">
        <f t="shared" si="36"/>
        <v>0</v>
      </c>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row>
    <row r="289" spans="1:41" ht="15.75" customHeight="1">
      <c r="A289" s="122" t="s">
        <v>540</v>
      </c>
      <c r="B289" s="318">
        <f>(GETPIVOTDATA(" %UG OnC Trad",'FTE Pivot Table'!$A$3,"State","LA","Type",8,"Type2","Two-Year"))*100</f>
        <v>0</v>
      </c>
      <c r="C289" s="319">
        <f>(GETPIVOTDATA(" %UG OffC Trad",'FTE Pivot Table'!$A$3,"State","LA","Type",8,"Type2","Two-Year"))*100</f>
        <v>0</v>
      </c>
      <c r="D289" s="340">
        <f t="shared" si="34"/>
        <v>0</v>
      </c>
      <c r="E289" s="318">
        <f>(GETPIVOTDATA(" %UG EL Web",'FTE Pivot Table'!$A$3,"State","LA","Type",8,"Type2","Two-Year"))*100</f>
        <v>0</v>
      </c>
      <c r="F289" s="318">
        <f>(GETPIVOTDATA(" % UG EL CV",'FTE Pivot Table'!$A$3,"State","LA","Type",8,"Type2","Two-Year"))*100</f>
        <v>0</v>
      </c>
      <c r="G289" s="319">
        <f>(GETPIVOTDATA(" %UG EL O",'FTE Pivot Table'!$A$3,"State","LA","Type",8,"Type2","Two-Year"))*100</f>
        <v>0</v>
      </c>
      <c r="H289" s="318">
        <f>(GETPIVOTDATA(" %UG Cor",'FTE Pivot Table'!$A$3,"State","LA","Type",8,"Type2","Two-Year"))*100</f>
        <v>0</v>
      </c>
      <c r="I289" s="122"/>
      <c r="J289" s="331"/>
      <c r="K289" s="331"/>
      <c r="L289" s="331"/>
      <c r="M289" s="331"/>
      <c r="N289" s="331"/>
      <c r="O289" s="331"/>
      <c r="P289" s="331"/>
      <c r="Q289" s="121">
        <f t="shared" si="35"/>
        <v>0</v>
      </c>
      <c r="R289" s="121">
        <f t="shared" si="36"/>
        <v>0</v>
      </c>
      <c r="S289" s="134"/>
      <c r="T289" s="27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row>
    <row r="290" spans="1:41" ht="15.75" customHeight="1">
      <c r="A290" s="122" t="s">
        <v>541</v>
      </c>
      <c r="B290" s="318">
        <f>(GETPIVOTDATA(" %UG OnC Trad",'FTE Pivot Table'!$A$3,"State","MD","Type",8,"Type2","Two-Year"))*100</f>
        <v>91.77620729490033</v>
      </c>
      <c r="C290" s="319">
        <f>(GETPIVOTDATA(" %UG OffC Trad",'FTE Pivot Table'!$A$3,"State","MD","Type",8,"Type2","Two-Year"))*100</f>
        <v>2.10954449551092</v>
      </c>
      <c r="D290" s="340">
        <f t="shared" si="34"/>
        <v>6.114248209588749</v>
      </c>
      <c r="E290" s="318">
        <f>(GETPIVOTDATA(" %UG EL Web",'FTE Pivot Table'!$A$3,"State","MD","Type",8,"Type2","Two-Year"))*100</f>
        <v>5.361620809045451</v>
      </c>
      <c r="F290" s="318">
        <f>(GETPIVOTDATA(" % UG EL CV",'FTE Pivot Table'!$A$3,"State","MD","Type",8,"Type2","Two-Year"))*100</f>
        <v>0.7526274005432972</v>
      </c>
      <c r="G290" s="319">
        <f>(GETPIVOTDATA(" %UG EL O",'FTE Pivot Table'!$A$3,"State","MD","Type",8,"Type2","Two-Year"))*100</f>
        <v>0</v>
      </c>
      <c r="H290" s="318">
        <f>(GETPIVOTDATA(" %UG Cor",'FTE Pivot Table'!$A$3,"State","MD","Type",8,"Type2","Two-Year"))*100</f>
        <v>0</v>
      </c>
      <c r="I290" s="122"/>
      <c r="J290" s="331"/>
      <c r="K290" s="331"/>
      <c r="L290" s="331"/>
      <c r="M290" s="331"/>
      <c r="N290" s="331"/>
      <c r="O290" s="331"/>
      <c r="P290" s="331"/>
      <c r="Q290" s="121">
        <f t="shared" si="35"/>
        <v>100</v>
      </c>
      <c r="R290" s="121">
        <f t="shared" si="36"/>
        <v>0</v>
      </c>
      <c r="S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row>
    <row r="291" spans="1:41" ht="15.75" customHeight="1">
      <c r="A291" s="122"/>
      <c r="B291" s="318"/>
      <c r="C291" s="319"/>
      <c r="D291" s="340">
        <f t="shared" si="34"/>
        <v>0</v>
      </c>
      <c r="E291" s="318"/>
      <c r="F291" s="318"/>
      <c r="G291" s="319"/>
      <c r="H291" s="318"/>
      <c r="I291" s="122"/>
      <c r="J291" s="331"/>
      <c r="K291" s="331"/>
      <c r="L291" s="331"/>
      <c r="M291" s="331"/>
      <c r="N291" s="331"/>
      <c r="O291" s="331"/>
      <c r="P291" s="331"/>
      <c r="Q291" s="121">
        <f t="shared" si="35"/>
        <v>0</v>
      </c>
      <c r="R291" s="121">
        <f t="shared" si="36"/>
        <v>0</v>
      </c>
      <c r="S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row>
    <row r="292" spans="1:41" ht="15.75" customHeight="1">
      <c r="A292" s="122" t="s">
        <v>640</v>
      </c>
      <c r="B292" s="318">
        <f>(GETPIVOTDATA(" %UG OnC Trad",'FTE Pivot Table'!$A$3,"State","MS","Type",8,"Type2","Two-Year"))*100</f>
        <v>93.65171416056413</v>
      </c>
      <c r="C292" s="319">
        <f>(GETPIVOTDATA(" %UG OffC Trad",'FTE Pivot Table'!$A$3,"State","MS","Type",8,"Type2","Two-Year"))*100</f>
        <v>0</v>
      </c>
      <c r="D292" s="340">
        <f t="shared" si="34"/>
        <v>6.3482858394358725</v>
      </c>
      <c r="E292" s="318">
        <f>(GETPIVOTDATA(" %UG EL Web",'FTE Pivot Table'!$A$3,"State","MS","Type",8,"Type2","Two-Year"))*100</f>
        <v>6.3482858394358725</v>
      </c>
      <c r="F292" s="318">
        <f>(GETPIVOTDATA(" % UG EL CV",'FTE Pivot Table'!$A$3,"State","MS","Type",8,"Type2","Two-Year"))*100</f>
        <v>0</v>
      </c>
      <c r="G292" s="319">
        <f>(GETPIVOTDATA(" %UG EL O",'FTE Pivot Table'!$A$3,"State","MS","Type",8,"Type2","Two-Year"))*100</f>
        <v>0</v>
      </c>
      <c r="H292" s="318">
        <f>(GETPIVOTDATA(" %UG Cor",'FTE Pivot Table'!$A$3,"State","MS","Type",8,"Type2","Two-Year"))*100</f>
        <v>0</v>
      </c>
      <c r="I292" s="122"/>
      <c r="J292" s="331"/>
      <c r="K292" s="331"/>
      <c r="L292" s="331"/>
      <c r="M292" s="331"/>
      <c r="N292" s="331"/>
      <c r="O292" s="331"/>
      <c r="P292" s="331"/>
      <c r="Q292" s="121">
        <f t="shared" si="35"/>
        <v>100</v>
      </c>
      <c r="R292" s="121">
        <f t="shared" si="36"/>
        <v>0</v>
      </c>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row>
    <row r="293" spans="1:41" ht="15.75" customHeight="1">
      <c r="A293" s="122" t="s">
        <v>176</v>
      </c>
      <c r="B293" s="318">
        <f>(GETPIVOTDATA(" %UG OnC Trad",'FTE Pivot Table'!$A$3,"State","NC","Type",8,"Type2","Two-Year"))*100</f>
        <v>77.44044559249149</v>
      </c>
      <c r="C293" s="319">
        <f>(GETPIVOTDATA(" %UG OffC Trad",'FTE Pivot Table'!$A$3,"State","NC","Type",8,"Type2","Two-Year"))*100</f>
        <v>14.554717468750095</v>
      </c>
      <c r="D293" s="340">
        <f t="shared" si="34"/>
        <v>8.00483693875843</v>
      </c>
      <c r="E293" s="318">
        <f>(GETPIVOTDATA(" %UG EL Web",'FTE Pivot Table'!$A$3,"State","NC","Type",8,"Type2","Two-Year"))*100</f>
        <v>6.675761357758986</v>
      </c>
      <c r="F293" s="318">
        <f>(GETPIVOTDATA(" % UG EL CV",'FTE Pivot Table'!$A$3,"State","NC","Type",8,"Type2","Two-Year"))*100</f>
        <v>0.236028640369224</v>
      </c>
      <c r="G293" s="319">
        <f>(GETPIVOTDATA(" %UG EL O",'FTE Pivot Table'!$A$3,"State","NC","Type",8,"Type2","Two-Year"))*100</f>
        <v>1.0930469406302208</v>
      </c>
      <c r="H293" s="318">
        <f>(GETPIVOTDATA(" %UG Cor",'FTE Pivot Table'!$A$3,"State","NC","Type",8,"Type2","Two-Year"))*100</f>
        <v>0</v>
      </c>
      <c r="I293" s="122"/>
      <c r="J293" s="331"/>
      <c r="K293" s="331"/>
      <c r="L293" s="331"/>
      <c r="M293" s="331"/>
      <c r="N293" s="331"/>
      <c r="O293" s="331"/>
      <c r="P293" s="331"/>
      <c r="Q293" s="121">
        <f t="shared" si="35"/>
        <v>100.00000000000001</v>
      </c>
      <c r="R293" s="121">
        <f t="shared" si="36"/>
        <v>0</v>
      </c>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row>
    <row r="294" spans="1:41" ht="15.75" customHeight="1">
      <c r="A294" s="122" t="s">
        <v>169</v>
      </c>
      <c r="B294" s="318">
        <f>(GETPIVOTDATA(" %UG OnC Trad",'FTE Pivot Table'!$A$3,"State","OK","Type",8,"Type2","Two-Year"))*100</f>
        <v>82.85544446855415</v>
      </c>
      <c r="C294" s="319">
        <f>(GETPIVOTDATA(" %UG OffC Trad",'FTE Pivot Table'!$A$3,"State","OK","Type",8,"Type2","Two-Year"))*100</f>
        <v>4.214113661269941</v>
      </c>
      <c r="D294" s="340">
        <f t="shared" si="34"/>
        <v>11.981350026166126</v>
      </c>
      <c r="E294" s="318">
        <f>(GETPIVOTDATA(" %UG EL Web",'FTE Pivot Table'!$A$3,"State","OK","Type",8,"Type2","Two-Year"))*100</f>
        <v>9.498576818089818</v>
      </c>
      <c r="F294" s="318">
        <f>(GETPIVOTDATA(" % UG EL CV",'FTE Pivot Table'!$A$3,"State","OK","Type",8,"Type2","Two-Year"))*100</f>
        <v>0.2173520611065627</v>
      </c>
      <c r="G294" s="319">
        <f>(GETPIVOTDATA(" %UG EL O",'FTE Pivot Table'!$A$3,"State","OK","Type",8,"Type2","Two-Year"))*100</f>
        <v>2.265421146969744</v>
      </c>
      <c r="H294" s="318">
        <f>(GETPIVOTDATA(" %UG Cor",'FTE Pivot Table'!$A$3,"State","OK","Type",8,"Type2","Two-Year"))*100</f>
        <v>0.9490918440097809</v>
      </c>
      <c r="I294" s="122"/>
      <c r="J294" s="331"/>
      <c r="K294" s="331"/>
      <c r="L294" s="331"/>
      <c r="M294" s="331"/>
      <c r="N294" s="331"/>
      <c r="O294" s="331"/>
      <c r="P294" s="331"/>
      <c r="Q294" s="121">
        <f t="shared" si="35"/>
        <v>100</v>
      </c>
      <c r="R294" s="121">
        <f t="shared" si="36"/>
        <v>0</v>
      </c>
      <c r="S294" s="134"/>
      <c r="T294" s="27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row>
    <row r="295" spans="1:41" ht="15.75" customHeight="1">
      <c r="A295" s="122" t="s">
        <v>542</v>
      </c>
      <c r="B295" s="318">
        <f>(GETPIVOTDATA(" %UG OnC Trad",'FTE Pivot Table'!$A$3,"State","SC","Type",8,"Type2","Two-Year"))*100</f>
        <v>0</v>
      </c>
      <c r="C295" s="319">
        <f>(GETPIVOTDATA(" %UG OffC Trad",'FTE Pivot Table'!$A$3,"State","SC","Type",8,"Type2","Two-Year"))*100</f>
        <v>0</v>
      </c>
      <c r="D295" s="340">
        <f t="shared" si="34"/>
        <v>0</v>
      </c>
      <c r="E295" s="318">
        <f>(GETPIVOTDATA(" %UG EL Web",'FTE Pivot Table'!$A$3,"State","SC","Type",8,"Type2","Two-Year"))*100</f>
        <v>0</v>
      </c>
      <c r="F295" s="318">
        <f>(GETPIVOTDATA(" % UG EL CV",'FTE Pivot Table'!$A$3,"State","SC","Type",8,"Type2","Two-Year"))*100</f>
        <v>0</v>
      </c>
      <c r="G295" s="319">
        <f>(GETPIVOTDATA(" %UG EL O",'FTE Pivot Table'!$A$3,"State","SC","Type",8,"Type2","Two-Year"))*100</f>
        <v>0</v>
      </c>
      <c r="H295" s="318">
        <f>(GETPIVOTDATA(" %UG Cor",'FTE Pivot Table'!$A$3,"State","SC","Type",8,"Type2","Two-Year"))*100</f>
        <v>0</v>
      </c>
      <c r="I295" s="122"/>
      <c r="J295" s="331"/>
      <c r="K295" s="331"/>
      <c r="L295" s="331"/>
      <c r="M295" s="331"/>
      <c r="N295" s="331"/>
      <c r="O295" s="331"/>
      <c r="P295" s="331"/>
      <c r="Q295" s="121">
        <f t="shared" si="35"/>
        <v>0</v>
      </c>
      <c r="R295" s="121">
        <f t="shared" si="36"/>
        <v>0</v>
      </c>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row>
    <row r="296" spans="1:41" ht="15.75" customHeight="1">
      <c r="A296" s="122"/>
      <c r="B296" s="318"/>
      <c r="C296" s="319"/>
      <c r="D296" s="340">
        <f t="shared" si="34"/>
        <v>0</v>
      </c>
      <c r="E296" s="318"/>
      <c r="F296" s="318"/>
      <c r="G296" s="319"/>
      <c r="H296" s="318"/>
      <c r="I296" s="122"/>
      <c r="J296" s="331"/>
      <c r="K296" s="331"/>
      <c r="L296" s="331"/>
      <c r="M296" s="331"/>
      <c r="N296" s="331"/>
      <c r="O296" s="331"/>
      <c r="P296" s="331"/>
      <c r="Q296" s="121">
        <f t="shared" si="35"/>
        <v>0</v>
      </c>
      <c r="R296" s="121">
        <f t="shared" si="36"/>
        <v>0</v>
      </c>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row>
    <row r="297" spans="1:41" ht="15.75" customHeight="1">
      <c r="A297" s="122" t="s">
        <v>543</v>
      </c>
      <c r="B297" s="318">
        <f>(GETPIVOTDATA(" %UG OnC Trad",'FTE Pivot Table'!$A$3,"State","TN","Type",8,"Type2","Two-Year"))*100</f>
        <v>0</v>
      </c>
      <c r="C297" s="319">
        <f>(GETPIVOTDATA(" %UG OffC Trad",'FTE Pivot Table'!$A$3,"State","TN","Type",8,"Type2","Two-Year"))*100</f>
        <v>0</v>
      </c>
      <c r="D297" s="340">
        <f t="shared" si="34"/>
        <v>0</v>
      </c>
      <c r="E297" s="318">
        <f>(GETPIVOTDATA(" %UG EL Web",'FTE Pivot Table'!$A$3,"State","TN","Type",8,"Type2","Two-Year"))*100</f>
        <v>0</v>
      </c>
      <c r="F297" s="318">
        <f>(GETPIVOTDATA(" % UG EL CV",'FTE Pivot Table'!$A$3,"State","TN","Type",8,"Type2","Two-Year"))*100</f>
        <v>0</v>
      </c>
      <c r="G297" s="319">
        <f>(GETPIVOTDATA(" %UG EL O",'FTE Pivot Table'!$A$3,"State","TN","Type",8,"Type2","Two-Year"))*100</f>
        <v>0</v>
      </c>
      <c r="H297" s="318">
        <f>(GETPIVOTDATA(" %UG Cor",'FTE Pivot Table'!$A$3,"State","TN","Type",8,"Type2","Two-Year"))*100</f>
        <v>0</v>
      </c>
      <c r="I297" s="122"/>
      <c r="J297" s="331"/>
      <c r="K297" s="331"/>
      <c r="L297" s="331"/>
      <c r="M297" s="331"/>
      <c r="N297" s="331"/>
      <c r="O297" s="331"/>
      <c r="P297" s="331"/>
      <c r="Q297" s="121">
        <f t="shared" si="35"/>
        <v>0</v>
      </c>
      <c r="R297" s="121">
        <f t="shared" si="36"/>
        <v>0</v>
      </c>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row>
    <row r="298" spans="1:41" ht="15.75" customHeight="1">
      <c r="A298" s="122" t="s">
        <v>277</v>
      </c>
      <c r="B298" s="318">
        <f>(GETPIVOTDATA(" %UG Onc Trad",'FTE Pivot Table'!$A$3,"State","TX","Type",8,"Type2","Two-Year"))*100</f>
        <v>83.67229770235733</v>
      </c>
      <c r="C298" s="319">
        <f>(GETPIVOTDATA(" %UG OffC Trad",'FTE Pivot Table'!$A$3,"State","TX","Type",8,"Type2","Two-Year"))*100</f>
        <v>8.590566487109362</v>
      </c>
      <c r="D298" s="340">
        <f t="shared" si="34"/>
        <v>7.737135810533317</v>
      </c>
      <c r="E298" s="318">
        <f>(GETPIVOTDATA(" %UG EL Web",'FTE Pivot Table'!$A$3,"State","TX","Type",8,"Type2","Two-Year"))*100</f>
        <v>5.7389255966541475</v>
      </c>
      <c r="F298" s="318">
        <f>(GETPIVOTDATA(" % UG EL CV",'FTE Pivot Table'!$A$3,"State","TX","Type",8,"Type2","Two-Year"))*100</f>
        <v>0.06862926471202564</v>
      </c>
      <c r="G298" s="319">
        <f>(GETPIVOTDATA(" %UG EL O",'FTE Pivot Table'!$A$3,"State","TX","Type",8,"Type2","Two-Year"))*100</f>
        <v>1.9295809491671443</v>
      </c>
      <c r="H298" s="318">
        <f>(GETPIVOTDATA(" %UG Cor",'FTE Pivot Table'!$A$3,"State","TX","Type",8,"Type2","Two-Year"))*100</f>
        <v>0</v>
      </c>
      <c r="I298" s="122"/>
      <c r="J298" s="331"/>
      <c r="K298" s="331"/>
      <c r="L298" s="331"/>
      <c r="M298" s="331"/>
      <c r="N298" s="331"/>
      <c r="O298" s="331"/>
      <c r="P298" s="331"/>
      <c r="Q298" s="121">
        <f t="shared" si="35"/>
        <v>100</v>
      </c>
      <c r="R298" s="121">
        <f t="shared" si="36"/>
        <v>0</v>
      </c>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row>
    <row r="299" spans="1:41" ht="15.75" customHeight="1">
      <c r="A299" s="122" t="s">
        <v>544</v>
      </c>
      <c r="B299" s="318">
        <f>(GETPIVOTDATA(" %UG OnC Trad",'FTE Pivot Table'!$A$3,"State","VA","Type",8,"Type2","Two-Year"))*100</f>
        <v>0</v>
      </c>
      <c r="C299" s="319">
        <f>(GETPIVOTDATA(" %UG OffC Trad",'FTE Pivot Table'!$A$3,"State","VA","Type",8,"Type2","Two-Year"))*100</f>
        <v>0</v>
      </c>
      <c r="D299" s="340">
        <f t="shared" si="34"/>
        <v>0</v>
      </c>
      <c r="E299" s="318">
        <f>(GETPIVOTDATA(" %UG EL Web",'FTE Pivot Table'!$A$3,"State","VA","Type",8,"Type2","Two-Year"))*100</f>
        <v>0</v>
      </c>
      <c r="F299" s="318">
        <f>(GETPIVOTDATA(" % UG EL CV",'FTE Pivot Table'!$A$3,"State","VA","Type",8,"Type2","Two-Year"))*100</f>
        <v>0</v>
      </c>
      <c r="G299" s="319">
        <f>(GETPIVOTDATA(" %UG EL O",'FTE Pivot Table'!$A$3,"State","VA","Type",8,"Type2","Two-Year"))*100</f>
        <v>0</v>
      </c>
      <c r="H299" s="318">
        <f>(GETPIVOTDATA(" %UG Cor",'FTE Pivot Table'!$A$3,"State","VA","Type",8,"Type2","Two-Year"))*100</f>
        <v>0</v>
      </c>
      <c r="I299" s="122"/>
      <c r="J299" s="331"/>
      <c r="K299" s="331"/>
      <c r="L299" s="331"/>
      <c r="M299" s="331"/>
      <c r="N299" s="331"/>
      <c r="O299" s="331"/>
      <c r="P299" s="331"/>
      <c r="Q299" s="121">
        <f t="shared" si="35"/>
        <v>0</v>
      </c>
      <c r="R299" s="121">
        <f t="shared" si="36"/>
        <v>0</v>
      </c>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row>
    <row r="300" spans="1:41" ht="15.75" customHeight="1">
      <c r="A300" s="116" t="s">
        <v>170</v>
      </c>
      <c r="B300" s="317">
        <f>(GETPIVOTDATA(" %UG OnC Trad",'FTE Pivot Table'!$A$3,"State","WV","Type",8,"Type2","Two-Year"))*100</f>
        <v>0</v>
      </c>
      <c r="C300" s="320">
        <f>(GETPIVOTDATA(" %UG OffC Trad",'FTE Pivot Table'!$A$3,"State","WV","Type",8,"Type2","Two-Year"))*100</f>
        <v>0</v>
      </c>
      <c r="D300" s="342">
        <f t="shared" si="34"/>
        <v>0</v>
      </c>
      <c r="E300" s="317">
        <f>(GETPIVOTDATA(" %UG EL Web",'FTE Pivot Table'!$A$3,"State","WV","Type",8,"Type2","Two-Year"))*100</f>
        <v>0</v>
      </c>
      <c r="F300" s="317">
        <f>(GETPIVOTDATA(" % UG EL CV",'FTE Pivot Table'!$A$3,"State","WV","Type",8,"Type2","Two-Year"))*100</f>
        <v>0</v>
      </c>
      <c r="G300" s="320">
        <f>(GETPIVOTDATA(" %UG EL O",'FTE Pivot Table'!$A$3,"State","WV","Type",8,"Type2","Two-Year"))*100</f>
        <v>0</v>
      </c>
      <c r="H300" s="317">
        <f>(GETPIVOTDATA(" %UG Cor",'FTE Pivot Table'!$A$3,"State","WV","Type",8,"Type2","Two-Year"))*100</f>
        <v>0</v>
      </c>
      <c r="I300" s="122"/>
      <c r="J300" s="331"/>
      <c r="K300" s="331"/>
      <c r="L300" s="331"/>
      <c r="M300" s="331"/>
      <c r="N300" s="331"/>
      <c r="O300" s="331"/>
      <c r="P300" s="331"/>
      <c r="Q300" s="121">
        <f t="shared" si="35"/>
        <v>0</v>
      </c>
      <c r="R300" s="121">
        <f t="shared" si="36"/>
        <v>0</v>
      </c>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row>
    <row r="301" spans="1:41" s="279" customFormat="1" ht="18" customHeight="1">
      <c r="A301" s="347" t="s">
        <v>634</v>
      </c>
      <c r="B301" s="283"/>
      <c r="C301" s="283"/>
      <c r="D301" s="284"/>
      <c r="E301" s="283"/>
      <c r="F301" s="284"/>
      <c r="G301" s="284"/>
      <c r="H301" s="283"/>
      <c r="I301" s="347"/>
      <c r="J301" s="283"/>
      <c r="K301" s="283"/>
      <c r="L301" s="284"/>
      <c r="M301" s="283"/>
      <c r="N301" s="284"/>
      <c r="O301" s="284"/>
      <c r="P301" s="283"/>
      <c r="Q301" s="283"/>
      <c r="R301" s="283"/>
      <c r="S301" s="285"/>
      <c r="T301" s="285"/>
      <c r="U301" s="285"/>
      <c r="V301" s="285"/>
      <c r="W301" s="285"/>
      <c r="X301" s="285"/>
      <c r="Y301" s="285"/>
      <c r="Z301" s="285"/>
      <c r="AA301" s="285"/>
      <c r="AB301" s="285"/>
      <c r="AC301" s="285"/>
      <c r="AD301" s="285"/>
      <c r="AE301" s="285"/>
      <c r="AF301" s="285"/>
      <c r="AG301" s="285"/>
      <c r="AH301" s="285"/>
      <c r="AI301" s="285"/>
      <c r="AJ301" s="285"/>
      <c r="AK301" s="285"/>
      <c r="AL301" s="285"/>
      <c r="AM301" s="285"/>
      <c r="AN301" s="285"/>
      <c r="AO301" s="285"/>
    </row>
    <row r="302" spans="1:18" s="279" customFormat="1" ht="13.5" customHeight="1">
      <c r="A302" s="347" t="s">
        <v>641</v>
      </c>
      <c r="B302" s="278"/>
      <c r="H302" s="277"/>
      <c r="I302" s="347"/>
      <c r="P302" s="280"/>
      <c r="Q302" s="281"/>
      <c r="R302" s="282"/>
    </row>
    <row r="303" spans="1:18" s="279" customFormat="1" ht="13.5" customHeight="1">
      <c r="A303" s="348"/>
      <c r="H303" s="277"/>
      <c r="I303" s="348"/>
      <c r="Q303" s="281"/>
      <c r="R303" s="282"/>
    </row>
    <row r="304" spans="1:18" s="279" customFormat="1" ht="11.25">
      <c r="A304" s="277"/>
      <c r="H304" s="351" t="s">
        <v>642</v>
      </c>
      <c r="I304" s="286"/>
      <c r="J304" s="277"/>
      <c r="K304" s="277"/>
      <c r="L304" s="277"/>
      <c r="M304" s="277"/>
      <c r="N304" s="277"/>
      <c r="O304" s="277"/>
      <c r="P304" s="277"/>
      <c r="Q304" s="281"/>
      <c r="R304" s="282"/>
    </row>
    <row r="305" spans="1:17" ht="18">
      <c r="A305" s="113" t="s">
        <v>587</v>
      </c>
      <c r="B305" s="114"/>
      <c r="C305" s="114"/>
      <c r="D305" s="114"/>
      <c r="E305" s="114"/>
      <c r="F305" s="114"/>
      <c r="G305" s="114"/>
      <c r="H305" s="132"/>
      <c r="I305" s="131"/>
      <c r="J305" s="122"/>
      <c r="K305" s="122"/>
      <c r="L305" s="122"/>
      <c r="M305" s="122"/>
      <c r="N305" s="122"/>
      <c r="O305" s="122"/>
      <c r="P305" s="122"/>
      <c r="Q305" s="270"/>
    </row>
    <row r="306" spans="1:16" ht="12.75">
      <c r="A306" s="293"/>
      <c r="B306" s="115"/>
      <c r="C306" s="115"/>
      <c r="D306" s="115"/>
      <c r="E306" s="115"/>
      <c r="F306" s="115"/>
      <c r="G306" s="115"/>
      <c r="H306" s="127"/>
      <c r="I306" s="131"/>
      <c r="J306" s="122"/>
      <c r="K306" s="122"/>
      <c r="L306" s="122"/>
      <c r="M306" s="122"/>
      <c r="N306" s="122"/>
      <c r="O306" s="122"/>
      <c r="P306" s="122"/>
    </row>
    <row r="307" spans="1:16" ht="15.75">
      <c r="A307" s="124" t="s">
        <v>617</v>
      </c>
      <c r="B307" s="115"/>
      <c r="C307" s="115"/>
      <c r="D307" s="115"/>
      <c r="E307" s="115"/>
      <c r="F307" s="115"/>
      <c r="G307" s="115"/>
      <c r="H307" s="127"/>
      <c r="I307" s="131"/>
      <c r="J307" s="122"/>
      <c r="K307" s="122"/>
      <c r="L307" s="122"/>
      <c r="M307" s="122"/>
      <c r="N307" s="122"/>
      <c r="O307" s="122"/>
      <c r="P307" s="122"/>
    </row>
    <row r="308" spans="1:16" ht="15.75">
      <c r="A308" s="124" t="s">
        <v>556</v>
      </c>
      <c r="B308" s="115"/>
      <c r="C308" s="115"/>
      <c r="D308" s="115"/>
      <c r="E308" s="115"/>
      <c r="F308" s="115"/>
      <c r="G308" s="115"/>
      <c r="H308" s="127"/>
      <c r="I308" s="131"/>
      <c r="J308" s="122"/>
      <c r="K308" s="122"/>
      <c r="L308" s="122"/>
      <c r="M308" s="122"/>
      <c r="N308" s="122"/>
      <c r="O308" s="122"/>
      <c r="P308" s="122"/>
    </row>
    <row r="309" spans="1:16" ht="12.75">
      <c r="A309" s="116"/>
      <c r="B309" s="117"/>
      <c r="C309" s="117"/>
      <c r="D309" s="117"/>
      <c r="E309" s="117"/>
      <c r="F309" s="117"/>
      <c r="G309" s="117"/>
      <c r="H309" s="117"/>
      <c r="I309" s="131"/>
      <c r="J309" s="122"/>
      <c r="K309" s="122"/>
      <c r="L309" s="122"/>
      <c r="M309" s="122"/>
      <c r="N309" s="122"/>
      <c r="O309" s="122"/>
      <c r="P309" s="122"/>
    </row>
    <row r="310" spans="1:16" ht="12.75">
      <c r="A310" s="300"/>
      <c r="B310" s="301" t="s">
        <v>279</v>
      </c>
      <c r="C310" s="301"/>
      <c r="D310" s="301"/>
      <c r="E310" s="301"/>
      <c r="F310" s="301"/>
      <c r="G310" s="301"/>
      <c r="H310" s="302"/>
      <c r="I310" s="131"/>
      <c r="J310" s="122"/>
      <c r="K310" s="122"/>
      <c r="L310" s="122"/>
      <c r="M310" s="122"/>
      <c r="N310" s="122"/>
      <c r="O310" s="122"/>
      <c r="P310" s="122"/>
    </row>
    <row r="311" spans="1:16" ht="12.75">
      <c r="A311" s="300"/>
      <c r="B311" s="301" t="s">
        <v>173</v>
      </c>
      <c r="C311" s="301"/>
      <c r="D311" s="370" t="s">
        <v>629</v>
      </c>
      <c r="E311" s="371"/>
      <c r="F311" s="371"/>
      <c r="G311" s="371"/>
      <c r="H311" s="306" t="s">
        <v>2</v>
      </c>
      <c r="I311" s="131"/>
      <c r="J311" s="122"/>
      <c r="K311" s="122"/>
      <c r="L311" s="122"/>
      <c r="M311" s="122"/>
      <c r="N311" s="122"/>
      <c r="O311" s="122"/>
      <c r="P311" s="122"/>
    </row>
    <row r="312" spans="1:16" ht="36">
      <c r="A312" s="300"/>
      <c r="B312" s="307" t="s">
        <v>612</v>
      </c>
      <c r="C312" s="308" t="s">
        <v>611</v>
      </c>
      <c r="D312" s="309" t="s">
        <v>626</v>
      </c>
      <c r="E312" s="310" t="s">
        <v>0</v>
      </c>
      <c r="F312" s="307" t="s">
        <v>174</v>
      </c>
      <c r="G312" s="311" t="s">
        <v>631</v>
      </c>
      <c r="H312" s="312" t="s">
        <v>630</v>
      </c>
      <c r="I312" s="131"/>
      <c r="J312" s="122"/>
      <c r="K312" s="122"/>
      <c r="L312" s="122"/>
      <c r="M312" s="122"/>
      <c r="N312" s="122"/>
      <c r="O312" s="122"/>
      <c r="P312" s="122"/>
    </row>
    <row r="313" spans="1:41" ht="15.75" customHeight="1">
      <c r="A313" s="123" t="s">
        <v>534</v>
      </c>
      <c r="B313" s="318">
        <f>(GETPIVOTDATA(" %UG OnC Trad",'FTE Pivot Table'!$A$3,"State","AL","Type",9,"Type2","Two-Year"))*100</f>
        <v>0</v>
      </c>
      <c r="C313" s="319">
        <f>(GETPIVOTDATA(" %UG OffC Trad",'FTE Pivot Table'!$A$3,"State","AL","Type",9,"Type2","Two-Year"))*100</f>
        <v>0</v>
      </c>
      <c r="D313" s="340">
        <f aca="true" t="shared" si="37" ref="D313:D331">SUM(E313:G313)</f>
        <v>0</v>
      </c>
      <c r="E313" s="318">
        <f>(GETPIVOTDATA(" %UG EL Web",'FTE Pivot Table'!$A$3,"State","AL","Type",9,"Type2","Two-Year"))*100</f>
        <v>0</v>
      </c>
      <c r="F313" s="341">
        <f>(GETPIVOTDATA(" % UG EL CV",'FTE Pivot Table'!$A$3,"State","AL","Type",9,"Type2","Two-Year"))*100</f>
        <v>0</v>
      </c>
      <c r="G313" s="319">
        <f>(GETPIVOTDATA(" %UG EL O",'FTE Pivot Table'!$A$3,"State","AL","Type",9,"Type2","Two-Year"))*100</f>
        <v>0</v>
      </c>
      <c r="H313" s="318">
        <f>(GETPIVOTDATA(" %UG Cor",'FTE Pivot Table'!$A$3,"State","AL","Type",9,"Type2","Two-Year"))*100</f>
        <v>0</v>
      </c>
      <c r="I313" s="122"/>
      <c r="J313" s="331"/>
      <c r="K313" s="331"/>
      <c r="L313" s="331"/>
      <c r="M313" s="331"/>
      <c r="N313" s="331"/>
      <c r="O313" s="331"/>
      <c r="P313" s="331"/>
      <c r="Q313" s="121">
        <f aca="true" t="shared" si="38" ref="Q313:Q331">SUM(B313,C313,D313,H313)</f>
        <v>0</v>
      </c>
      <c r="R313" s="121">
        <f aca="true" t="shared" si="39" ref="R313:R331">SUM(J313,K313,L313,P313)</f>
        <v>0</v>
      </c>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row>
    <row r="314" spans="1:41" ht="15.75" customHeight="1">
      <c r="A314" s="122" t="s">
        <v>535</v>
      </c>
      <c r="B314" s="318">
        <f>(GETPIVOTDATA(" %UG OnC Trad",'FTE Pivot Table'!$A$3,"State","AR","Type",9,"Type2","Two-Year"))*100</f>
        <v>87.1999615841068</v>
      </c>
      <c r="C314" s="319">
        <f>(GETPIVOTDATA(" %UG OffC Trad",'FTE Pivot Table'!$A$3,"State","AR","Type",9,"Type2","Two-Year"))*100</f>
        <v>7.366247521831889</v>
      </c>
      <c r="D314" s="340">
        <f t="shared" si="37"/>
        <v>5.433790894061315</v>
      </c>
      <c r="E314" s="318">
        <f>(GETPIVOTDATA(" %UG EL Web",'FTE Pivot Table'!$A$3,"State","AR","Type",9,"Type2","Two-Year"))*100</f>
        <v>4.476137556337593</v>
      </c>
      <c r="F314" s="318">
        <f>(GETPIVOTDATA(" % UG EL CV",'FTE Pivot Table'!$A$3,"State","AR","Type",9,"Type2","Two-Year"))*100</f>
        <v>0.10598670535695912</v>
      </c>
      <c r="G314" s="319">
        <f>(GETPIVOTDATA(" %UG EL O",'FTE Pivot Table'!$A$3,"State","AR","Type",9,"Type2","Two-Year"))*100</f>
        <v>0.851666632366762</v>
      </c>
      <c r="H314" s="318">
        <f>(GETPIVOTDATA(" %UG Cor",'FTE Pivot Table'!$A$3,"State","AR","Type",9,"Type2","Two-Year"))*100</f>
        <v>0</v>
      </c>
      <c r="I314" s="122"/>
      <c r="J314" s="331"/>
      <c r="K314" s="331"/>
      <c r="L314" s="331"/>
      <c r="M314" s="331"/>
      <c r="N314" s="331"/>
      <c r="O314" s="331"/>
      <c r="P314" s="331"/>
      <c r="Q314" s="121">
        <f t="shared" si="38"/>
        <v>100.00000000000001</v>
      </c>
      <c r="R314" s="121">
        <f t="shared" si="39"/>
        <v>0</v>
      </c>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row>
    <row r="315" spans="1:41" ht="15.75" customHeight="1">
      <c r="A315" s="122" t="s">
        <v>536</v>
      </c>
      <c r="B315" s="318">
        <f>(GETPIVOTDATA(" %UG OnC Trad",'FTE Pivot Table'!$A$3,"State","DE","Type",9,"Type2","Two-Year"))*100</f>
        <v>0</v>
      </c>
      <c r="C315" s="319">
        <f>(GETPIVOTDATA(" %UG OffC Trad",'FTE Pivot Table'!$A$3,"State","DE","Type",9,"Type2","Two-Year"))*100</f>
        <v>0</v>
      </c>
      <c r="D315" s="340">
        <f t="shared" si="37"/>
        <v>0</v>
      </c>
      <c r="E315" s="318">
        <f>(GETPIVOTDATA(" %UG EL Web",'FTE Pivot Table'!$A$3,"State","DE","Type",9,"Type2","Two-Year"))*100</f>
        <v>0</v>
      </c>
      <c r="F315" s="318">
        <f>(GETPIVOTDATA(" % UG EL CV",'FTE Pivot Table'!$A$3,"State","DE","Type",9,"Type2","Two-Year"))*100</f>
        <v>0</v>
      </c>
      <c r="G315" s="319">
        <f>(GETPIVOTDATA(" %UG EL O",'FTE Pivot Table'!$A$3,"State","DE","Type",9,"Type2","Two-Year"))*100</f>
        <v>0</v>
      </c>
      <c r="H315" s="318">
        <f>(GETPIVOTDATA(" %UG Cor",'FTE Pivot Table'!$A$3,"State","DE","Type",9,"Type2","Two-Year"))*100</f>
        <v>0</v>
      </c>
      <c r="I315" s="122"/>
      <c r="J315" s="331"/>
      <c r="K315" s="331"/>
      <c r="L315" s="331"/>
      <c r="M315" s="331"/>
      <c r="N315" s="331"/>
      <c r="O315" s="331"/>
      <c r="P315" s="331"/>
      <c r="Q315" s="121">
        <f t="shared" si="38"/>
        <v>0</v>
      </c>
      <c r="R315" s="121">
        <f t="shared" si="39"/>
        <v>0</v>
      </c>
      <c r="S315" s="134"/>
      <c r="T315" s="27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row>
    <row r="316" spans="1:41" ht="15.75" customHeight="1">
      <c r="A316" s="122" t="s">
        <v>537</v>
      </c>
      <c r="B316" s="318">
        <f>(GETPIVOTDATA(" %UG OnC Trad",'FTE Pivot Table'!$A$3,"State","FL","Type",9,"Type2","Two-Year"))*100</f>
        <v>90.88479629820159</v>
      </c>
      <c r="C316" s="319">
        <f>(GETPIVOTDATA(" %UG OffC Trad",'FTE Pivot Table'!$A$3,"State","FL","Type",9,"Type2","Two-Year"))*100</f>
        <v>0</v>
      </c>
      <c r="D316" s="340">
        <f t="shared" si="37"/>
        <v>7.600663748915077</v>
      </c>
      <c r="E316" s="318">
        <f>(GETPIVOTDATA(" %UG EL Web",'FTE Pivot Table'!$A$3,"State","FL","Type",9,"Type2","Two-Year"))*100</f>
        <v>3.809169548803748</v>
      </c>
      <c r="F316" s="318">
        <f>(GETPIVOTDATA(" % UG EL CV",'FTE Pivot Table'!$A$3,"State","FL","Type",9,"Type2","Two-Year"))*100</f>
        <v>0.3217177273194938</v>
      </c>
      <c r="G316" s="319">
        <f>(GETPIVOTDATA(" %UG EL O",'FTE Pivot Table'!$A$3,"State","FL","Type",9,"Type2","Two-Year"))*100</f>
        <v>3.469776472791834</v>
      </c>
      <c r="H316" s="318">
        <f>(GETPIVOTDATA(" %UG Cor",'FTE Pivot Table'!$A$3,"State","FL","Type",9,"Type2","Two-Year"))*100</f>
        <v>1.5145399528833243</v>
      </c>
      <c r="I316" s="122"/>
      <c r="J316" s="331"/>
      <c r="K316" s="331"/>
      <c r="L316" s="331"/>
      <c r="M316" s="331"/>
      <c r="N316" s="331"/>
      <c r="O316" s="331"/>
      <c r="P316" s="331"/>
      <c r="Q316" s="121">
        <f t="shared" si="38"/>
        <v>100</v>
      </c>
      <c r="R316" s="121">
        <f t="shared" si="39"/>
        <v>0</v>
      </c>
      <c r="S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row>
    <row r="317" spans="1:41" ht="15.75" customHeight="1">
      <c r="A317" s="122"/>
      <c r="B317" s="318"/>
      <c r="C317" s="319"/>
      <c r="D317" s="340">
        <f t="shared" si="37"/>
        <v>0</v>
      </c>
      <c r="E317" s="318"/>
      <c r="F317" s="318"/>
      <c r="G317" s="319"/>
      <c r="H317" s="318"/>
      <c r="I317" s="122"/>
      <c r="J317" s="331"/>
      <c r="K317" s="331"/>
      <c r="L317" s="331"/>
      <c r="M317" s="331"/>
      <c r="N317" s="331"/>
      <c r="O317" s="331"/>
      <c r="P317" s="331"/>
      <c r="Q317" s="121">
        <f t="shared" si="38"/>
        <v>0</v>
      </c>
      <c r="R317" s="121">
        <f t="shared" si="39"/>
        <v>0</v>
      </c>
      <c r="S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row>
    <row r="318" spans="1:41" ht="15.75" customHeight="1">
      <c r="A318" s="122" t="s">
        <v>538</v>
      </c>
      <c r="B318" s="318">
        <f>(GETPIVOTDATA(" %UG OnC Trad",'FTE Pivot Table'!$A$3,"State","GA","Type",9,"Type2","Two-Year"))*100</f>
        <v>83.82495322260483</v>
      </c>
      <c r="C318" s="319">
        <f>(GETPIVOTDATA(" %UG OffC Trad",'FTE Pivot Table'!$A$3,"State","GA","Type",9,"Type2","Two-Year"))*100</f>
        <v>13.061832284806618</v>
      </c>
      <c r="D318" s="340">
        <f t="shared" si="37"/>
        <v>3.1132144925885434</v>
      </c>
      <c r="E318" s="318">
        <f>(GETPIVOTDATA(" %UG EL Web",'FTE Pivot Table'!$A$3,"State","GA","Type",9,"Type2","Two-Year"))*100</f>
        <v>2.459233864750472</v>
      </c>
      <c r="F318" s="318">
        <f>(GETPIVOTDATA(" % UG EL CV",'FTE Pivot Table'!$A$3,"State","GA","Type",9,"Type2","Two-Year"))*100</f>
        <v>0.3175445444430399</v>
      </c>
      <c r="G318" s="319">
        <f>(GETPIVOTDATA(" %UG EL O",'FTE Pivot Table'!$A$3,"State","GA","Type",9,"Type2","Two-Year"))*100</f>
        <v>0.3364360833950318</v>
      </c>
      <c r="H318" s="318">
        <f>(GETPIVOTDATA(" %UG Cor",'FTE Pivot Table'!$A$3,"State","GA","Type",9,"Type2","Two-Year"))*100</f>
        <v>0</v>
      </c>
      <c r="I318" s="122"/>
      <c r="J318" s="331"/>
      <c r="K318" s="331"/>
      <c r="L318" s="331"/>
      <c r="M318" s="331"/>
      <c r="N318" s="331"/>
      <c r="O318" s="331"/>
      <c r="P318" s="331"/>
      <c r="Q318" s="121">
        <f t="shared" si="38"/>
        <v>99.99999999999999</v>
      </c>
      <c r="R318" s="121">
        <f t="shared" si="39"/>
        <v>0</v>
      </c>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row>
    <row r="319" spans="1:41" ht="15.75" customHeight="1">
      <c r="A319" s="122" t="s">
        <v>539</v>
      </c>
      <c r="B319" s="318">
        <f>(GETPIVOTDATA(" %UG OnC Trad",'FTE Pivot Table'!$A$3,"State","KY","Type",9,"Type2","Two-Year"))*100</f>
        <v>69.1867812838561</v>
      </c>
      <c r="C319" s="319">
        <f>(GETPIVOTDATA(" %UG OffC Trad",'FTE Pivot Table'!$A$3,"State","KY","Type",9,"Type2","Two-Year"))*100</f>
        <v>20.400837997825846</v>
      </c>
      <c r="D319" s="340">
        <f t="shared" si="37"/>
        <v>10.412380718318039</v>
      </c>
      <c r="E319" s="318">
        <f>(GETPIVOTDATA(" %UG EL Web",'FTE Pivot Table'!$A$3,"State","KY","Type",9,"Type2","Two-Year"))*100</f>
        <v>5.934283812853288</v>
      </c>
      <c r="F319" s="318">
        <f>(GETPIVOTDATA(" % UG EL CV",'FTE Pivot Table'!$A$3,"State","KY","Type",9,"Type2","Two-Year"))*100</f>
        <v>2.7922522019994496</v>
      </c>
      <c r="G319" s="319">
        <f>(GETPIVOTDATA(" %UG EL O",'FTE Pivot Table'!$A$3,"State","KY","Type",9,"Type2","Two-Year"))*100</f>
        <v>1.6858447034653015</v>
      </c>
      <c r="H319" s="318">
        <f>(GETPIVOTDATA(" %UG Cor",'FTE Pivot Table'!$A$3,"State","KY","Type",9,"Type2","Two-Year"))*100</f>
        <v>0</v>
      </c>
      <c r="I319" s="122"/>
      <c r="J319" s="331"/>
      <c r="K319" s="331"/>
      <c r="L319" s="331"/>
      <c r="M319" s="331"/>
      <c r="N319" s="331"/>
      <c r="O319" s="331"/>
      <c r="P319" s="331"/>
      <c r="Q319" s="121">
        <f t="shared" si="38"/>
        <v>99.99999999999999</v>
      </c>
      <c r="R319" s="121">
        <f t="shared" si="39"/>
        <v>0</v>
      </c>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row>
    <row r="320" spans="1:41" ht="15.75" customHeight="1">
      <c r="A320" s="122" t="s">
        <v>540</v>
      </c>
      <c r="B320" s="318">
        <f>(GETPIVOTDATA(" %UG OnC Trad",'FTE Pivot Table'!$A$3,"State","LA","Type",9,"Type2","Two-Year"))*100</f>
        <v>0</v>
      </c>
      <c r="C320" s="319">
        <f>(GETPIVOTDATA(" %UG OffC Trad",'FTE Pivot Table'!$A$3,"State","LA","Type",9,"Type2","Two-Year"))*100</f>
        <v>0</v>
      </c>
      <c r="D320" s="340">
        <f t="shared" si="37"/>
        <v>0</v>
      </c>
      <c r="E320" s="318">
        <f>(GETPIVOTDATA(" %UG EL Web",'FTE Pivot Table'!$A$3,"State","LA","Type",9,"Type2","Two-Year"))*100</f>
        <v>0</v>
      </c>
      <c r="F320" s="318">
        <f>(GETPIVOTDATA(" % UG EL CV",'FTE Pivot Table'!$A$3,"State","LA","Type",9,"Type2","Two-Year"))*100</f>
        <v>0</v>
      </c>
      <c r="G320" s="319">
        <f>(GETPIVOTDATA(" %UG EL O",'FTE Pivot Table'!$A$3,"State","LA","Type",9,"Type2","Two-Year"))*100</f>
        <v>0</v>
      </c>
      <c r="H320" s="318">
        <f>(GETPIVOTDATA(" %UG Cor",'FTE Pivot Table'!$A$3,"State","LA","Type",9,"Type2","Two-Year"))*100</f>
        <v>0</v>
      </c>
      <c r="I320" s="122"/>
      <c r="J320" s="331"/>
      <c r="K320" s="331"/>
      <c r="L320" s="331"/>
      <c r="M320" s="331"/>
      <c r="N320" s="331"/>
      <c r="O320" s="331"/>
      <c r="P320" s="331"/>
      <c r="Q320" s="121">
        <f t="shared" si="38"/>
        <v>0</v>
      </c>
      <c r="R320" s="121">
        <f t="shared" si="39"/>
        <v>0</v>
      </c>
      <c r="S320" s="134"/>
      <c r="T320" s="27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row>
    <row r="321" spans="1:41" ht="15.75" customHeight="1">
      <c r="A321" s="122" t="s">
        <v>541</v>
      </c>
      <c r="B321" s="318">
        <f>(GETPIVOTDATA(" %UG OnC Trad",'FTE Pivot Table'!$A$3,"State","MD","Type",9,"Type2","Two-Year"))*100</f>
        <v>89.4362319218047</v>
      </c>
      <c r="C321" s="319">
        <f>(GETPIVOTDATA(" %UG OffC Trad",'FTE Pivot Table'!$A$3,"State","MD","Type",9,"Type2","Two-Year"))*100</f>
        <v>2.244356552055156</v>
      </c>
      <c r="D321" s="340">
        <f t="shared" si="37"/>
        <v>8.31941152614013</v>
      </c>
      <c r="E321" s="318">
        <f>(GETPIVOTDATA(" %UG EL Web",'FTE Pivot Table'!$A$3,"State","MD","Type",9,"Type2","Two-Year"))*100</f>
        <v>5.254629543501151</v>
      </c>
      <c r="F321" s="318">
        <f>(GETPIVOTDATA(" % UG EL CV",'FTE Pivot Table'!$A$3,"State","MD","Type",9,"Type2","Two-Year"))*100</f>
        <v>2.1796154976689497</v>
      </c>
      <c r="G321" s="319">
        <f>(GETPIVOTDATA(" %UG EL O",'FTE Pivot Table'!$A$3,"State","MD","Type",9,"Type2","Two-Year"))*100</f>
        <v>0.8851664849700294</v>
      </c>
      <c r="H321" s="318">
        <f>(GETPIVOTDATA(" %UG Cor",'FTE Pivot Table'!$A$3,"State","MD","Type",9,"Type2","Two-Year"))*100</f>
        <v>0</v>
      </c>
      <c r="I321" s="122"/>
      <c r="J321" s="331"/>
      <c r="K321" s="331"/>
      <c r="L321" s="331"/>
      <c r="M321" s="331"/>
      <c r="N321" s="331"/>
      <c r="O321" s="331"/>
      <c r="P321" s="331"/>
      <c r="Q321" s="121">
        <f t="shared" si="38"/>
        <v>99.99999999999999</v>
      </c>
      <c r="R321" s="121">
        <f t="shared" si="39"/>
        <v>0</v>
      </c>
      <c r="S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row>
    <row r="322" spans="1:41" ht="15.75" customHeight="1">
      <c r="A322" s="122"/>
      <c r="B322" s="318"/>
      <c r="C322" s="319"/>
      <c r="D322" s="340">
        <f t="shared" si="37"/>
        <v>0</v>
      </c>
      <c r="E322" s="318"/>
      <c r="F322" s="318"/>
      <c r="G322" s="319"/>
      <c r="H322" s="318"/>
      <c r="I322" s="122"/>
      <c r="J322" s="331"/>
      <c r="K322" s="331"/>
      <c r="L322" s="331"/>
      <c r="M322" s="331"/>
      <c r="N322" s="331"/>
      <c r="O322" s="331"/>
      <c r="P322" s="331"/>
      <c r="Q322" s="121">
        <f t="shared" si="38"/>
        <v>0</v>
      </c>
      <c r="R322" s="121">
        <f t="shared" si="39"/>
        <v>0</v>
      </c>
      <c r="S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row>
    <row r="323" spans="1:41" ht="15.75" customHeight="1">
      <c r="A323" s="122" t="s">
        <v>640</v>
      </c>
      <c r="B323" s="318">
        <f>(GETPIVOTDATA(" %UG OnC Trad",'FTE Pivot Table'!$A$3,"State","MS","Type",9,"Type2","Two-Year"))*100</f>
        <v>94.57590087768563</v>
      </c>
      <c r="C323" s="319">
        <f>(GETPIVOTDATA(" %UG OffC Trad",'FTE Pivot Table'!$A$3,"State","MS","Type",9,"Type2","Two-Year"))*100</f>
        <v>0</v>
      </c>
      <c r="D323" s="340">
        <f t="shared" si="37"/>
        <v>5.424099122314369</v>
      </c>
      <c r="E323" s="318">
        <f>(GETPIVOTDATA(" %UG EL Web",'FTE Pivot Table'!$A$3,"State","MS","Type",9,"Type2","Two-Year"))*100</f>
        <v>5.424099122314369</v>
      </c>
      <c r="F323" s="318">
        <f>(GETPIVOTDATA(" % UG EL CV",'FTE Pivot Table'!$A$3,"State","MS","Type",9,"Type2","Two-Year"))*100</f>
        <v>0</v>
      </c>
      <c r="G323" s="319">
        <f>(GETPIVOTDATA(" %UG EL O",'FTE Pivot Table'!$A$3,"State","MS","Type",9,"Type2","Two-Year"))*100</f>
        <v>0</v>
      </c>
      <c r="H323" s="318">
        <f>(GETPIVOTDATA(" %UG Cor",'FTE Pivot Table'!$A$3,"State","MS","Type",9,"Type2","Two-Year"))*100</f>
        <v>0</v>
      </c>
      <c r="I323" s="122"/>
      <c r="J323" s="331"/>
      <c r="K323" s="331"/>
      <c r="L323" s="331"/>
      <c r="M323" s="331"/>
      <c r="N323" s="331"/>
      <c r="O323" s="331"/>
      <c r="P323" s="331"/>
      <c r="Q323" s="121">
        <f t="shared" si="38"/>
        <v>100</v>
      </c>
      <c r="R323" s="121">
        <f t="shared" si="39"/>
        <v>0</v>
      </c>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row>
    <row r="324" spans="1:41" ht="15.75" customHeight="1">
      <c r="A324" s="122" t="s">
        <v>176</v>
      </c>
      <c r="B324" s="318">
        <f>(GETPIVOTDATA(" %UG OnC Trad",'FTE Pivot Table'!$A$3,"State","NC","Type",9,"Type2","Two-Year"))*100</f>
        <v>75.71772033185862</v>
      </c>
      <c r="C324" s="319">
        <f>(GETPIVOTDATA(" %UG OffC Trad",'FTE Pivot Table'!$A$3,"State","NC","Type",9,"Type2","Two-Year"))*100</f>
        <v>18.272199564414134</v>
      </c>
      <c r="D324" s="340">
        <f t="shared" si="37"/>
        <v>6.010080103727216</v>
      </c>
      <c r="E324" s="318">
        <f>(GETPIVOTDATA(" %UG EL Web",'FTE Pivot Table'!$A$3,"State","NC","Type",9,"Type2","Two-Year"))*100</f>
        <v>4.464883796499295</v>
      </c>
      <c r="F324" s="318">
        <f>(GETPIVOTDATA(" % UG EL CV",'FTE Pivot Table'!$A$3,"State","NC","Type",9,"Type2","Two-Year"))*100</f>
        <v>0.4594987910830993</v>
      </c>
      <c r="G324" s="319">
        <f>(GETPIVOTDATA(" %UG EL O",'FTE Pivot Table'!$A$3,"State","NC","Type",9,"Type2","Two-Year"))*100</f>
        <v>1.0856975161448206</v>
      </c>
      <c r="H324" s="318">
        <f>(GETPIVOTDATA(" %UG Cor",'FTE Pivot Table'!$A$3,"State","NC","Type",9,"Type2","Two-Year"))*100</f>
        <v>0</v>
      </c>
      <c r="I324" s="122"/>
      <c r="J324" s="331"/>
      <c r="K324" s="331"/>
      <c r="L324" s="331"/>
      <c r="M324" s="331"/>
      <c r="N324" s="331"/>
      <c r="O324" s="331"/>
      <c r="P324" s="331"/>
      <c r="Q324" s="121">
        <f t="shared" si="38"/>
        <v>99.99999999999997</v>
      </c>
      <c r="R324" s="121">
        <f t="shared" si="39"/>
        <v>0</v>
      </c>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row>
    <row r="325" spans="1:41" ht="15.75" customHeight="1">
      <c r="A325" s="122" t="s">
        <v>169</v>
      </c>
      <c r="B325" s="318">
        <f>(GETPIVOTDATA(" %UG OnC Trad",'FTE Pivot Table'!$A$3,"State","OK","Type",9,"Type2","Two-Year"))*100</f>
        <v>86.29956075001452</v>
      </c>
      <c r="C325" s="319">
        <f>(GETPIVOTDATA(" %UG OffC Trad",'FTE Pivot Table'!$A$3,"State","OK","Type",9,"Type2","Two-Year"))*100</f>
        <v>4.2788173145765205</v>
      </c>
      <c r="D325" s="340">
        <f t="shared" si="37"/>
        <v>9.421621935408968</v>
      </c>
      <c r="E325" s="318">
        <f>(GETPIVOTDATA(" %UG EL Web",'FTE Pivot Table'!$A$3,"State","OK","Type",9,"Type2","Two-Year"))*100</f>
        <v>5.457003811993266</v>
      </c>
      <c r="F325" s="318">
        <f>(GETPIVOTDATA(" % UG EL CV",'FTE Pivot Table'!$A$3,"State","OK","Type",9,"Type2","Two-Year"))*100</f>
        <v>2.7174964685849186</v>
      </c>
      <c r="G325" s="319">
        <f>(GETPIVOTDATA(" %UG EL O",'FTE Pivot Table'!$A$3,"State","OK","Type",9,"Type2","Two-Year"))*100</f>
        <v>1.2471216548307824</v>
      </c>
      <c r="H325" s="318">
        <f>(GETPIVOTDATA(" %UG Cor",'FTE Pivot Table'!$A$3,"State","OK","Type",9,"Type2","Two-Year"))*100</f>
        <v>0</v>
      </c>
      <c r="I325" s="122"/>
      <c r="J325" s="331"/>
      <c r="K325" s="331"/>
      <c r="L325" s="331"/>
      <c r="M325" s="331"/>
      <c r="N325" s="331"/>
      <c r="O325" s="331"/>
      <c r="P325" s="331"/>
      <c r="Q325" s="121">
        <f t="shared" si="38"/>
        <v>100</v>
      </c>
      <c r="R325" s="121">
        <f t="shared" si="39"/>
        <v>0</v>
      </c>
      <c r="S325" s="134"/>
      <c r="T325" s="27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row>
    <row r="326" spans="1:41" ht="15.75" customHeight="1">
      <c r="A326" s="122" t="s">
        <v>542</v>
      </c>
      <c r="B326" s="318">
        <f>(GETPIVOTDATA(" %UG OnC Trad",'FTE Pivot Table'!$A$3,"State","SC","Type",9,"Type2","Two-Year"))*100</f>
        <v>0</v>
      </c>
      <c r="C326" s="319">
        <f>(GETPIVOTDATA(" %UG OffC Trad",'FTE Pivot Table'!$A$3,"State","SC","Type",9,"Type2","Two-Year"))*100</f>
        <v>0</v>
      </c>
      <c r="D326" s="340">
        <f t="shared" si="37"/>
        <v>0</v>
      </c>
      <c r="E326" s="318">
        <f>(GETPIVOTDATA(" %UG EL Web",'FTE Pivot Table'!$A$3,"State","SC","Type",9,"Type2","Two-Year"))*100</f>
        <v>0</v>
      </c>
      <c r="F326" s="318">
        <f>(GETPIVOTDATA(" % UG EL CV",'FTE Pivot Table'!$A$3,"State","SC","Type",9,"Type2","Two-Year"))*100</f>
        <v>0</v>
      </c>
      <c r="G326" s="319">
        <f>(GETPIVOTDATA(" %UG EL O",'FTE Pivot Table'!$A$3,"State","SC","Type",9,"Type2","Two-Year"))*100</f>
        <v>0</v>
      </c>
      <c r="H326" s="318">
        <f>(GETPIVOTDATA(" %UG Cor",'FTE Pivot Table'!$A$3,"State","SC","Type",9,"Type2","Two-Year"))*100</f>
        <v>0</v>
      </c>
      <c r="I326" s="122"/>
      <c r="J326" s="331"/>
      <c r="K326" s="331"/>
      <c r="L326" s="331"/>
      <c r="M326" s="331"/>
      <c r="N326" s="331"/>
      <c r="O326" s="331"/>
      <c r="P326" s="331"/>
      <c r="Q326" s="121">
        <f t="shared" si="38"/>
        <v>0</v>
      </c>
      <c r="R326" s="121">
        <f t="shared" si="39"/>
        <v>0</v>
      </c>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row>
    <row r="327" spans="1:41" ht="15.75" customHeight="1">
      <c r="A327" s="122"/>
      <c r="B327" s="318"/>
      <c r="C327" s="319"/>
      <c r="D327" s="340">
        <f t="shared" si="37"/>
        <v>0</v>
      </c>
      <c r="E327" s="318"/>
      <c r="F327" s="318"/>
      <c r="G327" s="319"/>
      <c r="H327" s="318"/>
      <c r="I327" s="122"/>
      <c r="J327" s="331"/>
      <c r="K327" s="331"/>
      <c r="L327" s="331"/>
      <c r="M327" s="331"/>
      <c r="N327" s="331"/>
      <c r="O327" s="331"/>
      <c r="P327" s="331"/>
      <c r="Q327" s="121">
        <f t="shared" si="38"/>
        <v>0</v>
      </c>
      <c r="R327" s="121">
        <f t="shared" si="39"/>
        <v>0</v>
      </c>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row>
    <row r="328" spans="1:41" ht="15.75" customHeight="1">
      <c r="A328" s="122" t="s">
        <v>543</v>
      </c>
      <c r="B328" s="318">
        <f>(GETPIVOTDATA(" %UG OnC Trad",'FTE Pivot Table'!$A$3,"State","TN","Type",9,"Type2","Two-Year"))*100</f>
        <v>0</v>
      </c>
      <c r="C328" s="319">
        <f>(GETPIVOTDATA(" %UG OffC Trad",'FTE Pivot Table'!$A$3,"State","TN","Type",9,"Type2","Two-Year"))*100</f>
        <v>0</v>
      </c>
      <c r="D328" s="340">
        <f t="shared" si="37"/>
        <v>0</v>
      </c>
      <c r="E328" s="318">
        <f>(GETPIVOTDATA(" %UG EL Web",'FTE Pivot Table'!$A$3,"State","TN","Type",9,"Type2","Two-Year"))*100</f>
        <v>0</v>
      </c>
      <c r="F328" s="318">
        <f>(GETPIVOTDATA(" % UG EL CV",'FTE Pivot Table'!$A$3,"State","TN","Type",9,"Type2","Two-Year"))*100</f>
        <v>0</v>
      </c>
      <c r="G328" s="319">
        <f>(GETPIVOTDATA(" %UG EL O",'FTE Pivot Table'!$A$3,"State","TN","Type",9,"Type2","Two-Year"))*100</f>
        <v>0</v>
      </c>
      <c r="H328" s="318">
        <f>(GETPIVOTDATA(" %UG Cor",'FTE Pivot Table'!$A$3,"State","TN","Type",9,"Type2","Two-Year"))*100</f>
        <v>0</v>
      </c>
      <c r="I328" s="122"/>
      <c r="J328" s="331"/>
      <c r="K328" s="331"/>
      <c r="L328" s="331"/>
      <c r="M328" s="331"/>
      <c r="N328" s="331"/>
      <c r="O328" s="331"/>
      <c r="P328" s="331"/>
      <c r="Q328" s="121">
        <f t="shared" si="38"/>
        <v>0</v>
      </c>
      <c r="R328" s="121">
        <f t="shared" si="39"/>
        <v>0</v>
      </c>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row>
    <row r="329" spans="1:41" ht="15.75" customHeight="1">
      <c r="A329" s="122" t="s">
        <v>277</v>
      </c>
      <c r="B329" s="318">
        <f>(GETPIVOTDATA(" %UG Onc Trad",'FTE Pivot Table'!$A$3,"State","TX","Type",9,"Type2","Two-Year"))*100</f>
        <v>75.45949733399436</v>
      </c>
      <c r="C329" s="319">
        <f>(GETPIVOTDATA(" %UG OffC Trad",'FTE Pivot Table'!$A$3,"State","TX","Type",9,"Type2","Two-Year"))*100</f>
        <v>17.74918539614536</v>
      </c>
      <c r="D329" s="340">
        <f t="shared" si="37"/>
        <v>6.791317269860272</v>
      </c>
      <c r="E329" s="318">
        <f>(GETPIVOTDATA(" %UG EL Web",'FTE Pivot Table'!$A$3,"State","TX","Type",9,"Type2","Two-Year"))*100</f>
        <v>5.1369652717942484</v>
      </c>
      <c r="F329" s="318">
        <f>(GETPIVOTDATA(" % UG EL CV",'FTE Pivot Table'!$A$3,"State","TX","Type",9,"Type2","Two-Year"))*100</f>
        <v>0.8417842490745415</v>
      </c>
      <c r="G329" s="319">
        <f>(GETPIVOTDATA(" %UG EL O",'FTE Pivot Table'!$A$3,"State","TX","Type",9,"Type2","Two-Year"))*100</f>
        <v>0.8125677489914813</v>
      </c>
      <c r="H329" s="318">
        <f>(GETPIVOTDATA(" %UG Cor",'FTE Pivot Table'!$A$3,"State","TX","Type",9,"Type2","Two-Year"))*100</f>
        <v>0</v>
      </c>
      <c r="I329" s="122"/>
      <c r="J329" s="331"/>
      <c r="K329" s="331"/>
      <c r="L329" s="331"/>
      <c r="M329" s="331"/>
      <c r="N329" s="331"/>
      <c r="O329" s="331"/>
      <c r="P329" s="331"/>
      <c r="Q329" s="121">
        <f t="shared" si="38"/>
        <v>100</v>
      </c>
      <c r="R329" s="121">
        <f t="shared" si="39"/>
        <v>0</v>
      </c>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row>
    <row r="330" spans="1:41" ht="15.75" customHeight="1">
      <c r="A330" s="122" t="s">
        <v>544</v>
      </c>
      <c r="B330" s="318">
        <f>(GETPIVOTDATA(" %UG OnC Trad",'FTE Pivot Table'!$A$3,"State","VA","Type",9,"Type2","Two-Year"))*100</f>
        <v>0</v>
      </c>
      <c r="C330" s="319">
        <f>(GETPIVOTDATA(" %UG OffC Trad",'FTE Pivot Table'!$A$3,"State","VA","Type",9,"Type2","Two-Year"))*100</f>
        <v>0</v>
      </c>
      <c r="D330" s="340">
        <f t="shared" si="37"/>
        <v>0</v>
      </c>
      <c r="E330" s="318">
        <f>(GETPIVOTDATA(" %UG EL Web",'FTE Pivot Table'!$A$3,"State","VA","Type",9,"Type2","Two-Year"))*100</f>
        <v>0</v>
      </c>
      <c r="F330" s="318">
        <f>(GETPIVOTDATA(" % UG EL CV",'FTE Pivot Table'!$A$3,"State","VA","Type",9,"Type2","Two-Year"))*100</f>
        <v>0</v>
      </c>
      <c r="G330" s="319">
        <f>(GETPIVOTDATA(" %UG EL O",'FTE Pivot Table'!$A$3,"State","VA","Type",9,"Type2","Two-Year"))*100</f>
        <v>0</v>
      </c>
      <c r="H330" s="318">
        <f>(GETPIVOTDATA(" %UG Cor",'FTE Pivot Table'!$A$3,"State","VA","Type",9,"Type2","Two-Year"))*100</f>
        <v>0</v>
      </c>
      <c r="I330" s="122"/>
      <c r="J330" s="331"/>
      <c r="K330" s="331"/>
      <c r="L330" s="331"/>
      <c r="M330" s="331"/>
      <c r="N330" s="331"/>
      <c r="O330" s="331"/>
      <c r="P330" s="331"/>
      <c r="Q330" s="121">
        <f t="shared" si="38"/>
        <v>0</v>
      </c>
      <c r="R330" s="121">
        <f t="shared" si="39"/>
        <v>0</v>
      </c>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row>
    <row r="331" spans="1:41" ht="15.75" customHeight="1">
      <c r="A331" s="116" t="s">
        <v>633</v>
      </c>
      <c r="B331" s="317">
        <f>(GETPIVOTDATA(" %UG OnC Trad",'FTE Pivot Table'!$A$3,"State","WV","Type",9,"Type2","Two-Year"))*100</f>
        <v>73.21914906493978</v>
      </c>
      <c r="C331" s="320">
        <f>(GETPIVOTDATA(" %UG OffC Trad",'FTE Pivot Table'!$A$3,"State","WV","Type",9,"Type2","Two-Year"))*100</f>
        <v>25.611269139986685</v>
      </c>
      <c r="D331" s="342">
        <f t="shared" si="37"/>
        <v>1.169581795073534</v>
      </c>
      <c r="E331" s="317">
        <f>(GETPIVOTDATA(" %UG EL Web",'FTE Pivot Table'!$A$3,"State","WV","Type",9,"Type2","Two-Year"))*100</f>
        <v>0.8291472492888702</v>
      </c>
      <c r="F331" s="317">
        <f>(GETPIVOTDATA(" % UG EL CV",'FTE Pivot Table'!$A$3,"State","WV","Type",9,"Type2","Two-Year"))*100</f>
        <v>0</v>
      </c>
      <c r="G331" s="320">
        <f>(GETPIVOTDATA(" %UG EL O",'FTE Pivot Table'!$A$3,"State","WV","Type",9,"Type2","Two-Year"))*100</f>
        <v>0.3404345457846638</v>
      </c>
      <c r="H331" s="317">
        <f>(GETPIVOTDATA(" %UG Cor",'FTE Pivot Table'!$A$3,"State","WV","Type",9,"Type2","Two-Year"))*100</f>
        <v>0</v>
      </c>
      <c r="I331" s="122"/>
      <c r="J331" s="331"/>
      <c r="K331" s="331"/>
      <c r="L331" s="331"/>
      <c r="M331" s="331"/>
      <c r="N331" s="331"/>
      <c r="O331" s="331"/>
      <c r="P331" s="331"/>
      <c r="Q331" s="121">
        <f t="shared" si="38"/>
        <v>100.00000000000001</v>
      </c>
      <c r="R331" s="121">
        <f t="shared" si="39"/>
        <v>0</v>
      </c>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row>
    <row r="332" spans="1:41" s="279" customFormat="1" ht="18" customHeight="1">
      <c r="A332" s="347" t="s">
        <v>634</v>
      </c>
      <c r="B332" s="283"/>
      <c r="C332" s="283"/>
      <c r="D332" s="284"/>
      <c r="E332" s="283"/>
      <c r="F332" s="284"/>
      <c r="G332" s="284"/>
      <c r="H332" s="283"/>
      <c r="I332" s="347"/>
      <c r="J332" s="283"/>
      <c r="K332" s="283"/>
      <c r="L332" s="284"/>
      <c r="M332" s="283"/>
      <c r="N332" s="284"/>
      <c r="O332" s="284"/>
      <c r="P332" s="283"/>
      <c r="Q332" s="283"/>
      <c r="R332" s="283"/>
      <c r="S332" s="285"/>
      <c r="T332" s="285"/>
      <c r="U332" s="285"/>
      <c r="V332" s="285"/>
      <c r="W332" s="285"/>
      <c r="X332" s="285"/>
      <c r="Y332" s="285"/>
      <c r="Z332" s="285"/>
      <c r="AA332" s="285"/>
      <c r="AB332" s="285"/>
      <c r="AC332" s="285"/>
      <c r="AD332" s="285"/>
      <c r="AE332" s="285"/>
      <c r="AF332" s="285"/>
      <c r="AG332" s="285"/>
      <c r="AH332" s="285"/>
      <c r="AI332" s="285"/>
      <c r="AJ332" s="285"/>
      <c r="AK332" s="285"/>
      <c r="AL332" s="285"/>
      <c r="AM332" s="285"/>
      <c r="AN332" s="285"/>
      <c r="AO332" s="285"/>
    </row>
    <row r="333" spans="1:18" s="279" customFormat="1" ht="13.5" customHeight="1">
      <c r="A333" s="347" t="s">
        <v>641</v>
      </c>
      <c r="B333" s="278"/>
      <c r="H333" s="277"/>
      <c r="I333" s="347"/>
      <c r="P333" s="280"/>
      <c r="Q333" s="281"/>
      <c r="R333" s="282"/>
    </row>
    <row r="334" spans="1:18" s="279" customFormat="1" ht="13.5" customHeight="1">
      <c r="A334" s="348" t="s">
        <v>639</v>
      </c>
      <c r="H334" s="277"/>
      <c r="I334" s="348"/>
      <c r="Q334" s="281"/>
      <c r="R334" s="282"/>
    </row>
    <row r="335" spans="8:18" s="279" customFormat="1" ht="11.25">
      <c r="H335" s="351" t="s">
        <v>642</v>
      </c>
      <c r="I335" s="277"/>
      <c r="J335" s="277"/>
      <c r="K335" s="277"/>
      <c r="L335" s="277"/>
      <c r="M335" s="277"/>
      <c r="N335" s="277"/>
      <c r="O335" s="277"/>
      <c r="P335" s="277"/>
      <c r="Q335" s="277"/>
      <c r="R335" s="277"/>
    </row>
    <row r="336" spans="1:17" ht="18">
      <c r="A336" s="113" t="s">
        <v>589</v>
      </c>
      <c r="B336" s="114"/>
      <c r="C336" s="114"/>
      <c r="D336" s="114"/>
      <c r="E336" s="114"/>
      <c r="F336" s="114"/>
      <c r="G336" s="114"/>
      <c r="H336" s="132"/>
      <c r="I336" s="131"/>
      <c r="J336" s="122"/>
      <c r="K336" s="122"/>
      <c r="L336" s="132"/>
      <c r="M336" s="122"/>
      <c r="N336" s="122"/>
      <c r="O336" s="122"/>
      <c r="P336" s="122"/>
      <c r="Q336" s="270"/>
    </row>
    <row r="337" spans="1:16" ht="12.75">
      <c r="A337" s="293"/>
      <c r="B337" s="115"/>
      <c r="C337" s="115"/>
      <c r="D337" s="115"/>
      <c r="E337" s="115"/>
      <c r="F337" s="115"/>
      <c r="G337" s="115"/>
      <c r="H337" s="127"/>
      <c r="I337" s="131"/>
      <c r="J337" s="122"/>
      <c r="K337" s="122"/>
      <c r="L337" s="122"/>
      <c r="M337" s="122"/>
      <c r="N337" s="122"/>
      <c r="O337" s="122"/>
      <c r="P337" s="122"/>
    </row>
    <row r="338" spans="1:16" ht="15.75">
      <c r="A338" s="124" t="s">
        <v>617</v>
      </c>
      <c r="B338" s="115"/>
      <c r="C338" s="115"/>
      <c r="D338" s="115"/>
      <c r="E338" s="115"/>
      <c r="F338" s="115"/>
      <c r="G338" s="115"/>
      <c r="H338" s="127"/>
      <c r="I338" s="131"/>
      <c r="J338" s="122"/>
      <c r="K338" s="122"/>
      <c r="L338" s="127"/>
      <c r="M338" s="122"/>
      <c r="N338" s="122"/>
      <c r="O338" s="122"/>
      <c r="P338" s="122"/>
    </row>
    <row r="339" spans="1:16" ht="15.75">
      <c r="A339" s="124" t="s">
        <v>557</v>
      </c>
      <c r="B339" s="115"/>
      <c r="C339" s="115"/>
      <c r="D339" s="115"/>
      <c r="E339" s="115"/>
      <c r="F339" s="115"/>
      <c r="G339" s="115"/>
      <c r="H339" s="127"/>
      <c r="I339" s="131"/>
      <c r="J339" s="122"/>
      <c r="K339" s="122"/>
      <c r="L339" s="122"/>
      <c r="M339" s="122"/>
      <c r="N339" s="122"/>
      <c r="O339" s="122"/>
      <c r="P339" s="122"/>
    </row>
    <row r="340" spans="1:16" ht="12.75">
      <c r="A340" s="116"/>
      <c r="B340" s="117"/>
      <c r="C340" s="117"/>
      <c r="D340" s="117"/>
      <c r="E340" s="117"/>
      <c r="F340" s="117"/>
      <c r="G340" s="117"/>
      <c r="H340" s="117"/>
      <c r="I340" s="131"/>
      <c r="J340" s="122"/>
      <c r="K340" s="122"/>
      <c r="L340" s="122"/>
      <c r="M340" s="122"/>
      <c r="N340" s="122"/>
      <c r="O340" s="122"/>
      <c r="P340" s="122"/>
    </row>
    <row r="341" spans="1:16" ht="12.75">
      <c r="A341" s="300"/>
      <c r="B341" s="301" t="s">
        <v>279</v>
      </c>
      <c r="C341" s="301"/>
      <c r="D341" s="301"/>
      <c r="E341" s="301"/>
      <c r="F341" s="301"/>
      <c r="G341" s="301"/>
      <c r="H341" s="302"/>
      <c r="I341" s="131"/>
      <c r="J341" s="122"/>
      <c r="K341" s="122"/>
      <c r="L341" s="122"/>
      <c r="M341" s="122"/>
      <c r="N341" s="122"/>
      <c r="O341" s="122"/>
      <c r="P341" s="122"/>
    </row>
    <row r="342" spans="1:16" ht="12.75">
      <c r="A342" s="300"/>
      <c r="B342" s="301" t="s">
        <v>173</v>
      </c>
      <c r="C342" s="301"/>
      <c r="D342" s="370" t="s">
        <v>629</v>
      </c>
      <c r="E342" s="371"/>
      <c r="F342" s="371"/>
      <c r="G342" s="371"/>
      <c r="H342" s="306" t="s">
        <v>2</v>
      </c>
      <c r="I342" s="131"/>
      <c r="J342" s="122"/>
      <c r="K342" s="122"/>
      <c r="L342" s="122"/>
      <c r="M342" s="122"/>
      <c r="N342" s="122"/>
      <c r="O342" s="122"/>
      <c r="P342" s="122"/>
    </row>
    <row r="343" spans="1:16" ht="36">
      <c r="A343" s="300"/>
      <c r="B343" s="307" t="s">
        <v>612</v>
      </c>
      <c r="C343" s="308" t="s">
        <v>611</v>
      </c>
      <c r="D343" s="309" t="s">
        <v>626</v>
      </c>
      <c r="E343" s="310" t="s">
        <v>0</v>
      </c>
      <c r="F343" s="307" t="s">
        <v>174</v>
      </c>
      <c r="G343" s="311" t="s">
        <v>631</v>
      </c>
      <c r="H343" s="312" t="s">
        <v>630</v>
      </c>
      <c r="I343" s="131"/>
      <c r="J343" s="122"/>
      <c r="K343" s="122"/>
      <c r="L343" s="122"/>
      <c r="M343" s="122"/>
      <c r="N343" s="122"/>
      <c r="O343" s="122"/>
      <c r="P343" s="122"/>
    </row>
    <row r="344" spans="1:41" ht="15.75" customHeight="1">
      <c r="A344" s="123" t="s">
        <v>534</v>
      </c>
      <c r="B344" s="318">
        <f>(GETPIVOTDATA(" %UG OnC Trad",'FTE Pivot Table'!$A$3,"State","AL","Type",10,"Type2","Two-Year"))*100</f>
        <v>0</v>
      </c>
      <c r="C344" s="319">
        <f>(GETPIVOTDATA(" %UG OffC Trad",'FTE Pivot Table'!$A$3,"State","AL","Type",10,"Type2","Two-Year"))*100</f>
        <v>0</v>
      </c>
      <c r="D344" s="340">
        <f aca="true" t="shared" si="40" ref="D344:D362">SUM(E344:G344)</f>
        <v>0</v>
      </c>
      <c r="E344" s="318">
        <f>(GETPIVOTDATA(" %UG EL Web",'FTE Pivot Table'!$A$3,"State","AL","Type",10,"Type2","Two-Year"))*100</f>
        <v>0</v>
      </c>
      <c r="F344" s="341">
        <f>(GETPIVOTDATA(" % UG EL CV",'FTE Pivot Table'!$A$3,"State","AL","Type",10,"Type2","Two-Year"))*100</f>
        <v>0</v>
      </c>
      <c r="G344" s="319">
        <f>(GETPIVOTDATA(" %UG EL O",'FTE Pivot Table'!$A$3,"State","AL","Type",10,"Type2","Two-Year"))*100</f>
        <v>0</v>
      </c>
      <c r="H344" s="318">
        <f>(GETPIVOTDATA(" %UG Cor",'FTE Pivot Table'!$A$3,"State","AL","Type",10,"Type2","Two-Year"))*100</f>
        <v>0</v>
      </c>
      <c r="I344" s="122"/>
      <c r="J344" s="331"/>
      <c r="K344" s="331"/>
      <c r="L344" s="331"/>
      <c r="M344" s="331"/>
      <c r="N344" s="331"/>
      <c r="O344" s="331"/>
      <c r="P344" s="331"/>
      <c r="Q344" s="121">
        <f aca="true" t="shared" si="41" ref="Q344:Q362">SUM(B344,C344,D344,H344)</f>
        <v>0</v>
      </c>
      <c r="R344" s="121">
        <f aca="true" t="shared" si="42" ref="R344:R362">SUM(J344,K344,L344,P344)</f>
        <v>0</v>
      </c>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row>
    <row r="345" spans="1:41" ht="15.75" customHeight="1">
      <c r="A345" s="122" t="s">
        <v>535</v>
      </c>
      <c r="B345" s="318">
        <f>(GETPIVOTDATA(" %UG OnC Trad",'FTE Pivot Table'!$A$3,"State","AR","Type",10,"Type2","Two-Year"))*100</f>
        <v>85.72096982046217</v>
      </c>
      <c r="C345" s="319">
        <f>(GETPIVOTDATA(" %UG OffC Trad",'FTE Pivot Table'!$A$3,"State","AR","Type",10,"Type2","Two-Year"))*100</f>
        <v>7.33720950657837</v>
      </c>
      <c r="D345" s="340">
        <f t="shared" si="40"/>
        <v>6.9418206729594605</v>
      </c>
      <c r="E345" s="318">
        <f>(GETPIVOTDATA(" %UG EL Web",'FTE Pivot Table'!$A$3,"State","AR","Type",10,"Type2","Two-Year"))*100</f>
        <v>3.0960414806960506</v>
      </c>
      <c r="F345" s="318">
        <f>(GETPIVOTDATA(" % UG EL CV",'FTE Pivot Table'!$A$3,"State","AR","Type",10,"Type2","Two-Year"))*100</f>
        <v>1.4007879032734554</v>
      </c>
      <c r="G345" s="319">
        <f>(GETPIVOTDATA(" %UG EL O",'FTE Pivot Table'!$A$3,"State","AR","Type",10,"Type2","Two-Year"))*100</f>
        <v>2.444991288989954</v>
      </c>
      <c r="H345" s="318">
        <f>(GETPIVOTDATA(" %UG Cor",'FTE Pivot Table'!$A$3,"State","AR","Type",10,"Type2","Two-Year"))*100</f>
        <v>0</v>
      </c>
      <c r="I345" s="122"/>
      <c r="J345" s="331"/>
      <c r="K345" s="331"/>
      <c r="L345" s="331"/>
      <c r="M345" s="331"/>
      <c r="N345" s="331"/>
      <c r="O345" s="331"/>
      <c r="P345" s="331"/>
      <c r="Q345" s="121">
        <f t="shared" si="41"/>
        <v>100.00000000000001</v>
      </c>
      <c r="R345" s="121">
        <f t="shared" si="42"/>
        <v>0</v>
      </c>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row>
    <row r="346" spans="1:41" ht="15.75" customHeight="1">
      <c r="A346" s="122" t="s">
        <v>536</v>
      </c>
      <c r="B346" s="318">
        <f>(GETPIVOTDATA(" %UG OnC Trad",'FTE Pivot Table'!$A$3,"State","DE","Type",10,"Type2","Two-Year"))*100</f>
        <v>0</v>
      </c>
      <c r="C346" s="319">
        <f>(GETPIVOTDATA(" %UG OffC Trad",'FTE Pivot Table'!$A$3,"State","DE","Type",10,"Type2","Two-Year"))*100</f>
        <v>0</v>
      </c>
      <c r="D346" s="340">
        <f t="shared" si="40"/>
        <v>0</v>
      </c>
      <c r="E346" s="318">
        <f>(GETPIVOTDATA(" %UG EL Web",'FTE Pivot Table'!$A$3,"State","DE","Type",10,"Type2","Two-Year"))*100</f>
        <v>0</v>
      </c>
      <c r="F346" s="318">
        <f>(GETPIVOTDATA(" % UG EL CV",'FTE Pivot Table'!$A$3,"State","DE","Type",10,"Type2","Two-Year"))*100</f>
        <v>0</v>
      </c>
      <c r="G346" s="319">
        <f>(GETPIVOTDATA(" %UG EL O",'FTE Pivot Table'!$A$3,"State","DE","Type",10,"Type2","Two-Year"))*100</f>
        <v>0</v>
      </c>
      <c r="H346" s="318">
        <f>(GETPIVOTDATA(" %UG Cor",'FTE Pivot Table'!$A$3,"State","DE","Type",10,"Type2","Two-Year"))*100</f>
        <v>0</v>
      </c>
      <c r="I346" s="122"/>
      <c r="J346" s="331"/>
      <c r="K346" s="331"/>
      <c r="L346" s="331"/>
      <c r="M346" s="331"/>
      <c r="N346" s="331"/>
      <c r="O346" s="331"/>
      <c r="P346" s="331"/>
      <c r="Q346" s="121">
        <f t="shared" si="41"/>
        <v>0</v>
      </c>
      <c r="R346" s="121">
        <f t="shared" si="42"/>
        <v>0</v>
      </c>
      <c r="S346" s="134"/>
      <c r="T346" s="27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row>
    <row r="347" spans="1:41" ht="15.75" customHeight="1">
      <c r="A347" s="122" t="s">
        <v>537</v>
      </c>
      <c r="B347" s="318">
        <f>(GETPIVOTDATA(" %UG OnC Trad",'FTE Pivot Table'!$A$3,"State","FL","Type",10,"Type2","Two-Year"))*100</f>
        <v>92.21467533698977</v>
      </c>
      <c r="C347" s="319">
        <f>(GETPIVOTDATA(" %UG OffC Trad",'FTE Pivot Table'!$A$3,"State","FL","Type",10,"Type2","Two-Year"))*100</f>
        <v>0</v>
      </c>
      <c r="D347" s="340">
        <f t="shared" si="40"/>
        <v>6.811160961587408</v>
      </c>
      <c r="E347" s="318">
        <f>(GETPIVOTDATA(" %UG EL Web",'FTE Pivot Table'!$A$3,"State","FL","Type",10,"Type2","Two-Year"))*100</f>
        <v>4.323849543610295</v>
      </c>
      <c r="F347" s="318">
        <f>(GETPIVOTDATA(" % UG EL CV",'FTE Pivot Table'!$A$3,"State","FL","Type",10,"Type2","Two-Year"))*100</f>
        <v>0.9437210857533549</v>
      </c>
      <c r="G347" s="319">
        <f>(GETPIVOTDATA(" %UG EL O",'FTE Pivot Table'!$A$3,"State","FL","Type",10,"Type2","Two-Year"))*100</f>
        <v>1.5435903322237583</v>
      </c>
      <c r="H347" s="318">
        <f>(GETPIVOTDATA(" %UG Cor",'FTE Pivot Table'!$A$3,"State","FL","Type",10,"Type2","Two-Year"))*100</f>
        <v>0.974163701422818</v>
      </c>
      <c r="I347" s="122"/>
      <c r="J347" s="331"/>
      <c r="K347" s="331"/>
      <c r="L347" s="331"/>
      <c r="M347" s="331"/>
      <c r="N347" s="331"/>
      <c r="O347" s="331"/>
      <c r="P347" s="331"/>
      <c r="Q347" s="121">
        <f t="shared" si="41"/>
        <v>100</v>
      </c>
      <c r="R347" s="121">
        <f t="shared" si="42"/>
        <v>0</v>
      </c>
      <c r="S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row>
    <row r="348" spans="1:41" ht="15.75" customHeight="1">
      <c r="A348" s="122"/>
      <c r="B348" s="318"/>
      <c r="C348" s="319"/>
      <c r="D348" s="340">
        <f t="shared" si="40"/>
        <v>0</v>
      </c>
      <c r="E348" s="318"/>
      <c r="F348" s="318"/>
      <c r="G348" s="319"/>
      <c r="H348" s="318"/>
      <c r="I348" s="122"/>
      <c r="J348" s="331"/>
      <c r="K348" s="331"/>
      <c r="L348" s="331"/>
      <c r="M348" s="331"/>
      <c r="N348" s="331"/>
      <c r="O348" s="331"/>
      <c r="P348" s="331"/>
      <c r="Q348" s="121">
        <f t="shared" si="41"/>
        <v>0</v>
      </c>
      <c r="R348" s="121">
        <f t="shared" si="42"/>
        <v>0</v>
      </c>
      <c r="S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row>
    <row r="349" spans="1:41" ht="15.75" customHeight="1">
      <c r="A349" s="122" t="s">
        <v>538</v>
      </c>
      <c r="B349" s="318">
        <f>(GETPIVOTDATA(" %UG OnC Trad",'FTE Pivot Table'!$A$3,"State","GA","Type",10,"Type2","Two-Year"))*100</f>
        <v>75.06927152372576</v>
      </c>
      <c r="C349" s="319">
        <f>(GETPIVOTDATA(" %UG OffC Trad",'FTE Pivot Table'!$A$3,"State","GA","Type",10,"Type2","Two-Year"))*100</f>
        <v>22.251816613878532</v>
      </c>
      <c r="D349" s="340">
        <f t="shared" si="40"/>
        <v>2.678911862395714</v>
      </c>
      <c r="E349" s="318">
        <f>(GETPIVOTDATA(" %UG EL Web",'FTE Pivot Table'!$A$3,"State","GA","Type",10,"Type2","Two-Year"))*100</f>
        <v>1.3852928261818143</v>
      </c>
      <c r="F349" s="318">
        <f>(GETPIVOTDATA(" % UG EL CV",'FTE Pivot Table'!$A$3,"State","GA","Type",10,"Type2","Two-Year"))*100</f>
        <v>0.6777803930961103</v>
      </c>
      <c r="G349" s="319">
        <f>(GETPIVOTDATA(" %UG EL O",'FTE Pivot Table'!$A$3,"State","GA","Type",10,"Type2","Two-Year"))*100</f>
        <v>0.6158386431177898</v>
      </c>
      <c r="H349" s="318">
        <f>(GETPIVOTDATA(" %UG Cor",'FTE Pivot Table'!$A$3,"State","GA","Type",10,"Type2","Two-Year"))*100</f>
        <v>0</v>
      </c>
      <c r="I349" s="122"/>
      <c r="J349" s="331"/>
      <c r="K349" s="331"/>
      <c r="L349" s="331"/>
      <c r="M349" s="331"/>
      <c r="N349" s="331"/>
      <c r="O349" s="331"/>
      <c r="P349" s="331"/>
      <c r="Q349" s="121">
        <f t="shared" si="41"/>
        <v>100</v>
      </c>
      <c r="R349" s="121">
        <f t="shared" si="42"/>
        <v>0</v>
      </c>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row>
    <row r="350" spans="1:41" ht="15.75" customHeight="1">
      <c r="A350" s="122" t="s">
        <v>539</v>
      </c>
      <c r="B350" s="318">
        <f>(GETPIVOTDATA(" %UG OnC Trad",'FTE Pivot Table'!$A$3,"State","KY","Type",10,"Type2","Two-Year"))*100</f>
        <v>76.23103639180636</v>
      </c>
      <c r="C350" s="319">
        <f>(GETPIVOTDATA(" %UG OffC Trad",'FTE Pivot Table'!$A$3,"State","KY","Type",10,"Type2","Two-Year"))*100</f>
        <v>13.065702006986015</v>
      </c>
      <c r="D350" s="340">
        <f t="shared" si="40"/>
        <v>10.703261601207618</v>
      </c>
      <c r="E350" s="318">
        <f>(GETPIVOTDATA(" %UG EL Web",'FTE Pivot Table'!$A$3,"State","KY","Type",10,"Type2","Two-Year"))*100</f>
        <v>8.781708905378117</v>
      </c>
      <c r="F350" s="318">
        <f>(GETPIVOTDATA(" % UG EL CV",'FTE Pivot Table'!$A$3,"State","KY","Type",10,"Type2","Two-Year"))*100</f>
        <v>0.9554989982992994</v>
      </c>
      <c r="G350" s="319">
        <f>(GETPIVOTDATA(" %UG EL O",'FTE Pivot Table'!$A$3,"State","KY","Type",10,"Type2","Two-Year"))*100</f>
        <v>0.9660536975302003</v>
      </c>
      <c r="H350" s="318">
        <f>(GETPIVOTDATA(" %UG Cor",'FTE Pivot Table'!$A$3,"State","KY","Type",10,"Type2","Two-Year"))*100</f>
        <v>0</v>
      </c>
      <c r="I350" s="122"/>
      <c r="J350" s="331"/>
      <c r="K350" s="331"/>
      <c r="L350" s="331"/>
      <c r="M350" s="331"/>
      <c r="N350" s="331"/>
      <c r="O350" s="331"/>
      <c r="P350" s="331"/>
      <c r="Q350" s="121">
        <f t="shared" si="41"/>
        <v>99.99999999999999</v>
      </c>
      <c r="R350" s="121">
        <f t="shared" si="42"/>
        <v>0</v>
      </c>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row>
    <row r="351" spans="1:41" ht="15.75" customHeight="1">
      <c r="A351" s="122" t="s">
        <v>540</v>
      </c>
      <c r="B351" s="318">
        <f>(GETPIVOTDATA(" %UG OnC Trad",'FTE Pivot Table'!$A$3,"State","LA","Type",10,"Type2","Two-Year"))*100</f>
        <v>0</v>
      </c>
      <c r="C351" s="319">
        <f>(GETPIVOTDATA(" %UG OffC Trad",'FTE Pivot Table'!$A$3,"State","LA","Type",10,"Type2","Two-Year"))*100</f>
        <v>0</v>
      </c>
      <c r="D351" s="340">
        <f t="shared" si="40"/>
        <v>0</v>
      </c>
      <c r="E351" s="318">
        <f>(GETPIVOTDATA(" %UG EL Web",'FTE Pivot Table'!$A$3,"State","LA","Type",10,"Type2","Two-Year"))*100</f>
        <v>0</v>
      </c>
      <c r="F351" s="318">
        <f>(GETPIVOTDATA(" % UG EL CV",'FTE Pivot Table'!$A$3,"State","LA","Type",10,"Type2","Two-Year"))*100</f>
        <v>0</v>
      </c>
      <c r="G351" s="319">
        <f>(GETPIVOTDATA(" %UG EL O",'FTE Pivot Table'!$A$3,"State","LA","Type",10,"Type2","Two-Year"))*100</f>
        <v>0</v>
      </c>
      <c r="H351" s="318">
        <f>(GETPIVOTDATA(" %UG Cor",'FTE Pivot Table'!$A$3,"State","LA","Type",10,"Type2","Two-Year"))*100</f>
        <v>0</v>
      </c>
      <c r="I351" s="122"/>
      <c r="J351" s="331"/>
      <c r="K351" s="331"/>
      <c r="L351" s="331"/>
      <c r="M351" s="331"/>
      <c r="N351" s="331"/>
      <c r="O351" s="331"/>
      <c r="P351" s="331"/>
      <c r="Q351" s="121">
        <f t="shared" si="41"/>
        <v>0</v>
      </c>
      <c r="R351" s="121">
        <f t="shared" si="42"/>
        <v>0</v>
      </c>
      <c r="S351" s="134"/>
      <c r="T351" s="27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row>
    <row r="352" spans="1:41" ht="15.75" customHeight="1">
      <c r="A352" s="122" t="s">
        <v>541</v>
      </c>
      <c r="B352" s="318">
        <f>(GETPIVOTDATA(" %UG OnC Trad",'FTE Pivot Table'!$A$3,"State","MD","Type",10,"Type2","Two-Year"))*100</f>
        <v>83.15534283308908</v>
      </c>
      <c r="C352" s="319">
        <f>(GETPIVOTDATA(" %UG OffC Trad",'FTE Pivot Table'!$A$3,"State","MD","Type",10,"Type2","Two-Year"))*100</f>
        <v>10.501699354557076</v>
      </c>
      <c r="D352" s="340">
        <f t="shared" si="40"/>
        <v>6.24162015528047</v>
      </c>
      <c r="E352" s="318">
        <f>(GETPIVOTDATA(" %UG EL Web",'FTE Pivot Table'!$A$3,"State","MD","Type",10,"Type2","Two-Year"))*100</f>
        <v>3.0327242680303077</v>
      </c>
      <c r="F352" s="318">
        <f>(GETPIVOTDATA(" % UG EL CV",'FTE Pivot Table'!$A$3,"State","MD","Type",10,"Type2","Two-Year"))*100</f>
        <v>2.0251941005893173</v>
      </c>
      <c r="G352" s="319">
        <f>(GETPIVOTDATA(" %UG EL O",'FTE Pivot Table'!$A$3,"State","MD","Type",10,"Type2","Two-Year"))*100</f>
        <v>1.1837017866608461</v>
      </c>
      <c r="H352" s="318">
        <f>(GETPIVOTDATA(" %UG Cor",'FTE Pivot Table'!$A$3,"State","MD","Type",10,"Type2","Two-Year"))*100</f>
        <v>0.10133765707336846</v>
      </c>
      <c r="I352" s="122"/>
      <c r="J352" s="331"/>
      <c r="K352" s="331"/>
      <c r="L352" s="331"/>
      <c r="M352" s="331"/>
      <c r="N352" s="331"/>
      <c r="O352" s="331"/>
      <c r="P352" s="331"/>
      <c r="Q352" s="121">
        <f t="shared" si="41"/>
        <v>100</v>
      </c>
      <c r="R352" s="121">
        <f t="shared" si="42"/>
        <v>0</v>
      </c>
      <c r="S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row>
    <row r="353" spans="1:41" ht="15.75" customHeight="1">
      <c r="A353" s="122"/>
      <c r="B353" s="318"/>
      <c r="C353" s="319"/>
      <c r="D353" s="340">
        <f t="shared" si="40"/>
        <v>0</v>
      </c>
      <c r="E353" s="318"/>
      <c r="F353" s="318"/>
      <c r="G353" s="319"/>
      <c r="H353" s="318"/>
      <c r="I353" s="122"/>
      <c r="J353" s="331"/>
      <c r="K353" s="331"/>
      <c r="L353" s="331"/>
      <c r="M353" s="331"/>
      <c r="N353" s="331"/>
      <c r="O353" s="331"/>
      <c r="P353" s="331"/>
      <c r="Q353" s="121">
        <f t="shared" si="41"/>
        <v>0</v>
      </c>
      <c r="R353" s="121">
        <f t="shared" si="42"/>
        <v>0</v>
      </c>
      <c r="S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row>
    <row r="354" spans="1:41" ht="15.75" customHeight="1">
      <c r="A354" s="122" t="s">
        <v>640</v>
      </c>
      <c r="B354" s="318">
        <f>(GETPIVOTDATA(" %UG OnC Trad",'FTE Pivot Table'!$A$3,"State","MS","Type",10,"Type2","Two-Year"))*100</f>
        <v>93.8053205311991</v>
      </c>
      <c r="C354" s="319">
        <f>(GETPIVOTDATA(" %UG OffC Trad",'FTE Pivot Table'!$A$3,"State","MS","Type",10,"Type2","Two-Year"))*100</f>
        <v>0</v>
      </c>
      <c r="D354" s="340">
        <f t="shared" si="40"/>
        <v>6.194679468800898</v>
      </c>
      <c r="E354" s="318">
        <f>(GETPIVOTDATA(" %UG EL Web",'FTE Pivot Table'!$A$3,"State","MS","Type",10,"Type2","Two-Year"))*100</f>
        <v>6.194679468800898</v>
      </c>
      <c r="F354" s="318">
        <f>(GETPIVOTDATA(" % UG EL CV",'FTE Pivot Table'!$A$3,"State","MS","Type",10,"Type2","Two-Year"))*100</f>
        <v>0</v>
      </c>
      <c r="G354" s="319">
        <f>(GETPIVOTDATA(" %UG EL O",'FTE Pivot Table'!$A$3,"State","MS","Type",10,"Type2","Two-Year"))*100</f>
        <v>0</v>
      </c>
      <c r="H354" s="318">
        <f>(GETPIVOTDATA(" %UG Cor",'FTE Pivot Table'!$A$3,"State","MS","Type",10,"Type2","Two-Year"))*100</f>
        <v>0</v>
      </c>
      <c r="I354" s="122"/>
      <c r="J354" s="331"/>
      <c r="K354" s="331"/>
      <c r="L354" s="331"/>
      <c r="M354" s="331"/>
      <c r="N354" s="331"/>
      <c r="O354" s="331"/>
      <c r="P354" s="331"/>
      <c r="Q354" s="121">
        <f t="shared" si="41"/>
        <v>100</v>
      </c>
      <c r="R354" s="121">
        <f t="shared" si="42"/>
        <v>0</v>
      </c>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row>
    <row r="355" spans="1:41" ht="15.75" customHeight="1">
      <c r="A355" s="122" t="s">
        <v>176</v>
      </c>
      <c r="B355" s="318">
        <f>(GETPIVOTDATA(" %UG OnC Trad",'FTE Pivot Table'!$A$3,"State","NC","Type",10,"Type2","Two-Year"))*100</f>
        <v>73.11798090997611</v>
      </c>
      <c r="C355" s="319">
        <f>(GETPIVOTDATA(" %UG OffC Trad",'FTE Pivot Table'!$A$3,"State","NC","Type",10,"Type2","Two-Year"))*100</f>
        <v>19.784519032461326</v>
      </c>
      <c r="D355" s="340">
        <f t="shared" si="40"/>
        <v>7.097500057562558</v>
      </c>
      <c r="E355" s="318">
        <f>(GETPIVOTDATA(" %UG EL Web",'FTE Pivot Table'!$A$3,"State","NC","Type",10,"Type2","Two-Year"))*100</f>
        <v>5.19265513883284</v>
      </c>
      <c r="F355" s="318">
        <f>(GETPIVOTDATA(" % UG EL CV",'FTE Pivot Table'!$A$3,"State","NC","Type",10,"Type2","Two-Year"))*100</f>
        <v>0.9169229342010707</v>
      </c>
      <c r="G355" s="319">
        <f>(GETPIVOTDATA(" %UG EL O",'FTE Pivot Table'!$A$3,"State","NC","Type",10,"Type2","Two-Year"))*100</f>
        <v>0.9879219845286483</v>
      </c>
      <c r="H355" s="318">
        <f>(GETPIVOTDATA(" %UG Cor",'FTE Pivot Table'!$A$3,"State","NC","Type",10,"Type2","Two-Year"))*100</f>
        <v>0</v>
      </c>
      <c r="I355" s="122"/>
      <c r="J355" s="331"/>
      <c r="K355" s="331"/>
      <c r="L355" s="331"/>
      <c r="M355" s="331"/>
      <c r="N355" s="331"/>
      <c r="O355" s="331"/>
      <c r="P355" s="331"/>
      <c r="Q355" s="121">
        <f t="shared" si="41"/>
        <v>99.99999999999999</v>
      </c>
      <c r="R355" s="121">
        <f t="shared" si="42"/>
        <v>0</v>
      </c>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row>
    <row r="356" spans="1:41" ht="15.75" customHeight="1">
      <c r="A356" s="122" t="s">
        <v>169</v>
      </c>
      <c r="B356" s="318">
        <f>(GETPIVOTDATA(" %UG OnC Trad",'FTE Pivot Table'!$A$3,"State","OK","Type",10,"Type2","Two-Year"))*100</f>
        <v>84.38662365363936</v>
      </c>
      <c r="C356" s="319">
        <f>(GETPIVOTDATA(" %UG OffC Trad",'FTE Pivot Table'!$A$3,"State","OK","Type",10,"Type2","Two-Year"))*100</f>
        <v>6.863280859790459</v>
      </c>
      <c r="D356" s="340">
        <f t="shared" si="40"/>
        <v>8.75009548657018</v>
      </c>
      <c r="E356" s="318">
        <f>(GETPIVOTDATA(" %UG EL Web",'FTE Pivot Table'!$A$3,"State","OK","Type",10,"Type2","Two-Year"))*100</f>
        <v>3.537116364341495</v>
      </c>
      <c r="F356" s="318">
        <f>(GETPIVOTDATA(" % UG EL CV",'FTE Pivot Table'!$A$3,"State","OK","Type",10,"Type2","Two-Year"))*100</f>
        <v>2.9586146514593286</v>
      </c>
      <c r="G356" s="319">
        <f>(GETPIVOTDATA(" %UG EL O",'FTE Pivot Table'!$A$3,"State","OK","Type",10,"Type2","Two-Year"))*100</f>
        <v>2.254364470769357</v>
      </c>
      <c r="H356" s="318">
        <f>(GETPIVOTDATA(" %UG Cor",'FTE Pivot Table'!$A$3,"State","OK","Type",10,"Type2","Two-Year"))*100</f>
        <v>0</v>
      </c>
      <c r="I356" s="122"/>
      <c r="J356" s="331"/>
      <c r="K356" s="331"/>
      <c r="L356" s="331"/>
      <c r="M356" s="331"/>
      <c r="N356" s="331"/>
      <c r="O356" s="331"/>
      <c r="P356" s="331"/>
      <c r="Q356" s="121">
        <f t="shared" si="41"/>
        <v>100</v>
      </c>
      <c r="R356" s="121">
        <f t="shared" si="42"/>
        <v>0</v>
      </c>
      <c r="S356" s="134"/>
      <c r="T356" s="27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row>
    <row r="357" spans="1:41" ht="15.75" customHeight="1">
      <c r="A357" s="122" t="s">
        <v>542</v>
      </c>
      <c r="B357" s="318">
        <f>(GETPIVOTDATA(" %UG OnC Trad",'FTE Pivot Table'!$A$3,"State","SC","Type",10,"Type2","Two-Year"))*100</f>
        <v>0</v>
      </c>
      <c r="C357" s="319">
        <f>(GETPIVOTDATA(" %UG OffC Trad",'FTE Pivot Table'!$A$3,"State","SC","Type",10,"Type2","Two-Year"))*100</f>
        <v>0</v>
      </c>
      <c r="D357" s="340">
        <f t="shared" si="40"/>
        <v>0</v>
      </c>
      <c r="E357" s="318">
        <f>(GETPIVOTDATA(" %UG EL Web",'FTE Pivot Table'!$A$3,"State","SC","Type",10,"Type2","Two-Year"))*100</f>
        <v>0</v>
      </c>
      <c r="F357" s="318">
        <f>(GETPIVOTDATA(" % UG EL CV",'FTE Pivot Table'!$A$3,"State","SC","Type",10,"Type2","Two-Year"))*100</f>
        <v>0</v>
      </c>
      <c r="G357" s="319">
        <f>(GETPIVOTDATA(" %UG EL O",'FTE Pivot Table'!$A$3,"State","SC","Type",10,"Type2","Two-Year"))*100</f>
        <v>0</v>
      </c>
      <c r="H357" s="318">
        <f>(GETPIVOTDATA(" %UG Cor",'FTE Pivot Table'!$A$3,"State","SC","Type",10,"Type2","Two-Year"))*100</f>
        <v>0</v>
      </c>
      <c r="I357" s="122"/>
      <c r="J357" s="331"/>
      <c r="K357" s="331"/>
      <c r="L357" s="331"/>
      <c r="M357" s="331"/>
      <c r="N357" s="331"/>
      <c r="O357" s="331"/>
      <c r="P357" s="331"/>
      <c r="Q357" s="121">
        <f t="shared" si="41"/>
        <v>0</v>
      </c>
      <c r="R357" s="121">
        <f t="shared" si="42"/>
        <v>0</v>
      </c>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row>
    <row r="358" spans="1:41" ht="15.75" customHeight="1">
      <c r="A358" s="122"/>
      <c r="B358" s="318"/>
      <c r="C358" s="319"/>
      <c r="D358" s="340">
        <f t="shared" si="40"/>
        <v>0</v>
      </c>
      <c r="E358" s="318"/>
      <c r="F358" s="318"/>
      <c r="G358" s="319"/>
      <c r="H358" s="318"/>
      <c r="I358" s="122"/>
      <c r="J358" s="331"/>
      <c r="K358" s="331"/>
      <c r="L358" s="331"/>
      <c r="M358" s="331"/>
      <c r="N358" s="331"/>
      <c r="O358" s="331"/>
      <c r="P358" s="331"/>
      <c r="Q358" s="121">
        <f t="shared" si="41"/>
        <v>0</v>
      </c>
      <c r="R358" s="121">
        <f t="shared" si="42"/>
        <v>0</v>
      </c>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row>
    <row r="359" spans="1:41" ht="15.75" customHeight="1">
      <c r="A359" s="122" t="s">
        <v>543</v>
      </c>
      <c r="B359" s="318">
        <f>(GETPIVOTDATA(" %UG OnC Trad",'FTE Pivot Table'!$A$3,"State","TN","Type",10,"Type2","Two-Year"))*100</f>
        <v>0</v>
      </c>
      <c r="C359" s="319">
        <f>(GETPIVOTDATA(" %UG OffC Trad",'FTE Pivot Table'!$A$3,"State","TN","Type",10,"Type2","Two-Year"))*100</f>
        <v>0</v>
      </c>
      <c r="D359" s="340">
        <f t="shared" si="40"/>
        <v>0</v>
      </c>
      <c r="E359" s="318">
        <f>(GETPIVOTDATA(" %UG EL Web",'FTE Pivot Table'!$A$3,"State","TN","Type",10,"Type2","Two-Year"))*100</f>
        <v>0</v>
      </c>
      <c r="F359" s="318">
        <f>(GETPIVOTDATA(" % UG EL CV",'FTE Pivot Table'!$A$3,"State","TN","Type",10,"Type2","Two-Year"))*100</f>
        <v>0</v>
      </c>
      <c r="G359" s="319">
        <f>(GETPIVOTDATA(" %UG EL O",'FTE Pivot Table'!$A$3,"State","TN","Type",10,"Type2","Two-Year"))*100</f>
        <v>0</v>
      </c>
      <c r="H359" s="318">
        <f>(GETPIVOTDATA(" %UG Cor",'FTE Pivot Table'!$A$3,"State","TN","Type",10,"Type2","Two-Year"))*100</f>
        <v>0</v>
      </c>
      <c r="I359" s="122"/>
      <c r="J359" s="331"/>
      <c r="K359" s="331"/>
      <c r="L359" s="331"/>
      <c r="M359" s="331"/>
      <c r="N359" s="331"/>
      <c r="O359" s="331"/>
      <c r="P359" s="331"/>
      <c r="Q359" s="121">
        <f t="shared" si="41"/>
        <v>0</v>
      </c>
      <c r="R359" s="121">
        <f t="shared" si="42"/>
        <v>0</v>
      </c>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row>
    <row r="360" spans="1:41" ht="15.75" customHeight="1">
      <c r="A360" s="122" t="s">
        <v>277</v>
      </c>
      <c r="B360" s="318">
        <f>(GETPIVOTDATA(" %UG Onc Trad",'FTE Pivot Table'!$A$3,"State","TX","Type",10,"Type2","Two-Year"))*100</f>
        <v>61.32595473666102</v>
      </c>
      <c r="C360" s="319">
        <f>(GETPIVOTDATA(" %UG OffC Trad",'FTE Pivot Table'!$A$3,"State","TX","Type",10,"Type2","Two-Year"))*100</f>
        <v>30.799175558201746</v>
      </c>
      <c r="D360" s="340">
        <f t="shared" si="40"/>
        <v>7.874869705137244</v>
      </c>
      <c r="E360" s="318">
        <f>(GETPIVOTDATA(" %UG EL Web",'FTE Pivot Table'!$A$3,"State","TX","Type",10,"Type2","Two-Year"))*100</f>
        <v>4.404556693866949</v>
      </c>
      <c r="F360" s="318">
        <f>(GETPIVOTDATA(" % UG EL CV",'FTE Pivot Table'!$A$3,"State","TX","Type",10,"Type2","Two-Year"))*100</f>
        <v>2.879980299754084</v>
      </c>
      <c r="G360" s="319">
        <f>(GETPIVOTDATA(" %UG EL O",'FTE Pivot Table'!$A$3,"State","TX","Type",10,"Type2","Two-Year"))*100</f>
        <v>0.5903327115162106</v>
      </c>
      <c r="H360" s="318">
        <f>(GETPIVOTDATA(" %UG Cor",'FTE Pivot Table'!$A$3,"State","TX","Type",10,"Type2","Two-Year"))*100</f>
        <v>0</v>
      </c>
      <c r="I360" s="122"/>
      <c r="J360" s="331"/>
      <c r="K360" s="331"/>
      <c r="L360" s="331"/>
      <c r="M360" s="331"/>
      <c r="N360" s="331"/>
      <c r="O360" s="331"/>
      <c r="P360" s="331"/>
      <c r="Q360" s="121">
        <f t="shared" si="41"/>
        <v>100.00000000000001</v>
      </c>
      <c r="R360" s="121">
        <f t="shared" si="42"/>
        <v>0</v>
      </c>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row>
    <row r="361" spans="1:41" ht="15.75" customHeight="1">
      <c r="A361" s="122" t="s">
        <v>544</v>
      </c>
      <c r="B361" s="318">
        <f>(GETPIVOTDATA(" %UG OnC Trad",'FTE Pivot Table'!$A$3,"State","VA","Type",10,"Type2","Two-Year"))*100</f>
        <v>0</v>
      </c>
      <c r="C361" s="319">
        <f>(GETPIVOTDATA(" %UG OffC Trad",'FTE Pivot Table'!$A$3,"State","VA","Type",10,"Type2","Two-Year"))*100</f>
        <v>0</v>
      </c>
      <c r="D361" s="340">
        <f t="shared" si="40"/>
        <v>0</v>
      </c>
      <c r="E361" s="318">
        <f>(GETPIVOTDATA(" %UG EL Web",'FTE Pivot Table'!$A$3,"State","VA","Type",10,"Type2","Two-Year"))*100</f>
        <v>0</v>
      </c>
      <c r="F361" s="318">
        <f>(GETPIVOTDATA(" % UG EL CV",'FTE Pivot Table'!$A$3,"State","VA","Type",10,"Type2","Two-Year"))*100</f>
        <v>0</v>
      </c>
      <c r="G361" s="319">
        <f>(GETPIVOTDATA(" %UG EL O",'FTE Pivot Table'!$A$3,"State","VA","Type",10,"Type2","Two-Year"))*100</f>
        <v>0</v>
      </c>
      <c r="H361" s="318">
        <f>(GETPIVOTDATA(" %UG Cor",'FTE Pivot Table'!$A$3,"State","VA","Type",10,"Type2","Two-Year"))*100</f>
        <v>0</v>
      </c>
      <c r="I361" s="122"/>
      <c r="J361" s="331"/>
      <c r="K361" s="331"/>
      <c r="L361" s="331"/>
      <c r="M361" s="331"/>
      <c r="N361" s="331"/>
      <c r="O361" s="331"/>
      <c r="P361" s="331"/>
      <c r="Q361" s="121">
        <f t="shared" si="41"/>
        <v>0</v>
      </c>
      <c r="R361" s="121">
        <f t="shared" si="42"/>
        <v>0</v>
      </c>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row>
    <row r="362" spans="1:41" ht="15.75" customHeight="1">
      <c r="A362" s="116" t="s">
        <v>633</v>
      </c>
      <c r="B362" s="317">
        <f>(GETPIVOTDATA(" %UG OnC Trad",'FTE Pivot Table'!$A$3,"State","WV","Type",10,"Type2","Two-Year"))*100</f>
        <v>85.77652674091298</v>
      </c>
      <c r="C362" s="320">
        <f>(GETPIVOTDATA(" %UG OffC Trad",'FTE Pivot Table'!$A$3,"State","WV","Type",10,"Type2","Two-Year"))*100</f>
        <v>8.47044425406927</v>
      </c>
      <c r="D362" s="342">
        <f t="shared" si="40"/>
        <v>5.753029005017746</v>
      </c>
      <c r="E362" s="317">
        <f>(GETPIVOTDATA(" %UG EL Web",'FTE Pivot Table'!$A$3,"State","WV","Type",10,"Type2","Two-Year"))*100</f>
        <v>3.026312568841023</v>
      </c>
      <c r="F362" s="317">
        <f>(GETPIVOTDATA(" % UG EL CV",'FTE Pivot Table'!$A$3,"State","WV","Type",10,"Type2","Two-Year"))*100</f>
        <v>2.6190184799902094</v>
      </c>
      <c r="G362" s="320">
        <f>(GETPIVOTDATA(" %UG EL O",'FTE Pivot Table'!$A$3,"State","WV","Type",10,"Type2","Two-Year"))*100</f>
        <v>0.10769795618651327</v>
      </c>
      <c r="H362" s="317">
        <f>(GETPIVOTDATA(" %UG Cor",'FTE Pivot Table'!$A$3,"State","WV","Type",10,"Type2","Two-Year"))*100</f>
        <v>0</v>
      </c>
      <c r="I362" s="122"/>
      <c r="J362" s="331"/>
      <c r="K362" s="331"/>
      <c r="L362" s="331"/>
      <c r="M362" s="331"/>
      <c r="N362" s="331"/>
      <c r="O362" s="331"/>
      <c r="P362" s="331"/>
      <c r="Q362" s="121">
        <f t="shared" si="41"/>
        <v>100</v>
      </c>
      <c r="R362" s="121">
        <f t="shared" si="42"/>
        <v>0</v>
      </c>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row>
    <row r="363" spans="1:41" s="279" customFormat="1" ht="18" customHeight="1">
      <c r="A363" s="347" t="s">
        <v>634</v>
      </c>
      <c r="B363" s="283"/>
      <c r="C363" s="283"/>
      <c r="D363" s="284"/>
      <c r="E363" s="283"/>
      <c r="F363" s="284"/>
      <c r="G363" s="284"/>
      <c r="H363" s="283"/>
      <c r="I363" s="347"/>
      <c r="J363" s="283"/>
      <c r="K363" s="283"/>
      <c r="L363" s="284"/>
      <c r="M363" s="283"/>
      <c r="N363" s="284"/>
      <c r="O363" s="284"/>
      <c r="P363" s="283"/>
      <c r="Q363" s="283"/>
      <c r="R363" s="283"/>
      <c r="S363" s="285"/>
      <c r="T363" s="285"/>
      <c r="U363" s="285"/>
      <c r="V363" s="285"/>
      <c r="W363" s="285"/>
      <c r="X363" s="285"/>
      <c r="Y363" s="285"/>
      <c r="Z363" s="285"/>
      <c r="AA363" s="285"/>
      <c r="AB363" s="285"/>
      <c r="AC363" s="285"/>
      <c r="AD363" s="285"/>
      <c r="AE363" s="285"/>
      <c r="AF363" s="285"/>
      <c r="AG363" s="285"/>
      <c r="AH363" s="285"/>
      <c r="AI363" s="285"/>
      <c r="AJ363" s="285"/>
      <c r="AK363" s="285"/>
      <c r="AL363" s="285"/>
      <c r="AM363" s="285"/>
      <c r="AN363" s="285"/>
      <c r="AO363" s="285"/>
    </row>
    <row r="364" spans="1:18" s="279" customFormat="1" ht="13.5" customHeight="1">
      <c r="A364" s="347" t="s">
        <v>641</v>
      </c>
      <c r="B364" s="278"/>
      <c r="H364" s="277"/>
      <c r="I364" s="347"/>
      <c r="P364" s="280"/>
      <c r="Q364" s="281"/>
      <c r="R364" s="282"/>
    </row>
    <row r="365" spans="1:18" s="279" customFormat="1" ht="13.5" customHeight="1">
      <c r="A365" s="348" t="s">
        <v>639</v>
      </c>
      <c r="H365" s="277"/>
      <c r="I365" s="348"/>
      <c r="Q365" s="281"/>
      <c r="R365" s="282"/>
    </row>
    <row r="366" spans="1:41" s="279" customFormat="1" ht="11.25">
      <c r="A366" s="277"/>
      <c r="B366" s="283"/>
      <c r="C366" s="283"/>
      <c r="D366" s="284"/>
      <c r="E366" s="283"/>
      <c r="F366" s="284"/>
      <c r="G366" s="284"/>
      <c r="H366" s="351" t="s">
        <v>642</v>
      </c>
      <c r="I366" s="286"/>
      <c r="J366" s="277"/>
      <c r="K366" s="277"/>
      <c r="L366" s="277"/>
      <c r="M366" s="277"/>
      <c r="N366" s="277"/>
      <c r="O366" s="277"/>
      <c r="P366" s="277"/>
      <c r="Q366" s="283"/>
      <c r="R366" s="283"/>
      <c r="S366" s="285"/>
      <c r="T366" s="285"/>
      <c r="U366" s="285"/>
      <c r="V366" s="285"/>
      <c r="W366" s="285"/>
      <c r="X366" s="285"/>
      <c r="Y366" s="285"/>
      <c r="Z366" s="285"/>
      <c r="AA366" s="285"/>
      <c r="AB366" s="285"/>
      <c r="AC366" s="285"/>
      <c r="AD366" s="285"/>
      <c r="AE366" s="285"/>
      <c r="AF366" s="285"/>
      <c r="AG366" s="285"/>
      <c r="AH366" s="285"/>
      <c r="AI366" s="285"/>
      <c r="AJ366" s="285"/>
      <c r="AK366" s="285"/>
      <c r="AL366" s="285"/>
      <c r="AM366" s="285"/>
      <c r="AN366" s="285"/>
      <c r="AO366" s="285"/>
    </row>
    <row r="367" spans="1:16" ht="18">
      <c r="A367" s="113" t="s">
        <v>590</v>
      </c>
      <c r="B367" s="114"/>
      <c r="C367" s="114"/>
      <c r="D367" s="114"/>
      <c r="E367" s="114"/>
      <c r="F367" s="114"/>
      <c r="G367" s="114"/>
      <c r="H367" s="132"/>
      <c r="I367" s="131"/>
      <c r="J367" s="122"/>
      <c r="K367" s="122"/>
      <c r="L367" s="122"/>
      <c r="M367" s="122"/>
      <c r="N367" s="122"/>
      <c r="O367" s="122"/>
      <c r="P367" s="122"/>
    </row>
    <row r="368" spans="1:16" ht="12.75">
      <c r="A368" s="293"/>
      <c r="B368" s="115"/>
      <c r="C368" s="115"/>
      <c r="D368" s="115"/>
      <c r="E368" s="115"/>
      <c r="F368" s="115"/>
      <c r="G368" s="115"/>
      <c r="H368" s="127"/>
      <c r="I368" s="131"/>
      <c r="J368" s="122"/>
      <c r="K368" s="122"/>
      <c r="L368" s="122"/>
      <c r="M368" s="122"/>
      <c r="N368" s="122"/>
      <c r="O368" s="122"/>
      <c r="P368" s="122"/>
    </row>
    <row r="369" spans="1:16" ht="15.75">
      <c r="A369" s="124" t="s">
        <v>617</v>
      </c>
      <c r="B369" s="115"/>
      <c r="C369" s="115"/>
      <c r="D369" s="115"/>
      <c r="E369" s="115"/>
      <c r="F369" s="115"/>
      <c r="G369" s="115"/>
      <c r="H369" s="127"/>
      <c r="I369" s="131"/>
      <c r="J369" s="122"/>
      <c r="K369" s="122"/>
      <c r="L369" s="122"/>
      <c r="M369" s="122"/>
      <c r="N369" s="122"/>
      <c r="O369" s="122"/>
      <c r="P369" s="122"/>
    </row>
    <row r="370" spans="1:16" ht="15.75">
      <c r="A370" s="124" t="s">
        <v>598</v>
      </c>
      <c r="B370" s="115"/>
      <c r="C370" s="115"/>
      <c r="D370" s="115"/>
      <c r="E370" s="115"/>
      <c r="F370" s="115"/>
      <c r="G370" s="115"/>
      <c r="H370" s="127"/>
      <c r="I370" s="131"/>
      <c r="J370" s="122"/>
      <c r="K370" s="122"/>
      <c r="L370" s="122"/>
      <c r="M370" s="122"/>
      <c r="N370" s="122"/>
      <c r="O370" s="122"/>
      <c r="P370" s="122"/>
    </row>
    <row r="371" spans="1:16" ht="12.75">
      <c r="A371" s="116"/>
      <c r="B371" s="117"/>
      <c r="C371" s="117"/>
      <c r="D371" s="117"/>
      <c r="E371" s="117"/>
      <c r="F371" s="117"/>
      <c r="G371" s="117"/>
      <c r="H371" s="117"/>
      <c r="I371" s="131"/>
      <c r="J371" s="122"/>
      <c r="K371" s="122"/>
      <c r="L371" s="122"/>
      <c r="M371" s="122"/>
      <c r="N371" s="122"/>
      <c r="O371" s="122"/>
      <c r="P371" s="122"/>
    </row>
    <row r="372" spans="1:16" ht="12.75">
      <c r="A372" s="300"/>
      <c r="B372" s="301" t="s">
        <v>279</v>
      </c>
      <c r="C372" s="301"/>
      <c r="D372" s="301"/>
      <c r="E372" s="301"/>
      <c r="F372" s="301"/>
      <c r="G372" s="301"/>
      <c r="H372" s="302"/>
      <c r="I372" s="131"/>
      <c r="J372" s="122"/>
      <c r="K372" s="122"/>
      <c r="L372" s="122"/>
      <c r="M372" s="122"/>
      <c r="N372" s="122"/>
      <c r="O372" s="122"/>
      <c r="P372" s="122"/>
    </row>
    <row r="373" spans="1:16" ht="12.75">
      <c r="A373" s="300"/>
      <c r="B373" s="301" t="s">
        <v>173</v>
      </c>
      <c r="C373" s="301"/>
      <c r="D373" s="370" t="s">
        <v>629</v>
      </c>
      <c r="E373" s="371"/>
      <c r="F373" s="371"/>
      <c r="G373" s="371"/>
      <c r="H373" s="306" t="s">
        <v>2</v>
      </c>
      <c r="I373" s="131"/>
      <c r="J373" s="122"/>
      <c r="K373" s="122"/>
      <c r="L373" s="122"/>
      <c r="M373" s="122"/>
      <c r="N373" s="122"/>
      <c r="O373" s="122"/>
      <c r="P373" s="122"/>
    </row>
    <row r="374" spans="1:16" ht="36">
      <c r="A374" s="300"/>
      <c r="B374" s="307" t="s">
        <v>612</v>
      </c>
      <c r="C374" s="308" t="s">
        <v>611</v>
      </c>
      <c r="D374" s="309" t="s">
        <v>626</v>
      </c>
      <c r="E374" s="310" t="s">
        <v>0</v>
      </c>
      <c r="F374" s="307" t="s">
        <v>174</v>
      </c>
      <c r="G374" s="311" t="s">
        <v>631</v>
      </c>
      <c r="H374" s="312" t="s">
        <v>630</v>
      </c>
      <c r="I374" s="131"/>
      <c r="J374" s="122"/>
      <c r="K374" s="122"/>
      <c r="L374" s="122"/>
      <c r="M374" s="122"/>
      <c r="N374" s="122"/>
      <c r="O374" s="122"/>
      <c r="P374" s="122"/>
    </row>
    <row r="375" spans="1:41" ht="15.75" customHeight="1">
      <c r="A375" s="123" t="s">
        <v>534</v>
      </c>
      <c r="B375" s="318">
        <f>+GETPIVOTDATA(" %UG OnC Trad",'FTE Pivot Table'!$A$3,"State","AL","Type2","Technical")*100</f>
        <v>0</v>
      </c>
      <c r="C375" s="319">
        <f>+GETPIVOTDATA(" %UG OffC Trad",'FTE Pivot Table'!$A$3,"State","AL","Type2","Technical")*100</f>
        <v>0</v>
      </c>
      <c r="D375" s="340">
        <f aca="true" t="shared" si="43" ref="D375:D393">SUM(E375:G375)</f>
        <v>0</v>
      </c>
      <c r="E375" s="318">
        <f>+GETPIVOTDATA(" %UG EL Web",'FTE Pivot Table'!$A$3,"State","AL","Type2","Technical")*100</f>
        <v>0</v>
      </c>
      <c r="F375" s="341">
        <f>+GETPIVOTDATA(" % UG EL CV",'FTE Pivot Table'!$A$3,"State","AL","Type2","Technical")*100</f>
        <v>0</v>
      </c>
      <c r="G375" s="319">
        <f>+GETPIVOTDATA(" %UG EL O",'FTE Pivot Table'!$A$3,"State","AL","Type2","Technical")*100</f>
        <v>0</v>
      </c>
      <c r="H375" s="318">
        <f>+GETPIVOTDATA(" %UG Cor",'FTE Pivot Table'!$A$3,"State","AL","Type2","Technical")*100</f>
        <v>0</v>
      </c>
      <c r="I375" s="122"/>
      <c r="J375" s="331"/>
      <c r="K375" s="331"/>
      <c r="L375" s="331"/>
      <c r="M375" s="331"/>
      <c r="N375" s="331"/>
      <c r="O375" s="331"/>
      <c r="P375" s="331"/>
      <c r="Q375" s="121">
        <f aca="true" t="shared" si="44" ref="Q375:Q393">SUM(B375,C375,D375,H375)</f>
        <v>0</v>
      </c>
      <c r="R375" s="121">
        <f aca="true" t="shared" si="45" ref="R375:R393">SUM(J375,K375,L375,P375)</f>
        <v>0</v>
      </c>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row>
    <row r="376" spans="1:41" ht="15.75" customHeight="1">
      <c r="A376" s="122" t="s">
        <v>535</v>
      </c>
      <c r="B376" s="318">
        <f>+GETPIVOTDATA(" %UG OnC Trad",'FTE Pivot Table'!$A$3,"State","AR","Type2","Technical")*100</f>
        <v>0</v>
      </c>
      <c r="C376" s="319">
        <f>+GETPIVOTDATA(" %UG OffC Trad",'FTE Pivot Table'!$A$3,"State","AR","Type2","Technical")*100</f>
        <v>0</v>
      </c>
      <c r="D376" s="340">
        <f t="shared" si="43"/>
        <v>0</v>
      </c>
      <c r="E376" s="318">
        <f>+GETPIVOTDATA(" %UG EL Web",'FTE Pivot Table'!$A$3,"State","AR","Type2","Technical")*100</f>
        <v>0</v>
      </c>
      <c r="F376" s="318">
        <f>+GETPIVOTDATA(" % UG EL CV",'FTE Pivot Table'!$A$3,"State","AR","Type2","Technical")*100</f>
        <v>0</v>
      </c>
      <c r="G376" s="319">
        <f>+GETPIVOTDATA(" %UG EL O",'FTE Pivot Table'!$A$3,"State","AR","Type2","Technical")*100</f>
        <v>0</v>
      </c>
      <c r="H376" s="318">
        <f>+GETPIVOTDATA(" %UG Cor",'FTE Pivot Table'!$A$3,"State","AR","Type2","Technical")*100</f>
        <v>0</v>
      </c>
      <c r="I376" s="122"/>
      <c r="J376" s="331"/>
      <c r="K376" s="331"/>
      <c r="L376" s="331"/>
      <c r="M376" s="331"/>
      <c r="N376" s="331"/>
      <c r="O376" s="331"/>
      <c r="P376" s="331"/>
      <c r="Q376" s="121">
        <f t="shared" si="44"/>
        <v>0</v>
      </c>
      <c r="R376" s="121">
        <f t="shared" si="45"/>
        <v>0</v>
      </c>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row>
    <row r="377" spans="1:41" ht="15.75" customHeight="1">
      <c r="A377" s="122" t="s">
        <v>536</v>
      </c>
      <c r="B377" s="318">
        <f>+GETPIVOTDATA(" %UG OnC Trad",'FTE Pivot Table'!$A$3,"State","DE","Type2","Technical")*100</f>
        <v>0</v>
      </c>
      <c r="C377" s="319">
        <f>+GETPIVOTDATA(" %UG OffC Trad",'FTE Pivot Table'!$A$3,"State","DE","Type2","Technical")*100</f>
        <v>0</v>
      </c>
      <c r="D377" s="340">
        <f t="shared" si="43"/>
        <v>0</v>
      </c>
      <c r="E377" s="318">
        <f>+GETPIVOTDATA(" %UG EL Web",'FTE Pivot Table'!$A$3,"State","DE","Type2","Technical")*100</f>
        <v>0</v>
      </c>
      <c r="F377" s="318">
        <f>+GETPIVOTDATA(" % UG EL CV",'FTE Pivot Table'!$A$3,"State","DE","Type2","Technical")*100</f>
        <v>0</v>
      </c>
      <c r="G377" s="319">
        <f>+GETPIVOTDATA(" %UG EL O",'FTE Pivot Table'!$A$3,"State","DE","Type2","Technical")*100</f>
        <v>0</v>
      </c>
      <c r="H377" s="318">
        <f>+GETPIVOTDATA(" %UG Cor",'FTE Pivot Table'!$A$3,"State","DE","Type2","Technical")*100</f>
        <v>0</v>
      </c>
      <c r="I377" s="122"/>
      <c r="J377" s="331"/>
      <c r="K377" s="331"/>
      <c r="L377" s="331"/>
      <c r="M377" s="331"/>
      <c r="N377" s="331"/>
      <c r="O377" s="331"/>
      <c r="P377" s="331"/>
      <c r="Q377" s="121">
        <f t="shared" si="44"/>
        <v>0</v>
      </c>
      <c r="R377" s="121">
        <f t="shared" si="45"/>
        <v>0</v>
      </c>
      <c r="S377" s="134"/>
      <c r="T377" s="27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row>
    <row r="378" spans="1:41" ht="15.75" customHeight="1">
      <c r="A378" s="122" t="s">
        <v>537</v>
      </c>
      <c r="B378" s="318">
        <f>+GETPIVOTDATA(" %UG OnC Trad",'FTE Pivot Table'!$A$3,"State","FL","Type2","Technical")*100</f>
        <v>0</v>
      </c>
      <c r="C378" s="319">
        <f>+GETPIVOTDATA(" %UG OffC Trad",'FTE Pivot Table'!$A$3,"State","FL","Type2","Technical")*100</f>
        <v>0</v>
      </c>
      <c r="D378" s="340">
        <f t="shared" si="43"/>
        <v>0</v>
      </c>
      <c r="E378" s="318">
        <f>+GETPIVOTDATA(" %UG EL Web",'FTE Pivot Table'!$A$3,"State","FL","Type2","Technical")*100</f>
        <v>0</v>
      </c>
      <c r="F378" s="318">
        <f>+GETPIVOTDATA(" % UG EL CV",'FTE Pivot Table'!$A$3,"State","FL","Type2","Technical")*100</f>
        <v>0</v>
      </c>
      <c r="G378" s="319">
        <f>+GETPIVOTDATA(" %UG EL O",'FTE Pivot Table'!$A$3,"State","FL","Type2","Technical")*100</f>
        <v>0</v>
      </c>
      <c r="H378" s="318">
        <f>+GETPIVOTDATA(" %UG Cor",'FTE Pivot Table'!$A$3,"State","FL","Type2","Technical")*100</f>
        <v>0</v>
      </c>
      <c r="I378" s="122"/>
      <c r="J378" s="331"/>
      <c r="K378" s="331"/>
      <c r="L378" s="331"/>
      <c r="M378" s="331"/>
      <c r="N378" s="331"/>
      <c r="O378" s="331"/>
      <c r="P378" s="331"/>
      <c r="Q378" s="121">
        <f t="shared" si="44"/>
        <v>0</v>
      </c>
      <c r="R378" s="121">
        <f t="shared" si="45"/>
        <v>0</v>
      </c>
      <c r="S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row>
    <row r="379" spans="1:41" ht="15.75" customHeight="1">
      <c r="A379" s="122"/>
      <c r="B379" s="318"/>
      <c r="C379" s="319"/>
      <c r="D379" s="340">
        <f t="shared" si="43"/>
        <v>0</v>
      </c>
      <c r="E379" s="318"/>
      <c r="F379" s="318"/>
      <c r="G379" s="319"/>
      <c r="H379" s="318"/>
      <c r="I379" s="122"/>
      <c r="J379" s="331"/>
      <c r="K379" s="331"/>
      <c r="L379" s="331"/>
      <c r="M379" s="331"/>
      <c r="N379" s="331"/>
      <c r="O379" s="331"/>
      <c r="P379" s="331"/>
      <c r="Q379" s="121">
        <f t="shared" si="44"/>
        <v>0</v>
      </c>
      <c r="R379" s="121">
        <f t="shared" si="45"/>
        <v>0</v>
      </c>
      <c r="S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row>
    <row r="380" spans="1:41" ht="15.75" customHeight="1">
      <c r="A380" s="122" t="s">
        <v>538</v>
      </c>
      <c r="B380" s="318">
        <f>+GETPIVOTDATA(" %UG OnC Trad",'FTE Pivot Table'!$A$3,"State","GA","Type2","Technical")*100</f>
        <v>92.59884514675865</v>
      </c>
      <c r="C380" s="319">
        <f>+GETPIVOTDATA(" %UG OffC Trad",'FTE Pivot Table'!$A$3,"State","GA","Type2","Technical")*100</f>
        <v>0</v>
      </c>
      <c r="D380" s="340">
        <f t="shared" si="43"/>
        <v>7.401154853241346</v>
      </c>
      <c r="E380" s="318">
        <f>+GETPIVOTDATA(" %UG EL Web",'FTE Pivot Table'!$A$3,"State","GA","Type2","Technical")*100</f>
        <v>7.401154853241346</v>
      </c>
      <c r="F380" s="318">
        <f>+GETPIVOTDATA(" % UG EL CV",'FTE Pivot Table'!$A$3,"State","GA","Type2","Technical")*100</f>
        <v>0</v>
      </c>
      <c r="G380" s="319">
        <f>+GETPIVOTDATA(" %UG EL O",'FTE Pivot Table'!$A$3,"State","GA","Type2","Technical")*100</f>
        <v>0</v>
      </c>
      <c r="H380" s="318">
        <f>+GETPIVOTDATA(" %UG Cor",'FTE Pivot Table'!$A$3,"State","GA","Type2","Technical")*100</f>
        <v>0</v>
      </c>
      <c r="I380" s="122"/>
      <c r="J380" s="331"/>
      <c r="K380" s="331"/>
      <c r="L380" s="331"/>
      <c r="M380" s="331"/>
      <c r="N380" s="331"/>
      <c r="O380" s="331"/>
      <c r="P380" s="331"/>
      <c r="Q380" s="121">
        <f t="shared" si="44"/>
        <v>100</v>
      </c>
      <c r="R380" s="121">
        <f t="shared" si="45"/>
        <v>0</v>
      </c>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row>
    <row r="381" spans="1:41" ht="15.75" customHeight="1">
      <c r="A381" s="122" t="s">
        <v>539</v>
      </c>
      <c r="B381" s="318">
        <f>+GETPIVOTDATA(" %UG OnC Trad",'FTE Pivot Table'!$A$3,"State","KY","Type2","Technical")*100</f>
        <v>88.64132185701276</v>
      </c>
      <c r="C381" s="319">
        <f>+GETPIVOTDATA(" %UG OffC Trad",'FTE Pivot Table'!$A$3,"State","KY","Type2","Technical")*100</f>
        <v>8.140634393954386</v>
      </c>
      <c r="D381" s="340">
        <f t="shared" si="43"/>
        <v>3.2180437490328586</v>
      </c>
      <c r="E381" s="318">
        <f>+GETPIVOTDATA(" %UG EL Web",'FTE Pivot Table'!$A$3,"State","KY","Type2","Technical")*100</f>
        <v>2.8993627648698768</v>
      </c>
      <c r="F381" s="318">
        <f>+GETPIVOTDATA(" % UG EL CV",'FTE Pivot Table'!$A$3,"State","KY","Type2","Technical")*100</f>
        <v>0.3101194054839766</v>
      </c>
      <c r="G381" s="343">
        <f>+GETPIVOTDATA(" %UG EL O",'FTE Pivot Table'!$A$3,"State","KY","Type2","Technical")*100</f>
        <v>0.008561578679005487</v>
      </c>
      <c r="H381" s="318">
        <f>+GETPIVOTDATA(" %UG Cor",'FTE Pivot Table'!$A$3,"State","KY","Type2","Technical")*100</f>
        <v>0</v>
      </c>
      <c r="I381" s="122"/>
      <c r="J381" s="331"/>
      <c r="K381" s="331"/>
      <c r="L381" s="331"/>
      <c r="M381" s="331"/>
      <c r="N381" s="331"/>
      <c r="O381" s="331"/>
      <c r="P381" s="331"/>
      <c r="Q381" s="121">
        <f t="shared" si="44"/>
        <v>100</v>
      </c>
      <c r="R381" s="121">
        <f t="shared" si="45"/>
        <v>0</v>
      </c>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row>
    <row r="382" spans="1:41" ht="15.75" customHeight="1">
      <c r="A382" s="122" t="s">
        <v>540</v>
      </c>
      <c r="B382" s="318">
        <f>+GETPIVOTDATA(" %UG OnC Trad",'FTE Pivot Table'!$A$3,"State","LA","Type2","Technical")*100</f>
        <v>0</v>
      </c>
      <c r="C382" s="319">
        <f>+GETPIVOTDATA(" %UG OffC Trad",'FTE Pivot Table'!$A$3,"State","LA","Type2","Technical")*100</f>
        <v>0</v>
      </c>
      <c r="D382" s="340">
        <f t="shared" si="43"/>
        <v>0</v>
      </c>
      <c r="E382" s="318">
        <f>+GETPIVOTDATA(" %UG EL Web",'FTE Pivot Table'!$A$3,"State","LA","Type2","Technical")*100</f>
        <v>0</v>
      </c>
      <c r="F382" s="318">
        <f>+GETPIVOTDATA(" % UG EL CV",'FTE Pivot Table'!$A$3,"State","LA","Type2","Technical")*100</f>
        <v>0</v>
      </c>
      <c r="G382" s="319">
        <f>+GETPIVOTDATA(" %UG EL O",'FTE Pivot Table'!$A$3,"State","LA","Type2","Technical")*100</f>
        <v>0</v>
      </c>
      <c r="H382" s="318">
        <f>+GETPIVOTDATA(" %UG Cor",'FTE Pivot Table'!$A$3,"State","LA","Type2","Technical")*100</f>
        <v>0</v>
      </c>
      <c r="I382" s="122"/>
      <c r="J382" s="331"/>
      <c r="K382" s="331"/>
      <c r="L382" s="331"/>
      <c r="M382" s="331"/>
      <c r="N382" s="331"/>
      <c r="O382" s="331"/>
      <c r="P382" s="331"/>
      <c r="Q382" s="121">
        <f t="shared" si="44"/>
        <v>0</v>
      </c>
      <c r="R382" s="121">
        <f t="shared" si="45"/>
        <v>0</v>
      </c>
      <c r="S382" s="134"/>
      <c r="T382" s="27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row>
    <row r="383" spans="1:41" ht="15.75" customHeight="1">
      <c r="A383" s="122" t="s">
        <v>541</v>
      </c>
      <c r="B383" s="318">
        <f>+GETPIVOTDATA(" %UG OnC Trad",'FTE Pivot Table'!$A$3,"State","MD","Type2","Technical")*100</f>
        <v>0</v>
      </c>
      <c r="C383" s="319">
        <f>+GETPIVOTDATA(" %UG OffC Trad",'FTE Pivot Table'!$A$3,"State","MD","Type2","Technical")*100</f>
        <v>0</v>
      </c>
      <c r="D383" s="340">
        <f t="shared" si="43"/>
        <v>0</v>
      </c>
      <c r="E383" s="318">
        <f>+GETPIVOTDATA(" %UG EL Web",'FTE Pivot Table'!$A$3,"State","MD","Type2","Technical")*100</f>
        <v>0</v>
      </c>
      <c r="F383" s="318">
        <f>+GETPIVOTDATA(" % UG EL CV",'FTE Pivot Table'!$A$3,"State","MD","Type2","Technical")*100</f>
        <v>0</v>
      </c>
      <c r="G383" s="319">
        <f>+GETPIVOTDATA(" %UG EL O",'FTE Pivot Table'!$A$3,"State","MD","Type2","Technical")*100</f>
        <v>0</v>
      </c>
      <c r="H383" s="318">
        <f>+GETPIVOTDATA(" %UG Cor",'FTE Pivot Table'!$A$3,"State","MD","Type2","Technical")*100</f>
        <v>0</v>
      </c>
      <c r="I383" s="122"/>
      <c r="J383" s="331"/>
      <c r="K383" s="331"/>
      <c r="L383" s="331"/>
      <c r="M383" s="331"/>
      <c r="N383" s="331"/>
      <c r="O383" s="331"/>
      <c r="P383" s="331"/>
      <c r="Q383" s="121">
        <f t="shared" si="44"/>
        <v>0</v>
      </c>
      <c r="R383" s="121">
        <f t="shared" si="45"/>
        <v>0</v>
      </c>
      <c r="S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row>
    <row r="384" spans="1:41" ht="15.75" customHeight="1">
      <c r="A384" s="122"/>
      <c r="B384" s="318"/>
      <c r="C384" s="319"/>
      <c r="D384" s="340">
        <f t="shared" si="43"/>
        <v>0</v>
      </c>
      <c r="E384" s="318"/>
      <c r="F384" s="318"/>
      <c r="G384" s="319"/>
      <c r="H384" s="318"/>
      <c r="I384" s="122"/>
      <c r="J384" s="331"/>
      <c r="K384" s="331"/>
      <c r="L384" s="331"/>
      <c r="M384" s="331"/>
      <c r="N384" s="331"/>
      <c r="O384" s="331"/>
      <c r="P384" s="331"/>
      <c r="Q384" s="121">
        <f t="shared" si="44"/>
        <v>0</v>
      </c>
      <c r="R384" s="121">
        <f t="shared" si="45"/>
        <v>0</v>
      </c>
      <c r="S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row>
    <row r="385" spans="1:41" ht="15.75" customHeight="1">
      <c r="A385" s="122" t="s">
        <v>168</v>
      </c>
      <c r="B385" s="318">
        <f>+GETPIVOTDATA(" %UG OnC Trad",'FTE Pivot Table'!$A$3,"State","MS","Type2","Technical")*100</f>
        <v>0</v>
      </c>
      <c r="C385" s="319">
        <f>+GETPIVOTDATA(" %UG OffC Trad",'FTE Pivot Table'!$A$3,"State","MS","Type2","Technical")*100</f>
        <v>0</v>
      </c>
      <c r="D385" s="340">
        <f t="shared" si="43"/>
        <v>0</v>
      </c>
      <c r="E385" s="318">
        <f>+GETPIVOTDATA(" %UG EL Web",'FTE Pivot Table'!$A$3,"State","MS","Type2","Technical")*100</f>
        <v>0</v>
      </c>
      <c r="F385" s="318">
        <f>+GETPIVOTDATA(" % UG EL CV",'FTE Pivot Table'!$A$3,"State","MS","Type2","Technical")*100</f>
        <v>0</v>
      </c>
      <c r="G385" s="319">
        <f>+GETPIVOTDATA(" %UG EL O",'FTE Pivot Table'!$A$3,"State","MS","Type2","Technical")*100</f>
        <v>0</v>
      </c>
      <c r="H385" s="318">
        <f>+GETPIVOTDATA(" %UG Cor",'FTE Pivot Table'!$A$3,"State","MS","Type2","Technical")*100</f>
        <v>0</v>
      </c>
      <c r="I385" s="122"/>
      <c r="J385" s="331"/>
      <c r="K385" s="331"/>
      <c r="L385" s="331"/>
      <c r="M385" s="331"/>
      <c r="N385" s="331"/>
      <c r="O385" s="331"/>
      <c r="P385" s="331"/>
      <c r="Q385" s="121">
        <f t="shared" si="44"/>
        <v>0</v>
      </c>
      <c r="R385" s="121">
        <f t="shared" si="45"/>
        <v>0</v>
      </c>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row>
    <row r="386" spans="1:41" ht="15.75" customHeight="1">
      <c r="A386" s="122" t="s">
        <v>176</v>
      </c>
      <c r="B386" s="318">
        <f>+GETPIVOTDATA(" %UG OnC Trad",'FTE Pivot Table'!$A$3,"State","NC","Type2","Technical")*100</f>
        <v>0</v>
      </c>
      <c r="C386" s="319">
        <f>+GETPIVOTDATA(" %UG OffC Trad",'FTE Pivot Table'!$A$3,"State","NC","Type2","Technical")*100</f>
        <v>0</v>
      </c>
      <c r="D386" s="340">
        <f t="shared" si="43"/>
        <v>0</v>
      </c>
      <c r="E386" s="318">
        <f>+GETPIVOTDATA(" %UG EL Web",'FTE Pivot Table'!$A$3,"State","NC","Type2","Technical")*100</f>
        <v>0</v>
      </c>
      <c r="F386" s="318">
        <f>+GETPIVOTDATA(" % UG EL CV",'FTE Pivot Table'!$A$3,"State","NC","Type2","Technical")*100</f>
        <v>0</v>
      </c>
      <c r="G386" s="319">
        <f>+GETPIVOTDATA(" %UG EL O",'FTE Pivot Table'!$A$3,"State","NC","Type2","Technical")*100</f>
        <v>0</v>
      </c>
      <c r="H386" s="318">
        <f>+GETPIVOTDATA(" %UG Cor",'FTE Pivot Table'!$A$3,"State","NC","Type2","Technical")*100</f>
        <v>0</v>
      </c>
      <c r="I386" s="122"/>
      <c r="J386" s="331"/>
      <c r="K386" s="331"/>
      <c r="L386" s="331"/>
      <c r="M386" s="331"/>
      <c r="N386" s="331"/>
      <c r="O386" s="331"/>
      <c r="P386" s="331"/>
      <c r="Q386" s="121">
        <f t="shared" si="44"/>
        <v>0</v>
      </c>
      <c r="R386" s="121">
        <f t="shared" si="45"/>
        <v>0</v>
      </c>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row>
    <row r="387" spans="1:41" ht="15.75" customHeight="1">
      <c r="A387" s="122" t="s">
        <v>169</v>
      </c>
      <c r="B387" s="318">
        <f>+GETPIVOTDATA(" %UG OnC Trad",'FTE Pivot Table'!$A$3,"State","OK","Type2","Technical")*100</f>
        <v>0</v>
      </c>
      <c r="C387" s="319">
        <f>+GETPIVOTDATA(" %UG OffC Trad",'FTE Pivot Table'!$A$3,"State","OK","Type2","Technical")*100</f>
        <v>0</v>
      </c>
      <c r="D387" s="340">
        <f t="shared" si="43"/>
        <v>0</v>
      </c>
      <c r="E387" s="318">
        <f>+GETPIVOTDATA(" %UG EL Web",'FTE Pivot Table'!$A$3,"State","OK","Type2","Technical")*100</f>
        <v>0</v>
      </c>
      <c r="F387" s="318">
        <f>+GETPIVOTDATA(" % UG EL CV",'FTE Pivot Table'!$A$3,"State","OK","Type2","Technical")*100</f>
        <v>0</v>
      </c>
      <c r="G387" s="319">
        <f>+GETPIVOTDATA(" %UG EL O",'FTE Pivot Table'!$A$3,"State","OK","Type2","Technical")*100</f>
        <v>0</v>
      </c>
      <c r="H387" s="318">
        <f>+GETPIVOTDATA(" %UG Cor",'FTE Pivot Table'!$A$3,"State","OK","Type2","Technical")*100</f>
        <v>0</v>
      </c>
      <c r="I387" s="122"/>
      <c r="J387" s="331"/>
      <c r="K387" s="331"/>
      <c r="L387" s="331"/>
      <c r="M387" s="331"/>
      <c r="N387" s="331"/>
      <c r="O387" s="331"/>
      <c r="P387" s="331"/>
      <c r="Q387" s="121">
        <f t="shared" si="44"/>
        <v>0</v>
      </c>
      <c r="R387" s="121">
        <f t="shared" si="45"/>
        <v>0</v>
      </c>
      <c r="S387" s="134"/>
      <c r="T387" s="27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row>
    <row r="388" spans="1:41" ht="15.75" customHeight="1">
      <c r="A388" s="122" t="s">
        <v>542</v>
      </c>
      <c r="B388" s="318">
        <f>+GETPIVOTDATA(" %UG OnC Trad",'FTE Pivot Table'!$A$3,"State","SC","Type2","Technical")*100</f>
        <v>0</v>
      </c>
      <c r="C388" s="319">
        <f>+GETPIVOTDATA(" %UG OffC Trad",'FTE Pivot Table'!$A$3,"State","SC","Type2","Technical")*100</f>
        <v>0</v>
      </c>
      <c r="D388" s="340">
        <f t="shared" si="43"/>
        <v>0</v>
      </c>
      <c r="E388" s="318">
        <f>+GETPIVOTDATA(" %UG EL Web",'FTE Pivot Table'!$A$3,"State","SC","Type2","Technical")*100</f>
        <v>0</v>
      </c>
      <c r="F388" s="318">
        <f>+GETPIVOTDATA(" % UG EL CV",'FTE Pivot Table'!$A$3,"State","SC","Type2","Technical")*100</f>
        <v>0</v>
      </c>
      <c r="G388" s="319">
        <f>+GETPIVOTDATA(" %UG EL O",'FTE Pivot Table'!$A$3,"State","SC","Type2","Technical")*100</f>
        <v>0</v>
      </c>
      <c r="H388" s="318">
        <f>+GETPIVOTDATA(" %UG Cor",'FTE Pivot Table'!$A$3,"State","SC","Type2","Technical")*100</f>
        <v>0</v>
      </c>
      <c r="I388" s="122"/>
      <c r="J388" s="331"/>
      <c r="K388" s="331"/>
      <c r="L388" s="331"/>
      <c r="M388" s="331"/>
      <c r="N388" s="331"/>
      <c r="O388" s="331"/>
      <c r="P388" s="331"/>
      <c r="Q388" s="121">
        <f t="shared" si="44"/>
        <v>0</v>
      </c>
      <c r="R388" s="121">
        <f t="shared" si="45"/>
        <v>0</v>
      </c>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row>
    <row r="389" spans="1:41" ht="15.75" customHeight="1">
      <c r="A389" s="122"/>
      <c r="B389" s="318"/>
      <c r="C389" s="319"/>
      <c r="D389" s="340">
        <f t="shared" si="43"/>
        <v>0</v>
      </c>
      <c r="E389" s="318"/>
      <c r="F389" s="318"/>
      <c r="G389" s="319"/>
      <c r="H389" s="318"/>
      <c r="I389" s="122"/>
      <c r="J389" s="331"/>
      <c r="K389" s="331"/>
      <c r="L389" s="331"/>
      <c r="M389" s="331"/>
      <c r="N389" s="331"/>
      <c r="O389" s="331"/>
      <c r="P389" s="331"/>
      <c r="Q389" s="121">
        <f t="shared" si="44"/>
        <v>0</v>
      </c>
      <c r="R389" s="121">
        <f t="shared" si="45"/>
        <v>0</v>
      </c>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row>
    <row r="390" spans="1:41" ht="15.75" customHeight="1">
      <c r="A390" s="122" t="s">
        <v>543</v>
      </c>
      <c r="B390" s="318">
        <f>+GETPIVOTDATA(" %UG OnC Trad",'FTE Pivot Table'!$A$3,"State","TN","Type2","Technical")*100</f>
        <v>0</v>
      </c>
      <c r="C390" s="319">
        <f>+GETPIVOTDATA(" %UG OffC Trad",'FTE Pivot Table'!$A$3,"State","TN","Type2","Technical")*100</f>
        <v>0</v>
      </c>
      <c r="D390" s="340">
        <f t="shared" si="43"/>
        <v>0</v>
      </c>
      <c r="E390" s="318">
        <f>+GETPIVOTDATA(" %UG EL Web",'FTE Pivot Table'!$A$3,"State","TN","Type2","Technical")*100</f>
        <v>0</v>
      </c>
      <c r="F390" s="318">
        <f>+GETPIVOTDATA(" % UG EL CV",'FTE Pivot Table'!$A$3,"State","TN","Type2","Technical")*100</f>
        <v>0</v>
      </c>
      <c r="G390" s="319">
        <f>+GETPIVOTDATA(" %UG EL O",'FTE Pivot Table'!$A$3,"State","TN","Type2","Technical")*100</f>
        <v>0</v>
      </c>
      <c r="H390" s="318">
        <f>+GETPIVOTDATA(" %UG Cor",'FTE Pivot Table'!$A$3,"State","TN","Type2","Technical")*100</f>
        <v>0</v>
      </c>
      <c r="I390" s="122"/>
      <c r="J390" s="331"/>
      <c r="K390" s="331"/>
      <c r="L390" s="331"/>
      <c r="M390" s="331"/>
      <c r="N390" s="331"/>
      <c r="O390" s="331"/>
      <c r="P390" s="331"/>
      <c r="Q390" s="121">
        <f t="shared" si="44"/>
        <v>0</v>
      </c>
      <c r="R390" s="121">
        <f t="shared" si="45"/>
        <v>0</v>
      </c>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row>
    <row r="391" spans="1:41" ht="15.75" customHeight="1">
      <c r="A391" s="122" t="s">
        <v>277</v>
      </c>
      <c r="B391" s="318">
        <f>+GETPIVOTDATA(" %UG OnC Trad",'FTE Pivot Table'!$A$3,"State","TX","Type2","Technical")*100</f>
        <v>0</v>
      </c>
      <c r="C391" s="319">
        <f>+GETPIVOTDATA(" %UG OffC Trad",'FTE Pivot Table'!$A$3,"State","TX","Type2","Technical")*100</f>
        <v>0</v>
      </c>
      <c r="D391" s="340">
        <f t="shared" si="43"/>
        <v>0</v>
      </c>
      <c r="E391" s="318">
        <f>+GETPIVOTDATA(" %UG EL Web",'FTE Pivot Table'!$A$3,"State","TX","Type2","Technical")*100</f>
        <v>0</v>
      </c>
      <c r="F391" s="318">
        <f>+GETPIVOTDATA(" % UG EL CV",'FTE Pivot Table'!$A$3,"State","TX","Type2","Technical")*100</f>
        <v>0</v>
      </c>
      <c r="G391" s="319">
        <f>+GETPIVOTDATA(" %UG EL O",'FTE Pivot Table'!$A$3,"State","TX","Type2","Technical")*100</f>
        <v>0</v>
      </c>
      <c r="H391" s="318">
        <f>+GETPIVOTDATA(" %UG Cor",'FTE Pivot Table'!$A$3,"State","TX","Type2","Technical")*100</f>
        <v>0</v>
      </c>
      <c r="I391" s="122"/>
      <c r="J391" s="331"/>
      <c r="K391" s="331"/>
      <c r="L391" s="331"/>
      <c r="M391" s="331"/>
      <c r="N391" s="331"/>
      <c r="O391" s="331"/>
      <c r="P391" s="331"/>
      <c r="Q391" s="121">
        <f t="shared" si="44"/>
        <v>0</v>
      </c>
      <c r="R391" s="121">
        <f t="shared" si="45"/>
        <v>0</v>
      </c>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row>
    <row r="392" spans="1:41" ht="15.75" customHeight="1">
      <c r="A392" s="122" t="s">
        <v>544</v>
      </c>
      <c r="B392" s="318">
        <f>+GETPIVOTDATA(" %UG OnC Trad",'FTE Pivot Table'!$A$3,"State","VA","Type2","Technical")*100</f>
        <v>0</v>
      </c>
      <c r="C392" s="319">
        <f>+GETPIVOTDATA(" %UG OffC Trad",'FTE Pivot Table'!$A$3,"State","VA","Type2","Technical")*100</f>
        <v>0</v>
      </c>
      <c r="D392" s="340">
        <f t="shared" si="43"/>
        <v>0</v>
      </c>
      <c r="E392" s="318">
        <f>+GETPIVOTDATA(" %UG EL Web",'FTE Pivot Table'!$A$3,"State","VA","Type2","Technical")*100</f>
        <v>0</v>
      </c>
      <c r="F392" s="318">
        <f>+GETPIVOTDATA(" % UG EL CV",'FTE Pivot Table'!$A$3,"State","VA","Type2","Technical")*100</f>
        <v>0</v>
      </c>
      <c r="G392" s="319">
        <f>+GETPIVOTDATA(" %UG EL O",'FTE Pivot Table'!$A$3,"State","VA","Type2","Technical")*100</f>
        <v>0</v>
      </c>
      <c r="H392" s="318">
        <f>+GETPIVOTDATA(" %UG Cor",'FTE Pivot Table'!$A$3,"State","VA","Type2","Technical")*100</f>
        <v>0</v>
      </c>
      <c r="I392" s="122"/>
      <c r="J392" s="331"/>
      <c r="K392" s="331"/>
      <c r="L392" s="331"/>
      <c r="M392" s="331"/>
      <c r="N392" s="331"/>
      <c r="O392" s="331"/>
      <c r="P392" s="331"/>
      <c r="Q392" s="121">
        <f t="shared" si="44"/>
        <v>0</v>
      </c>
      <c r="R392" s="121">
        <f t="shared" si="45"/>
        <v>0</v>
      </c>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row>
    <row r="393" spans="1:41" ht="15.75" customHeight="1">
      <c r="A393" s="116" t="s">
        <v>170</v>
      </c>
      <c r="B393" s="317">
        <f>+GETPIVOTDATA(" %UG OnC Trad",'FTE Pivot Table'!$A$3,"State","WV","Type2","Technical")*100</f>
        <v>0</v>
      </c>
      <c r="C393" s="320">
        <f>+GETPIVOTDATA(" %UG OffC Trad",'FTE Pivot Table'!$A$3,"State","WV","Type2","Technical")*100</f>
        <v>0</v>
      </c>
      <c r="D393" s="342">
        <f t="shared" si="43"/>
        <v>0</v>
      </c>
      <c r="E393" s="317">
        <f>+GETPIVOTDATA(" %UG EL Web",'FTE Pivot Table'!$A$3,"State","WV","Type2","Technical")*100</f>
        <v>0</v>
      </c>
      <c r="F393" s="317">
        <f>+GETPIVOTDATA(" % UG EL CV",'FTE Pivot Table'!$A$3,"State","WV","Type2","Technical")*100</f>
        <v>0</v>
      </c>
      <c r="G393" s="320">
        <f>+GETPIVOTDATA(" %UG EL O",'FTE Pivot Table'!$A$3,"State","WV","Type2","Technical")*100</f>
        <v>0</v>
      </c>
      <c r="H393" s="317">
        <f>+GETPIVOTDATA(" %UG Cor",'FTE Pivot Table'!$A$3,"State","WV","Type2","Technical")*100</f>
        <v>0</v>
      </c>
      <c r="I393" s="122"/>
      <c r="J393" s="331"/>
      <c r="K393" s="331"/>
      <c r="L393" s="331"/>
      <c r="M393" s="331"/>
      <c r="N393" s="331"/>
      <c r="O393" s="331"/>
      <c r="P393" s="331"/>
      <c r="Q393" s="121">
        <f t="shared" si="44"/>
        <v>0</v>
      </c>
      <c r="R393" s="121">
        <f t="shared" si="45"/>
        <v>0</v>
      </c>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row>
    <row r="394" spans="1:41" s="279" customFormat="1" ht="18" customHeight="1">
      <c r="A394" s="347" t="s">
        <v>634</v>
      </c>
      <c r="B394" s="283"/>
      <c r="C394" s="283"/>
      <c r="D394" s="284"/>
      <c r="E394" s="283"/>
      <c r="F394" s="284"/>
      <c r="G394" s="284"/>
      <c r="H394" s="283"/>
      <c r="I394" s="347"/>
      <c r="J394" s="283"/>
      <c r="K394" s="283"/>
      <c r="L394" s="284"/>
      <c r="M394" s="283"/>
      <c r="N394" s="284"/>
      <c r="O394" s="284"/>
      <c r="P394" s="283"/>
      <c r="Q394" s="283"/>
      <c r="R394" s="283"/>
      <c r="S394" s="285"/>
      <c r="T394" s="285"/>
      <c r="U394" s="285"/>
      <c r="V394" s="285"/>
      <c r="W394" s="285"/>
      <c r="X394" s="285"/>
      <c r="Y394" s="285"/>
      <c r="Z394" s="285"/>
      <c r="AA394" s="285"/>
      <c r="AB394" s="285"/>
      <c r="AC394" s="285"/>
      <c r="AD394" s="285"/>
      <c r="AE394" s="285"/>
      <c r="AF394" s="285"/>
      <c r="AG394" s="285"/>
      <c r="AH394" s="285"/>
      <c r="AI394" s="285"/>
      <c r="AJ394" s="285"/>
      <c r="AK394" s="285"/>
      <c r="AL394" s="285"/>
      <c r="AM394" s="285"/>
      <c r="AN394" s="285"/>
      <c r="AO394" s="285"/>
    </row>
    <row r="395" spans="2:41" s="122" customFormat="1" ht="15.75" customHeight="1">
      <c r="B395" s="318"/>
      <c r="C395" s="318"/>
      <c r="D395" s="318"/>
      <c r="E395" s="318"/>
      <c r="F395" s="318"/>
      <c r="G395" s="318"/>
      <c r="H395" s="351" t="s">
        <v>642</v>
      </c>
      <c r="J395" s="331"/>
      <c r="K395" s="331"/>
      <c r="L395" s="331"/>
      <c r="M395" s="331"/>
      <c r="N395" s="331"/>
      <c r="O395" s="331"/>
      <c r="P395" s="331"/>
      <c r="Q395" s="121"/>
      <c r="R395" s="121"/>
      <c r="S395" s="350"/>
      <c r="T395" s="350"/>
      <c r="U395" s="350"/>
      <c r="V395" s="350"/>
      <c r="W395" s="350"/>
      <c r="X395" s="350"/>
      <c r="Y395" s="350"/>
      <c r="Z395" s="350"/>
      <c r="AA395" s="350"/>
      <c r="AB395" s="350"/>
      <c r="AC395" s="350"/>
      <c r="AD395" s="350"/>
      <c r="AE395" s="350"/>
      <c r="AF395" s="350"/>
      <c r="AG395" s="350"/>
      <c r="AH395" s="350"/>
      <c r="AI395" s="350"/>
      <c r="AJ395" s="350"/>
      <c r="AK395" s="350"/>
      <c r="AL395" s="350"/>
      <c r="AM395" s="350"/>
      <c r="AN395" s="350"/>
      <c r="AO395" s="350"/>
    </row>
    <row r="396" spans="1:16" ht="18">
      <c r="A396" s="113" t="s">
        <v>591</v>
      </c>
      <c r="B396" s="114"/>
      <c r="C396" s="114"/>
      <c r="D396" s="114"/>
      <c r="E396" s="114"/>
      <c r="F396" s="114"/>
      <c r="G396" s="114"/>
      <c r="H396" s="132"/>
      <c r="I396" s="131"/>
      <c r="J396" s="122"/>
      <c r="K396" s="122"/>
      <c r="L396" s="122"/>
      <c r="M396" s="122"/>
      <c r="N396" s="122"/>
      <c r="O396" s="122"/>
      <c r="P396" s="122"/>
    </row>
    <row r="397" spans="1:16" ht="12.75">
      <c r="A397" s="293"/>
      <c r="B397" s="115"/>
      <c r="C397" s="115"/>
      <c r="D397" s="115"/>
      <c r="E397" s="115"/>
      <c r="F397" s="115"/>
      <c r="G397" s="115"/>
      <c r="H397" s="127"/>
      <c r="I397" s="131"/>
      <c r="J397" s="122"/>
      <c r="K397" s="122"/>
      <c r="L397" s="122"/>
      <c r="M397" s="122"/>
      <c r="N397" s="122"/>
      <c r="O397" s="122"/>
      <c r="P397" s="122"/>
    </row>
    <row r="398" spans="1:16" ht="15.75">
      <c r="A398" s="124" t="s">
        <v>617</v>
      </c>
      <c r="B398" s="115"/>
      <c r="C398" s="115"/>
      <c r="D398" s="115"/>
      <c r="E398" s="115"/>
      <c r="F398" s="115"/>
      <c r="G398" s="115"/>
      <c r="H398" s="127"/>
      <c r="I398" s="131"/>
      <c r="J398" s="122"/>
      <c r="K398" s="122"/>
      <c r="L398" s="122"/>
      <c r="M398" s="122"/>
      <c r="N398" s="122"/>
      <c r="O398" s="122"/>
      <c r="P398" s="122"/>
    </row>
    <row r="399" spans="1:16" ht="15.75">
      <c r="A399" s="124" t="s">
        <v>599</v>
      </c>
      <c r="B399" s="115"/>
      <c r="C399" s="115"/>
      <c r="D399" s="115"/>
      <c r="E399" s="115"/>
      <c r="F399" s="115"/>
      <c r="G399" s="115"/>
      <c r="H399" s="127"/>
      <c r="I399" s="131"/>
      <c r="J399" s="122"/>
      <c r="K399" s="122"/>
      <c r="L399" s="122"/>
      <c r="M399" s="122"/>
      <c r="N399" s="122"/>
      <c r="O399" s="122"/>
      <c r="P399" s="122"/>
    </row>
    <row r="400" spans="1:16" ht="12.75">
      <c r="A400" s="116"/>
      <c r="B400" s="117"/>
      <c r="C400" s="117"/>
      <c r="D400" s="117"/>
      <c r="E400" s="117"/>
      <c r="F400" s="117"/>
      <c r="G400" s="117"/>
      <c r="H400" s="117"/>
      <c r="I400" s="131"/>
      <c r="J400" s="122"/>
      <c r="K400" s="122"/>
      <c r="L400" s="122"/>
      <c r="M400" s="122"/>
      <c r="N400" s="122"/>
      <c r="O400" s="122"/>
      <c r="P400" s="122"/>
    </row>
    <row r="401" spans="1:16" ht="12.75">
      <c r="A401" s="300"/>
      <c r="B401" s="301" t="s">
        <v>279</v>
      </c>
      <c r="C401" s="301"/>
      <c r="D401" s="301"/>
      <c r="E401" s="301"/>
      <c r="F401" s="301"/>
      <c r="G401" s="301"/>
      <c r="H401" s="302"/>
      <c r="I401" s="131"/>
      <c r="J401" s="122"/>
      <c r="K401" s="122"/>
      <c r="L401" s="122"/>
      <c r="M401" s="122"/>
      <c r="N401" s="122"/>
      <c r="O401" s="122"/>
      <c r="P401" s="122"/>
    </row>
    <row r="402" spans="1:16" ht="12.75">
      <c r="A402" s="300"/>
      <c r="B402" s="301" t="s">
        <v>173</v>
      </c>
      <c r="C402" s="301"/>
      <c r="D402" s="370" t="s">
        <v>629</v>
      </c>
      <c r="E402" s="371"/>
      <c r="F402" s="371"/>
      <c r="G402" s="371"/>
      <c r="H402" s="306" t="s">
        <v>2</v>
      </c>
      <c r="I402" s="131"/>
      <c r="J402" s="122"/>
      <c r="K402" s="122"/>
      <c r="L402" s="122"/>
      <c r="M402" s="122"/>
      <c r="N402" s="122"/>
      <c r="O402" s="122"/>
      <c r="P402" s="122"/>
    </row>
    <row r="403" spans="1:16" ht="36">
      <c r="A403" s="300"/>
      <c r="B403" s="307" t="s">
        <v>612</v>
      </c>
      <c r="C403" s="308" t="s">
        <v>611</v>
      </c>
      <c r="D403" s="309" t="s">
        <v>626</v>
      </c>
      <c r="E403" s="310" t="s">
        <v>0</v>
      </c>
      <c r="F403" s="307" t="s">
        <v>174</v>
      </c>
      <c r="G403" s="311" t="s">
        <v>631</v>
      </c>
      <c r="H403" s="312" t="s">
        <v>630</v>
      </c>
      <c r="I403" s="131"/>
      <c r="J403" s="122"/>
      <c r="K403" s="122"/>
      <c r="L403" s="122"/>
      <c r="M403" s="122"/>
      <c r="N403" s="122"/>
      <c r="O403" s="122"/>
      <c r="P403" s="122"/>
    </row>
    <row r="404" spans="1:41" ht="15.75" customHeight="1">
      <c r="A404" s="123" t="s">
        <v>534</v>
      </c>
      <c r="B404" s="318">
        <f>(GETPIVOTDATA(" %UG OnC Trad",'FTE Pivot Table'!$A$3,"State","AL","Type",12,"Type2","Technical"))*100</f>
        <v>0</v>
      </c>
      <c r="C404" s="319">
        <f>(GETPIVOTDATA(" %UG OffC Trad",'FTE Pivot Table'!$A$3,"State","AL","Type",12,"Type2","Technical"))*100</f>
        <v>0</v>
      </c>
      <c r="D404" s="340">
        <f aca="true" t="shared" si="46" ref="D404:D422">SUM(E404:G404)</f>
        <v>0</v>
      </c>
      <c r="E404" s="318">
        <f>(GETPIVOTDATA(" %UG EL Web",'FTE Pivot Table'!$A$3,"State","AL","Type",12,"Type2","Technical"))*100</f>
        <v>0</v>
      </c>
      <c r="F404" s="341">
        <f>(GETPIVOTDATA(" % UG EL CV",'FTE Pivot Table'!$A$3,"State","AL","Type",12,"Type2","Technical"))*100</f>
        <v>0</v>
      </c>
      <c r="G404" s="319">
        <f>(GETPIVOTDATA(" %UG EL O",'FTE Pivot Table'!$A$3,"State","AL","Type",12,"Type2","Technical"))*100</f>
        <v>0</v>
      </c>
      <c r="H404" s="318">
        <f>(GETPIVOTDATA(" %UG Cor",'FTE Pivot Table'!$A$3,"State","AL","Type",12,"Type2","Technical"))*100</f>
        <v>0</v>
      </c>
      <c r="I404" s="122"/>
      <c r="J404" s="331"/>
      <c r="K404" s="331"/>
      <c r="L404" s="331"/>
      <c r="M404" s="331"/>
      <c r="N404" s="331"/>
      <c r="O404" s="331"/>
      <c r="P404" s="331"/>
      <c r="Q404" s="121">
        <f aca="true" t="shared" si="47" ref="Q404:Q422">SUM(B404,C404,D404,H404)</f>
        <v>0</v>
      </c>
      <c r="R404" s="121">
        <f aca="true" t="shared" si="48" ref="R404:R422">SUM(J404,K404,L404,P404)</f>
        <v>0</v>
      </c>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row>
    <row r="405" spans="1:41" ht="15.75" customHeight="1">
      <c r="A405" s="122" t="s">
        <v>535</v>
      </c>
      <c r="B405" s="318">
        <f>(GETPIVOTDATA(" %UG OnC Trad",'FTE Pivot Table'!$A$3,"State","AR","Type",12,"Type2","Technical"))*100</f>
        <v>0</v>
      </c>
      <c r="C405" s="319">
        <f>(GETPIVOTDATA(" %UG OffC Trad",'FTE Pivot Table'!$A$3,"State","AR","Type",12,"Type2","Technical"))*100</f>
        <v>0</v>
      </c>
      <c r="D405" s="340">
        <f t="shared" si="46"/>
        <v>0</v>
      </c>
      <c r="E405" s="318">
        <f>(GETPIVOTDATA(" %UG EL Web",'FTE Pivot Table'!$A$3,"State","AR","Type",12,"Type2","Technical"))*100</f>
        <v>0</v>
      </c>
      <c r="F405" s="318">
        <f>(GETPIVOTDATA(" % UG EL CV",'FTE Pivot Table'!$A$3,"State","AR","Type",12,"Type2","Technical"))*100</f>
        <v>0</v>
      </c>
      <c r="G405" s="319">
        <f>(GETPIVOTDATA(" %UG EL O",'FTE Pivot Table'!$A$3,"State","AR","Type",12,"Type2","Technical"))*100</f>
        <v>0</v>
      </c>
      <c r="H405" s="318">
        <f>(GETPIVOTDATA(" %UG Cor",'FTE Pivot Table'!$A$3,"State","AR","Type",12,"Type2","Technical"))*100</f>
        <v>0</v>
      </c>
      <c r="I405" s="122"/>
      <c r="J405" s="331"/>
      <c r="K405" s="331"/>
      <c r="L405" s="331"/>
      <c r="M405" s="331"/>
      <c r="N405" s="331"/>
      <c r="O405" s="331"/>
      <c r="P405" s="331"/>
      <c r="Q405" s="121">
        <f t="shared" si="47"/>
        <v>0</v>
      </c>
      <c r="R405" s="121">
        <f t="shared" si="48"/>
        <v>0</v>
      </c>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row>
    <row r="406" spans="1:41" ht="15.75" customHeight="1">
      <c r="A406" s="122" t="s">
        <v>536</v>
      </c>
      <c r="B406" s="318">
        <f>(GETPIVOTDATA(" %UG OnC Trad",'FTE Pivot Table'!$A$3,"State","DE","Type",12,"Type2","Technical"))*100</f>
        <v>0</v>
      </c>
      <c r="C406" s="319">
        <f>(GETPIVOTDATA(" %UG OffC Trad",'FTE Pivot Table'!$A$3,"State","DE","Type",12,"Type2","Technical"))*100</f>
        <v>0</v>
      </c>
      <c r="D406" s="340">
        <f t="shared" si="46"/>
        <v>0</v>
      </c>
      <c r="E406" s="318">
        <f>(GETPIVOTDATA(" %UG EL Web",'FTE Pivot Table'!$A$3,"State","DE","Type",12,"Type2","Technical"))*100</f>
        <v>0</v>
      </c>
      <c r="F406" s="318">
        <f>(GETPIVOTDATA(" % UG EL CV",'FTE Pivot Table'!$A$3,"State","DE","Type",12,"Type2","Technical"))*100</f>
        <v>0</v>
      </c>
      <c r="G406" s="319">
        <f>(GETPIVOTDATA(" %UG EL O",'FTE Pivot Table'!$A$3,"State","DE","Type",12,"Type2","Technical"))*100</f>
        <v>0</v>
      </c>
      <c r="H406" s="318">
        <f>(GETPIVOTDATA(" %UG Cor",'FTE Pivot Table'!$A$3,"State","DE","Type",12,"Type2","Technical"))*100</f>
        <v>0</v>
      </c>
      <c r="I406" s="122"/>
      <c r="J406" s="331"/>
      <c r="K406" s="331"/>
      <c r="L406" s="331"/>
      <c r="M406" s="331"/>
      <c r="N406" s="331"/>
      <c r="O406" s="331"/>
      <c r="P406" s="331"/>
      <c r="Q406" s="121">
        <f t="shared" si="47"/>
        <v>0</v>
      </c>
      <c r="R406" s="121">
        <f t="shared" si="48"/>
        <v>0</v>
      </c>
      <c r="S406" s="134"/>
      <c r="T406" s="27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row>
    <row r="407" spans="1:41" ht="15.75" customHeight="1">
      <c r="A407" s="122" t="s">
        <v>537</v>
      </c>
      <c r="B407" s="318">
        <f>(GETPIVOTDATA(" %UG OnC Trad",'FTE Pivot Table'!$A$3,"State","FL","Type",12,"Type2","Technical"))*100</f>
        <v>0</v>
      </c>
      <c r="C407" s="319">
        <f>(GETPIVOTDATA(" %UG OffC Trad",'FTE Pivot Table'!$A$3,"State","FL","Type",12,"Type2","Technical"))*100</f>
        <v>0</v>
      </c>
      <c r="D407" s="340">
        <f t="shared" si="46"/>
        <v>0</v>
      </c>
      <c r="E407" s="318">
        <f>(GETPIVOTDATA(" %UG EL Web",'FTE Pivot Table'!$A$3,"State","FL","Type",12,"Type2","Technical"))*100</f>
        <v>0</v>
      </c>
      <c r="F407" s="318">
        <f>(GETPIVOTDATA(" % UG EL CV",'FTE Pivot Table'!$A$3,"State","FL","Type",12,"Type2","Technical"))*100</f>
        <v>0</v>
      </c>
      <c r="G407" s="319">
        <f>(GETPIVOTDATA(" %UG EL O",'FTE Pivot Table'!$A$3,"State","FL","Type",12,"Type2","Technical"))*100</f>
        <v>0</v>
      </c>
      <c r="H407" s="318">
        <f>(GETPIVOTDATA(" %UG Cor",'FTE Pivot Table'!$A$3,"State","FL","Type",12,"Type2","Technical"))*100</f>
        <v>0</v>
      </c>
      <c r="I407" s="122"/>
      <c r="J407" s="331"/>
      <c r="K407" s="331"/>
      <c r="L407" s="331"/>
      <c r="M407" s="331"/>
      <c r="N407" s="331"/>
      <c r="O407" s="331"/>
      <c r="P407" s="331"/>
      <c r="Q407" s="121">
        <f t="shared" si="47"/>
        <v>0</v>
      </c>
      <c r="R407" s="121">
        <f t="shared" si="48"/>
        <v>0</v>
      </c>
      <c r="S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row>
    <row r="408" spans="1:41" ht="15.75" customHeight="1">
      <c r="A408" s="122"/>
      <c r="B408" s="318"/>
      <c r="C408" s="319"/>
      <c r="D408" s="340">
        <f t="shared" si="46"/>
        <v>0</v>
      </c>
      <c r="E408" s="318"/>
      <c r="F408" s="318"/>
      <c r="G408" s="319"/>
      <c r="H408" s="318"/>
      <c r="I408" s="122"/>
      <c r="J408" s="331"/>
      <c r="K408" s="331"/>
      <c r="L408" s="331"/>
      <c r="M408" s="331"/>
      <c r="N408" s="331"/>
      <c r="O408" s="331"/>
      <c r="P408" s="331"/>
      <c r="Q408" s="121">
        <f t="shared" si="47"/>
        <v>0</v>
      </c>
      <c r="R408" s="121">
        <f t="shared" si="48"/>
        <v>0</v>
      </c>
      <c r="S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row>
    <row r="409" spans="1:41" ht="15.75" customHeight="1">
      <c r="A409" s="122" t="s">
        <v>538</v>
      </c>
      <c r="B409" s="318">
        <f>(GETPIVOTDATA(" %UG OnC Trad",'FTE Pivot Table'!$A$3,"State","GA","Type",12,"Type2","Technical"))*100</f>
        <v>92.54627398412147</v>
      </c>
      <c r="C409" s="319">
        <f>(GETPIVOTDATA(" %UG OffC Trad",'FTE Pivot Table'!$A$3,"State","GA","Type",12,"Type2","Technical"))*100</f>
        <v>0</v>
      </c>
      <c r="D409" s="340">
        <f t="shared" si="46"/>
        <v>7.453726015878519</v>
      </c>
      <c r="E409" s="318">
        <f>(GETPIVOTDATA(" %UG EL Web",'FTE Pivot Table'!$A$3,"State","GA","Type",12,"Type2","Technical"))*100</f>
        <v>7.453726015878519</v>
      </c>
      <c r="F409" s="318">
        <f>(GETPIVOTDATA(" % UG EL CV",'FTE Pivot Table'!$A$3,"State","GA","Type",12,"Type2","Technical"))*100</f>
        <v>0</v>
      </c>
      <c r="G409" s="319">
        <f>(GETPIVOTDATA(" %UG EL O",'FTE Pivot Table'!$A$3,"State","GA","Type",12,"Type2","Technical"))*100</f>
        <v>0</v>
      </c>
      <c r="H409" s="318">
        <f>(GETPIVOTDATA(" %UG Cor",'FTE Pivot Table'!$A$3,"State","GA","Type",12,"Type2","Technical"))*100</f>
        <v>0</v>
      </c>
      <c r="I409" s="122"/>
      <c r="J409" s="331"/>
      <c r="K409" s="331"/>
      <c r="L409" s="331"/>
      <c r="M409" s="331"/>
      <c r="N409" s="331"/>
      <c r="O409" s="331"/>
      <c r="P409" s="331"/>
      <c r="Q409" s="121">
        <f t="shared" si="47"/>
        <v>99.99999999999999</v>
      </c>
      <c r="R409" s="121">
        <f t="shared" si="48"/>
        <v>0</v>
      </c>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row>
    <row r="410" spans="1:41" ht="15.75" customHeight="1">
      <c r="A410" s="122" t="s">
        <v>539</v>
      </c>
      <c r="B410" s="318">
        <f>(GETPIVOTDATA(" %UG OnC Trad",'FTE Pivot Table'!$A$3,"State","KY","Type",12,"Type2","Technical"))*100</f>
        <v>88.29714393090144</v>
      </c>
      <c r="C410" s="319">
        <f>(GETPIVOTDATA(" %UG OffC Trad",'FTE Pivot Table'!$A$3,"State","KY","Type",12,"Type2","Technical"))*100</f>
        <v>7.0991161900545325</v>
      </c>
      <c r="D410" s="340">
        <f t="shared" si="46"/>
        <v>4.603739879044039</v>
      </c>
      <c r="E410" s="318">
        <f>(GETPIVOTDATA(" %UG EL Web",'FTE Pivot Table'!$A$3,"State","KY","Type",12,"Type2","Technical"))*100</f>
        <v>3.9570025882362025</v>
      </c>
      <c r="F410" s="318">
        <f>(GETPIVOTDATA(" % UG EL CV",'FTE Pivot Table'!$A$3,"State","KY","Type",12,"Type2","Technical"))*100</f>
        <v>0.6293622591144912</v>
      </c>
      <c r="G410" s="343">
        <f>(GETPIVOTDATA(" %UG EL O",'FTE Pivot Table'!$A$3,"State","KY","Type",12,"Type2","Technical"))*100</f>
        <v>0.017375031693344846</v>
      </c>
      <c r="H410" s="318">
        <f>(GETPIVOTDATA(" %UG Cor",'FTE Pivot Table'!$A$3,"State","KY","Type",12,"Type2","Technical"))*100</f>
        <v>0</v>
      </c>
      <c r="I410" s="122"/>
      <c r="J410" s="331"/>
      <c r="K410" s="331"/>
      <c r="L410" s="331"/>
      <c r="M410" s="331"/>
      <c r="N410" s="331"/>
      <c r="O410" s="331"/>
      <c r="P410" s="331"/>
      <c r="Q410" s="121">
        <f t="shared" si="47"/>
        <v>100.00000000000001</v>
      </c>
      <c r="R410" s="121">
        <f t="shared" si="48"/>
        <v>0</v>
      </c>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row>
    <row r="411" spans="1:41" ht="15.75" customHeight="1">
      <c r="A411" s="122" t="s">
        <v>540</v>
      </c>
      <c r="B411" s="318">
        <f>(GETPIVOTDATA(" %UG OnC Trad",'FTE Pivot Table'!$A$3,"State","LA","Type",12,"Type2","Technical"))*100</f>
        <v>0</v>
      </c>
      <c r="C411" s="319">
        <f>(GETPIVOTDATA(" %UG OffC Trad",'FTE Pivot Table'!$A$3,"State","LA","Type",12,"Type2","Technical"))*100</f>
        <v>0</v>
      </c>
      <c r="D411" s="340">
        <f t="shared" si="46"/>
        <v>0</v>
      </c>
      <c r="E411" s="318">
        <f>(GETPIVOTDATA(" %UG EL Web",'FTE Pivot Table'!$A$3,"State","LA","Type",12,"Type2","Technical"))*100</f>
        <v>0</v>
      </c>
      <c r="F411" s="318">
        <f>(GETPIVOTDATA(" % UG EL CV",'FTE Pivot Table'!$A$3,"State","LA","Type",12,"Type2","Technical"))*100</f>
        <v>0</v>
      </c>
      <c r="G411" s="319">
        <f>(GETPIVOTDATA(" %UG EL O",'FTE Pivot Table'!$A$3,"State","LA","Type",12,"Type2","Technical"))*100</f>
        <v>0</v>
      </c>
      <c r="H411" s="318">
        <f>(GETPIVOTDATA(" %UG Cor",'FTE Pivot Table'!$A$3,"State","LA","Type",12,"Type2","Technical"))*100</f>
        <v>0</v>
      </c>
      <c r="I411" s="122"/>
      <c r="J411" s="331"/>
      <c r="K411" s="331"/>
      <c r="L411" s="331"/>
      <c r="M411" s="331"/>
      <c r="N411" s="331"/>
      <c r="O411" s="331"/>
      <c r="P411" s="331"/>
      <c r="Q411" s="121">
        <f t="shared" si="47"/>
        <v>0</v>
      </c>
      <c r="R411" s="121">
        <f t="shared" si="48"/>
        <v>0</v>
      </c>
      <c r="S411" s="134"/>
      <c r="T411" s="27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row>
    <row r="412" spans="1:41" ht="15.75" customHeight="1">
      <c r="A412" s="122" t="s">
        <v>541</v>
      </c>
      <c r="B412" s="318">
        <f>(GETPIVOTDATA(" %UG OnC Trad",'FTE Pivot Table'!$A$3,"State","MD","Type",12,"Type2","Technical"))*100</f>
        <v>0</v>
      </c>
      <c r="C412" s="319">
        <f>(GETPIVOTDATA(" %UG OffC Trad",'FTE Pivot Table'!$A$3,"State","MD","Type",12,"Type2","Technical"))*100</f>
        <v>0</v>
      </c>
      <c r="D412" s="340">
        <f t="shared" si="46"/>
        <v>0</v>
      </c>
      <c r="E412" s="318">
        <f>(GETPIVOTDATA(" %UG EL Web",'FTE Pivot Table'!$A$3,"State","MD","Type",12,"Type2","Technical"))*100</f>
        <v>0</v>
      </c>
      <c r="F412" s="318">
        <f>(GETPIVOTDATA(" % UG EL CV",'FTE Pivot Table'!$A$3,"State","MD","Type",12,"Type2","Technical"))*100</f>
        <v>0</v>
      </c>
      <c r="G412" s="319">
        <f>(GETPIVOTDATA(" %UG EL O",'FTE Pivot Table'!$A$3,"State","MD","Type",12,"Type2","Technical"))*100</f>
        <v>0</v>
      </c>
      <c r="H412" s="318">
        <f>(GETPIVOTDATA(" %UG Cor",'FTE Pivot Table'!$A$3,"State","MD","Type",12,"Type2","Technical"))*100</f>
        <v>0</v>
      </c>
      <c r="I412" s="122"/>
      <c r="J412" s="331"/>
      <c r="K412" s="331"/>
      <c r="L412" s="331"/>
      <c r="M412" s="331"/>
      <c r="N412" s="331"/>
      <c r="O412" s="331"/>
      <c r="P412" s="331"/>
      <c r="Q412" s="121">
        <f t="shared" si="47"/>
        <v>0</v>
      </c>
      <c r="R412" s="121">
        <f t="shared" si="48"/>
        <v>0</v>
      </c>
      <c r="S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row>
    <row r="413" spans="1:41" ht="15.75" customHeight="1">
      <c r="A413" s="122"/>
      <c r="B413" s="318"/>
      <c r="C413" s="319"/>
      <c r="D413" s="340">
        <f t="shared" si="46"/>
        <v>0</v>
      </c>
      <c r="E413" s="318"/>
      <c r="F413" s="318"/>
      <c r="G413" s="319"/>
      <c r="H413" s="318"/>
      <c r="I413" s="122"/>
      <c r="J413" s="331"/>
      <c r="K413" s="331"/>
      <c r="L413" s="331"/>
      <c r="M413" s="331"/>
      <c r="N413" s="331"/>
      <c r="O413" s="331"/>
      <c r="P413" s="331"/>
      <c r="Q413" s="121">
        <f t="shared" si="47"/>
        <v>0</v>
      </c>
      <c r="R413" s="121">
        <f t="shared" si="48"/>
        <v>0</v>
      </c>
      <c r="S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row>
    <row r="414" spans="1:41" ht="15.75" customHeight="1">
      <c r="A414" s="122" t="s">
        <v>168</v>
      </c>
      <c r="B414" s="318">
        <f>(GETPIVOTDATA(" %UG OnC Trad",'FTE Pivot Table'!$A$3,"State","MS","Type",12,"Type2","Technical"))*100</f>
        <v>0</v>
      </c>
      <c r="C414" s="319">
        <f>(GETPIVOTDATA(" %UG OffC Trad",'FTE Pivot Table'!$A$3,"State","MS","Type",12,"Type2","Technical"))*100</f>
        <v>0</v>
      </c>
      <c r="D414" s="340">
        <f t="shared" si="46"/>
        <v>0</v>
      </c>
      <c r="E414" s="318">
        <f>(GETPIVOTDATA(" %UG EL Web",'FTE Pivot Table'!$A$3,"State","MS","Type",12,"Type2","Technical"))*100</f>
        <v>0</v>
      </c>
      <c r="F414" s="318">
        <f>(GETPIVOTDATA(" % UG EL CV",'FTE Pivot Table'!$A$3,"State","MS","Type",12,"Type2","Technical"))*100</f>
        <v>0</v>
      </c>
      <c r="G414" s="319">
        <f>(GETPIVOTDATA(" %UG EL O",'FTE Pivot Table'!$A$3,"State","MS","Type",12,"Type2","Technical"))*100</f>
        <v>0</v>
      </c>
      <c r="H414" s="318">
        <f>(GETPIVOTDATA(" %UG Cor",'FTE Pivot Table'!$A$3,"State","MS","Type",12,"Type2","Technical"))*100</f>
        <v>0</v>
      </c>
      <c r="I414" s="122"/>
      <c r="J414" s="331"/>
      <c r="K414" s="331"/>
      <c r="L414" s="331"/>
      <c r="M414" s="331"/>
      <c r="N414" s="331"/>
      <c r="O414" s="331"/>
      <c r="P414" s="331"/>
      <c r="Q414" s="121">
        <f t="shared" si="47"/>
        <v>0</v>
      </c>
      <c r="R414" s="121">
        <f t="shared" si="48"/>
        <v>0</v>
      </c>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row>
    <row r="415" spans="1:41" ht="15.75" customHeight="1">
      <c r="A415" s="122" t="s">
        <v>176</v>
      </c>
      <c r="B415" s="318">
        <f>(GETPIVOTDATA(" %UG OnC Trad",'FTE Pivot Table'!$A$3,"State","NC","Type","7","Type",12,"Type2","Technical"))*100</f>
        <v>0</v>
      </c>
      <c r="C415" s="319">
        <f>(GETPIVOTDATA(" %UG OffC Trad",'FTE Pivot Table'!$A$3,"State","NC","Type",12,"Type2","Technical"))*100</f>
        <v>0</v>
      </c>
      <c r="D415" s="340">
        <f t="shared" si="46"/>
        <v>0</v>
      </c>
      <c r="E415" s="318">
        <f>(GETPIVOTDATA(" %UG EL Web",'FTE Pivot Table'!$A$3,"State","NC","Type",12,"Type2","Technical"))*100</f>
        <v>0</v>
      </c>
      <c r="F415" s="318">
        <f>(GETPIVOTDATA(" % UG EL CV",'FTE Pivot Table'!$A$3,"State","NC","Type",12,"Type2","Technical"))*100</f>
        <v>0</v>
      </c>
      <c r="G415" s="319">
        <f>(GETPIVOTDATA(" %UG EL O",'FTE Pivot Table'!$A$3,"State","NC","Type",12,"Type2","Technical"))*100</f>
        <v>0</v>
      </c>
      <c r="H415" s="318">
        <f>(GETPIVOTDATA(" %UG Cor",'FTE Pivot Table'!$A$3,"State","NC","Type",12,"Type2","Technical"))*100</f>
        <v>0</v>
      </c>
      <c r="I415" s="122"/>
      <c r="J415" s="331"/>
      <c r="K415" s="331"/>
      <c r="L415" s="331"/>
      <c r="M415" s="331"/>
      <c r="N415" s="331"/>
      <c r="O415" s="331"/>
      <c r="P415" s="331"/>
      <c r="Q415" s="121">
        <f t="shared" si="47"/>
        <v>0</v>
      </c>
      <c r="R415" s="121">
        <f t="shared" si="48"/>
        <v>0</v>
      </c>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row>
    <row r="416" spans="1:41" ht="15.75" customHeight="1">
      <c r="A416" s="122" t="s">
        <v>169</v>
      </c>
      <c r="B416" s="318">
        <f>(GETPIVOTDATA(" %UG OnC Trad",'FTE Pivot Table'!$A$3,"State","OK","Type",12,"Type2","Technical"))*100</f>
        <v>0</v>
      </c>
      <c r="C416" s="319">
        <f>(GETPIVOTDATA(" %UG OffC Trad",'FTE Pivot Table'!$A$3,"State","OK","Type",12,"Type2","Technical"))*100</f>
        <v>0</v>
      </c>
      <c r="D416" s="340">
        <f t="shared" si="46"/>
        <v>0</v>
      </c>
      <c r="E416" s="318">
        <f>(GETPIVOTDATA(" %UG EL Web",'FTE Pivot Table'!$A$3,"State","OK","Type",12,"Type2","Technical"))*100</f>
        <v>0</v>
      </c>
      <c r="F416" s="318">
        <f>(GETPIVOTDATA(" % UG EL CV",'FTE Pivot Table'!$A$3,"State","OK","Type",12,"Type2","Technical"))*100</f>
        <v>0</v>
      </c>
      <c r="G416" s="319">
        <f>(GETPIVOTDATA(" %UG EL O",'FTE Pivot Table'!$A$3,"State","OK","Type",12,"Type2","Technical"))*100</f>
        <v>0</v>
      </c>
      <c r="H416" s="318">
        <f>(GETPIVOTDATA(" %UG Cor",'FTE Pivot Table'!$A$3,"State","OK","Type",12,"Type2","Technical"))*100</f>
        <v>0</v>
      </c>
      <c r="I416" s="122"/>
      <c r="J416" s="331"/>
      <c r="K416" s="331"/>
      <c r="L416" s="331"/>
      <c r="M416" s="331"/>
      <c r="N416" s="331"/>
      <c r="O416" s="331"/>
      <c r="P416" s="331"/>
      <c r="Q416" s="121">
        <f t="shared" si="47"/>
        <v>0</v>
      </c>
      <c r="R416" s="121">
        <f t="shared" si="48"/>
        <v>0</v>
      </c>
      <c r="S416" s="134"/>
      <c r="T416" s="27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row>
    <row r="417" spans="1:41" ht="15.75" customHeight="1">
      <c r="A417" s="122" t="s">
        <v>542</v>
      </c>
      <c r="B417" s="318">
        <f>(GETPIVOTDATA(" %UG OnC Trad",'FTE Pivot Table'!$A$3,"State","SC","Type",12,"Type2","Technical"))*100</f>
        <v>0</v>
      </c>
      <c r="C417" s="319">
        <f>(GETPIVOTDATA(" %UG OffC Trad",'FTE Pivot Table'!$A$3,"State","SC","Type",12,"Type2","Technical"))*100</f>
        <v>0</v>
      </c>
      <c r="D417" s="340">
        <f t="shared" si="46"/>
        <v>0</v>
      </c>
      <c r="E417" s="318">
        <f>(GETPIVOTDATA(" %UG EL Web",'FTE Pivot Table'!$A$3,"State","SC","Type",12,"Type2","Technical"))*100</f>
        <v>0</v>
      </c>
      <c r="F417" s="318">
        <f>(GETPIVOTDATA(" % UG EL CV",'FTE Pivot Table'!$A$3,"State","SC","Type",12,"Type2","Technical"))*100</f>
        <v>0</v>
      </c>
      <c r="G417" s="319">
        <f>(GETPIVOTDATA(" %UG EL O",'FTE Pivot Table'!$A$3,"State","SC","Type",12,"Type2","Technical"))*100</f>
        <v>0</v>
      </c>
      <c r="H417" s="318">
        <f>(GETPIVOTDATA(" %UG Cor",'FTE Pivot Table'!$A$3,"State","SC","Type",12,"Type2","Technical"))*100</f>
        <v>0</v>
      </c>
      <c r="I417" s="122"/>
      <c r="J417" s="331"/>
      <c r="K417" s="331"/>
      <c r="L417" s="331"/>
      <c r="M417" s="331"/>
      <c r="N417" s="331"/>
      <c r="O417" s="331"/>
      <c r="P417" s="331"/>
      <c r="Q417" s="121">
        <f t="shared" si="47"/>
        <v>0</v>
      </c>
      <c r="R417" s="121">
        <f t="shared" si="48"/>
        <v>0</v>
      </c>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row>
    <row r="418" spans="1:41" ht="15.75" customHeight="1">
      <c r="A418" s="122"/>
      <c r="B418" s="318"/>
      <c r="C418" s="319"/>
      <c r="D418" s="340">
        <f t="shared" si="46"/>
        <v>0</v>
      </c>
      <c r="E418" s="318"/>
      <c r="F418" s="318"/>
      <c r="G418" s="319"/>
      <c r="H418" s="318"/>
      <c r="I418" s="122"/>
      <c r="J418" s="331"/>
      <c r="K418" s="331"/>
      <c r="L418" s="331"/>
      <c r="M418" s="331"/>
      <c r="N418" s="331"/>
      <c r="O418" s="331"/>
      <c r="P418" s="331"/>
      <c r="Q418" s="121">
        <f t="shared" si="47"/>
        <v>0</v>
      </c>
      <c r="R418" s="121">
        <f t="shared" si="48"/>
        <v>0</v>
      </c>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row>
    <row r="419" spans="1:41" ht="15.75" customHeight="1">
      <c r="A419" s="122" t="s">
        <v>543</v>
      </c>
      <c r="B419" s="318">
        <f>(GETPIVOTDATA(" %UG OnC Trad",'FTE Pivot Table'!$A$3,"State","TN","Type",12,"Type2","Technical"))*100</f>
        <v>0</v>
      </c>
      <c r="C419" s="319">
        <f>(GETPIVOTDATA(" %UG OffC Trad",'FTE Pivot Table'!$A$3,"State","TN","Type",12,"Type2","Technical"))*100</f>
        <v>0</v>
      </c>
      <c r="D419" s="340">
        <f t="shared" si="46"/>
        <v>0</v>
      </c>
      <c r="E419" s="318">
        <f>(GETPIVOTDATA(" %UG EL Web",'FTE Pivot Table'!$A$3,"State","TN","Type",12,"Type2","Technical"))*100</f>
        <v>0</v>
      </c>
      <c r="F419" s="318">
        <f>(GETPIVOTDATA(" % UG EL CV",'FTE Pivot Table'!$A$3,"State","TN","Type",12,"Type2","Technical"))*100</f>
        <v>0</v>
      </c>
      <c r="G419" s="319">
        <f>(GETPIVOTDATA(" %UG EL O",'FTE Pivot Table'!$A$3,"State","TN","Type",12,"Type2","Technical"))*100</f>
        <v>0</v>
      </c>
      <c r="H419" s="318">
        <f>(GETPIVOTDATA(" %UG Cor",'FTE Pivot Table'!$A$3,"State","TN","Type",12,"Type2","Technical"))*100</f>
        <v>0</v>
      </c>
      <c r="I419" s="122"/>
      <c r="J419" s="331"/>
      <c r="K419" s="331"/>
      <c r="L419" s="331"/>
      <c r="M419" s="331"/>
      <c r="N419" s="331"/>
      <c r="O419" s="331"/>
      <c r="P419" s="331"/>
      <c r="Q419" s="121">
        <f t="shared" si="47"/>
        <v>0</v>
      </c>
      <c r="R419" s="121">
        <f t="shared" si="48"/>
        <v>0</v>
      </c>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row>
    <row r="420" spans="1:41" ht="15.75" customHeight="1">
      <c r="A420" s="122" t="s">
        <v>277</v>
      </c>
      <c r="B420" s="318">
        <f>(GETPIVOTDATA(" %UG Onc Trad",'FTE Pivot Table'!$A$3,"State","TX","Type",12,"Type2","Technical"))*100</f>
        <v>0</v>
      </c>
      <c r="C420" s="319">
        <f>(GETPIVOTDATA(" %UG OffC Trad",'FTE Pivot Table'!$A$3,"State","TX","Type",12,"Type2","Technical"))*100</f>
        <v>0</v>
      </c>
      <c r="D420" s="340">
        <f t="shared" si="46"/>
        <v>0</v>
      </c>
      <c r="E420" s="318">
        <f>(GETPIVOTDATA(" %UG EL Web",'FTE Pivot Table'!$A$3,"State","TX","Type",12,"Type2","Technical"))*100</f>
        <v>0</v>
      </c>
      <c r="F420" s="318">
        <f>(GETPIVOTDATA(" % UG EL CV",'FTE Pivot Table'!$A$3,"State","TX","Type",12,"Type2","Technical"))*100</f>
        <v>0</v>
      </c>
      <c r="G420" s="319">
        <f>(GETPIVOTDATA(" %UG EL O",'FTE Pivot Table'!$A$3,"State","TX","Type",12,"Type2","Technical"))*100</f>
        <v>0</v>
      </c>
      <c r="H420" s="318">
        <f>(GETPIVOTDATA(" %UG Cor",'FTE Pivot Table'!$A$3,"State","TX","Type",12,"Type2","Technical"))*100</f>
        <v>0</v>
      </c>
      <c r="I420" s="122"/>
      <c r="J420" s="331"/>
      <c r="K420" s="331"/>
      <c r="L420" s="331"/>
      <c r="M420" s="331"/>
      <c r="N420" s="331"/>
      <c r="O420" s="331"/>
      <c r="P420" s="331"/>
      <c r="Q420" s="121">
        <f t="shared" si="47"/>
        <v>0</v>
      </c>
      <c r="R420" s="121">
        <f t="shared" si="48"/>
        <v>0</v>
      </c>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row>
    <row r="421" spans="1:41" ht="15.75" customHeight="1">
      <c r="A421" s="122" t="s">
        <v>544</v>
      </c>
      <c r="B421" s="318">
        <f>(GETPIVOTDATA(" %UG OnC Trad",'FTE Pivot Table'!$A$3,"State","VA","Type",12,"Type2","Technical"))*100</f>
        <v>0</v>
      </c>
      <c r="C421" s="319">
        <f>(GETPIVOTDATA(" %UG OffC Trad",'FTE Pivot Table'!$A$3,"State","VA","Type",12,"Type2","Technical"))*100</f>
        <v>0</v>
      </c>
      <c r="D421" s="340">
        <f t="shared" si="46"/>
        <v>0</v>
      </c>
      <c r="E421" s="318">
        <f>(GETPIVOTDATA(" %UG EL Web",'FTE Pivot Table'!$A$3,"State","VA","Type",12,"Type2","Technical"))*100</f>
        <v>0</v>
      </c>
      <c r="F421" s="318">
        <f>(GETPIVOTDATA(" % UG EL CV",'FTE Pivot Table'!$A$3,"State","VA","Type",12,"Type2","Technical"))*100</f>
        <v>0</v>
      </c>
      <c r="G421" s="319">
        <f>(GETPIVOTDATA(" %UG EL O",'FTE Pivot Table'!$A$3,"State","VA","Type",12,"Type2","Technical"))*100</f>
        <v>0</v>
      </c>
      <c r="H421" s="318">
        <f>(GETPIVOTDATA(" %UG Cor",'FTE Pivot Table'!$A$3,"State","VA","Type",12,"Type2","Technical"))*100</f>
        <v>0</v>
      </c>
      <c r="I421" s="122"/>
      <c r="J421" s="331"/>
      <c r="K421" s="331"/>
      <c r="L421" s="331"/>
      <c r="M421" s="331"/>
      <c r="N421" s="331"/>
      <c r="O421" s="331"/>
      <c r="P421" s="331"/>
      <c r="Q421" s="121">
        <f t="shared" si="47"/>
        <v>0</v>
      </c>
      <c r="R421" s="121">
        <f t="shared" si="48"/>
        <v>0</v>
      </c>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row>
    <row r="422" spans="1:41" ht="15.75" customHeight="1">
      <c r="A422" s="116" t="s">
        <v>170</v>
      </c>
      <c r="B422" s="317">
        <f>(GETPIVOTDATA(" %UG OnC Trad",'FTE Pivot Table'!$A$3,"State","WV","Type",12,"Type2","Technical"))*100</f>
        <v>0</v>
      </c>
      <c r="C422" s="320">
        <f>(GETPIVOTDATA(" %UG OffC Trad",'FTE Pivot Table'!$A$3,"State","WV","Type",12,"Type2","Technical"))*100</f>
        <v>0</v>
      </c>
      <c r="D422" s="342">
        <f t="shared" si="46"/>
        <v>0</v>
      </c>
      <c r="E422" s="317">
        <f>(GETPIVOTDATA(" %UG EL Web",'FTE Pivot Table'!$A$3,"State","WV","Type",12,"Type2","Technical"))*100</f>
        <v>0</v>
      </c>
      <c r="F422" s="317">
        <f>(GETPIVOTDATA(" % UG EL CV",'FTE Pivot Table'!$A$3,"State","WV","Type",12,"Type2","Technical"))*100</f>
        <v>0</v>
      </c>
      <c r="G422" s="320">
        <f>(GETPIVOTDATA(" %UG EL O",'FTE Pivot Table'!$A$3,"State","WV","Type",12,"Type2","Technical"))*100</f>
        <v>0</v>
      </c>
      <c r="H422" s="317">
        <f>(GETPIVOTDATA(" %UG Cor",'FTE Pivot Table'!$A$3,"State","WV","Type",12,"Type2","Technical"))*100</f>
        <v>0</v>
      </c>
      <c r="I422" s="122"/>
      <c r="J422" s="331"/>
      <c r="K422" s="331"/>
      <c r="L422" s="331"/>
      <c r="M422" s="331"/>
      <c r="N422" s="331"/>
      <c r="O422" s="331"/>
      <c r="P422" s="331"/>
      <c r="Q422" s="121">
        <f t="shared" si="47"/>
        <v>0</v>
      </c>
      <c r="R422" s="121">
        <f t="shared" si="48"/>
        <v>0</v>
      </c>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row>
    <row r="423" spans="1:41" s="279" customFormat="1" ht="18" customHeight="1">
      <c r="A423" s="347" t="s">
        <v>634</v>
      </c>
      <c r="B423" s="283"/>
      <c r="C423" s="283"/>
      <c r="D423" s="284"/>
      <c r="E423" s="283"/>
      <c r="F423" s="284"/>
      <c r="G423" s="284"/>
      <c r="H423" s="283"/>
      <c r="I423" s="347"/>
      <c r="J423" s="283"/>
      <c r="K423" s="283"/>
      <c r="L423" s="284"/>
      <c r="M423" s="283"/>
      <c r="N423" s="284"/>
      <c r="O423" s="284"/>
      <c r="P423" s="283"/>
      <c r="Q423" s="283"/>
      <c r="R423" s="283"/>
      <c r="S423" s="285"/>
      <c r="T423" s="285"/>
      <c r="U423" s="285"/>
      <c r="V423" s="285"/>
      <c r="W423" s="285"/>
      <c r="X423" s="285"/>
      <c r="Y423" s="285"/>
      <c r="Z423" s="285"/>
      <c r="AA423" s="285"/>
      <c r="AB423" s="285"/>
      <c r="AC423" s="285"/>
      <c r="AD423" s="285"/>
      <c r="AE423" s="285"/>
      <c r="AF423" s="285"/>
      <c r="AG423" s="285"/>
      <c r="AH423" s="285"/>
      <c r="AI423" s="285"/>
      <c r="AJ423" s="285"/>
      <c r="AK423" s="285"/>
      <c r="AL423" s="285"/>
      <c r="AM423" s="285"/>
      <c r="AN423" s="285"/>
      <c r="AO423" s="285"/>
    </row>
    <row r="424" spans="1:18" s="279" customFormat="1" ht="13.5" customHeight="1">
      <c r="A424" s="347"/>
      <c r="B424" s="278"/>
      <c r="H424" s="351" t="s">
        <v>642</v>
      </c>
      <c r="I424" s="347"/>
      <c r="P424" s="280"/>
      <c r="Q424" s="281"/>
      <c r="R424" s="282"/>
    </row>
    <row r="425" spans="1:18" s="279" customFormat="1" ht="13.5" customHeight="1">
      <c r="A425" s="348"/>
      <c r="H425" s="277"/>
      <c r="I425" s="348"/>
      <c r="Q425" s="281"/>
      <c r="R425" s="282"/>
    </row>
    <row r="426" spans="1:16" ht="17.25" customHeight="1">
      <c r="A426" s="277"/>
      <c r="B426" s="283"/>
      <c r="C426" s="283"/>
      <c r="D426" s="284"/>
      <c r="E426" s="283"/>
      <c r="F426" s="284"/>
      <c r="G426" s="284"/>
      <c r="H426" s="283"/>
      <c r="I426" s="131"/>
      <c r="J426" s="122"/>
      <c r="K426" s="122"/>
      <c r="L426" s="122"/>
      <c r="M426" s="122"/>
      <c r="N426" s="122"/>
      <c r="O426" s="122"/>
      <c r="P426" s="122"/>
    </row>
    <row r="427" spans="1:16" ht="18">
      <c r="A427" s="113" t="s">
        <v>592</v>
      </c>
      <c r="B427" s="114"/>
      <c r="C427" s="114"/>
      <c r="D427" s="114"/>
      <c r="E427" s="114"/>
      <c r="F427" s="114"/>
      <c r="G427" s="114"/>
      <c r="H427" s="132"/>
      <c r="I427" s="131"/>
      <c r="J427" s="122"/>
      <c r="K427" s="122"/>
      <c r="L427" s="122"/>
      <c r="M427" s="122"/>
      <c r="N427" s="122"/>
      <c r="O427" s="122"/>
      <c r="P427" s="122"/>
    </row>
    <row r="428" spans="1:16" ht="12.75">
      <c r="A428" s="293"/>
      <c r="B428" s="115"/>
      <c r="C428" s="115"/>
      <c r="D428" s="115"/>
      <c r="E428" s="115"/>
      <c r="F428" s="115"/>
      <c r="G428" s="115"/>
      <c r="H428" s="127"/>
      <c r="I428" s="131"/>
      <c r="J428" s="122"/>
      <c r="K428" s="122"/>
      <c r="L428" s="122"/>
      <c r="M428" s="122"/>
      <c r="N428" s="122"/>
      <c r="O428" s="122"/>
      <c r="P428" s="122"/>
    </row>
    <row r="429" spans="1:16" ht="15.75">
      <c r="A429" s="124" t="s">
        <v>617</v>
      </c>
      <c r="B429" s="115"/>
      <c r="C429" s="115"/>
      <c r="D429" s="115"/>
      <c r="E429" s="115"/>
      <c r="F429" s="115"/>
      <c r="G429" s="115"/>
      <c r="H429" s="127"/>
      <c r="I429" s="131"/>
      <c r="J429" s="122"/>
      <c r="K429" s="122"/>
      <c r="L429" s="122"/>
      <c r="M429" s="122"/>
      <c r="N429" s="122"/>
      <c r="O429" s="122"/>
      <c r="P429" s="122"/>
    </row>
    <row r="430" spans="1:16" ht="15.75">
      <c r="A430" s="124" t="s">
        <v>600</v>
      </c>
      <c r="B430" s="115"/>
      <c r="C430" s="115"/>
      <c r="D430" s="115"/>
      <c r="E430" s="115"/>
      <c r="F430" s="115"/>
      <c r="G430" s="115"/>
      <c r="H430" s="127"/>
      <c r="I430" s="131"/>
      <c r="J430" s="122"/>
      <c r="K430" s="122"/>
      <c r="L430" s="122"/>
      <c r="M430" s="122"/>
      <c r="N430" s="122"/>
      <c r="O430" s="122"/>
      <c r="P430" s="122"/>
    </row>
    <row r="431" spans="1:16" ht="12.75">
      <c r="A431" s="116"/>
      <c r="B431" s="117"/>
      <c r="C431" s="117"/>
      <c r="D431" s="117"/>
      <c r="E431" s="117"/>
      <c r="F431" s="117"/>
      <c r="G431" s="117"/>
      <c r="H431" s="117"/>
      <c r="I431" s="131"/>
      <c r="J431" s="122"/>
      <c r="K431" s="122"/>
      <c r="L431" s="122"/>
      <c r="M431" s="122"/>
      <c r="N431" s="122"/>
      <c r="O431" s="122"/>
      <c r="P431" s="122"/>
    </row>
    <row r="432" spans="1:16" ht="12.75">
      <c r="A432" s="300"/>
      <c r="B432" s="301" t="s">
        <v>279</v>
      </c>
      <c r="C432" s="301"/>
      <c r="D432" s="301"/>
      <c r="E432" s="301"/>
      <c r="F432" s="301"/>
      <c r="G432" s="301"/>
      <c r="H432" s="302"/>
      <c r="I432" s="131"/>
      <c r="J432" s="122"/>
      <c r="K432" s="122"/>
      <c r="L432" s="122"/>
      <c r="M432" s="122"/>
      <c r="N432" s="122"/>
      <c r="O432" s="122"/>
      <c r="P432" s="122"/>
    </row>
    <row r="433" spans="1:16" ht="12.75">
      <c r="A433" s="300"/>
      <c r="B433" s="301" t="s">
        <v>173</v>
      </c>
      <c r="C433" s="301"/>
      <c r="D433" s="370" t="s">
        <v>629</v>
      </c>
      <c r="E433" s="371"/>
      <c r="F433" s="371"/>
      <c r="G433" s="371"/>
      <c r="H433" s="306" t="s">
        <v>2</v>
      </c>
      <c r="I433" s="131"/>
      <c r="J433" s="122"/>
      <c r="K433" s="122"/>
      <c r="L433" s="122"/>
      <c r="M433" s="122"/>
      <c r="N433" s="122"/>
      <c r="O433" s="122"/>
      <c r="P433" s="122"/>
    </row>
    <row r="434" spans="1:16" ht="36">
      <c r="A434" s="300"/>
      <c r="B434" s="307" t="s">
        <v>612</v>
      </c>
      <c r="C434" s="308" t="s">
        <v>611</v>
      </c>
      <c r="D434" s="309" t="s">
        <v>626</v>
      </c>
      <c r="E434" s="310" t="s">
        <v>0</v>
      </c>
      <c r="F434" s="307" t="s">
        <v>174</v>
      </c>
      <c r="G434" s="311" t="s">
        <v>631</v>
      </c>
      <c r="H434" s="312" t="s">
        <v>630</v>
      </c>
      <c r="I434" s="131"/>
      <c r="J434" s="122"/>
      <c r="K434" s="122"/>
      <c r="L434" s="122"/>
      <c r="M434" s="122"/>
      <c r="N434" s="122"/>
      <c r="O434" s="122"/>
      <c r="P434" s="122"/>
    </row>
    <row r="435" spans="1:41" ht="15.75" customHeight="1">
      <c r="A435" s="123" t="s">
        <v>534</v>
      </c>
      <c r="B435" s="318">
        <f>(GETPIVOTDATA(" %UG OnC Trad",'FTE Pivot Table'!$A$3,"State","AL","Type",13,"Type2","Technical"))*100</f>
        <v>0</v>
      </c>
      <c r="C435" s="319">
        <f>(GETPIVOTDATA(" %UG OffC Trad",'FTE Pivot Table'!$A$3,"State","AL","Type",13,"Type2","Technical"))*100</f>
        <v>0</v>
      </c>
      <c r="D435" s="340">
        <f aca="true" t="shared" si="49" ref="D435:D453">SUM(E435:G435)</f>
        <v>0</v>
      </c>
      <c r="E435" s="318">
        <f>(GETPIVOTDATA(" %UG EL Web",'FTE Pivot Table'!$A$3,"State","AL","Type",13,"Type2","Technical"))*100</f>
        <v>0</v>
      </c>
      <c r="F435" s="341">
        <f>(GETPIVOTDATA(" % UG EL CV",'FTE Pivot Table'!$A$3,"State","AL","Type",13,"Type2","Technical"))*100</f>
        <v>0</v>
      </c>
      <c r="G435" s="319">
        <f>(GETPIVOTDATA(" %UG EL O",'FTE Pivot Table'!$A$3,"State","AL","Type",13,"Type2","Technical"))*100</f>
        <v>0</v>
      </c>
      <c r="H435" s="318">
        <f>(GETPIVOTDATA(" %UG Cor",'FTE Pivot Table'!$A$3,"State","AL","Type",13,"Type2","Technical"))*100</f>
        <v>0</v>
      </c>
      <c r="I435" s="122"/>
      <c r="J435" s="331"/>
      <c r="K435" s="331"/>
      <c r="L435" s="331"/>
      <c r="M435" s="331"/>
      <c r="N435" s="331"/>
      <c r="O435" s="331"/>
      <c r="P435" s="331"/>
      <c r="Q435" s="121">
        <f aca="true" t="shared" si="50" ref="Q435:Q453">SUM(B435,C435,D435,H435)</f>
        <v>0</v>
      </c>
      <c r="R435" s="121">
        <f aca="true" t="shared" si="51" ref="R435:R453">SUM(J435,K435,L435,P435)</f>
        <v>0</v>
      </c>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row>
    <row r="436" spans="1:41" ht="15.75" customHeight="1">
      <c r="A436" s="122" t="s">
        <v>535</v>
      </c>
      <c r="B436" s="318">
        <f>(GETPIVOTDATA(" %UG OnC Trad",'FTE Pivot Table'!$A$3,"State","AR","Type",13,"Type2","Technical"))*100</f>
        <v>0</v>
      </c>
      <c r="C436" s="319">
        <f>(GETPIVOTDATA(" %UG OffC Trad",'FTE Pivot Table'!$A$3,"State","AR","Type",13,"Type2","Technical"))*100</f>
        <v>0</v>
      </c>
      <c r="D436" s="340">
        <f t="shared" si="49"/>
        <v>0</v>
      </c>
      <c r="E436" s="318">
        <f>(GETPIVOTDATA(" %UG EL Web",'FTE Pivot Table'!$A$3,"State","AR","Type",13,"Type2","Technical"))*100</f>
        <v>0</v>
      </c>
      <c r="F436" s="318">
        <f>(GETPIVOTDATA(" % UG EL CV",'FTE Pivot Table'!$A$3,"State","AR","Type",13,"Type2","Technical"))*100</f>
        <v>0</v>
      </c>
      <c r="G436" s="319">
        <f>(GETPIVOTDATA(" %UG EL O",'FTE Pivot Table'!$A$3,"State","AR","Type",13,"Type2","Technical"))*100</f>
        <v>0</v>
      </c>
      <c r="H436" s="318">
        <f>(GETPIVOTDATA(" %UG Cor",'FTE Pivot Table'!$A$3,"State","AR","Type",13,"Type2","Technical"))*100</f>
        <v>0</v>
      </c>
      <c r="I436" s="122"/>
      <c r="J436" s="331"/>
      <c r="K436" s="331"/>
      <c r="L436" s="331"/>
      <c r="M436" s="331"/>
      <c r="N436" s="331"/>
      <c r="O436" s="331"/>
      <c r="P436" s="331"/>
      <c r="Q436" s="121">
        <f t="shared" si="50"/>
        <v>0</v>
      </c>
      <c r="R436" s="121">
        <f t="shared" si="51"/>
        <v>0</v>
      </c>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row>
    <row r="437" spans="1:41" ht="15.75" customHeight="1">
      <c r="A437" s="122" t="s">
        <v>536</v>
      </c>
      <c r="B437" s="318">
        <f>(GETPIVOTDATA(" %UG OnC Trad",'FTE Pivot Table'!$A$3,"State","DE","Type",13,"Type2","Technical"))*100</f>
        <v>0</v>
      </c>
      <c r="C437" s="319">
        <f>(GETPIVOTDATA(" %UG OffC Trad",'FTE Pivot Table'!$A$3,"State","DE","Type",13,"Type2","Technical"))*100</f>
        <v>0</v>
      </c>
      <c r="D437" s="340">
        <f t="shared" si="49"/>
        <v>0</v>
      </c>
      <c r="E437" s="318">
        <f>(GETPIVOTDATA(" %UG EL Web",'FTE Pivot Table'!$A$3,"State","DE","Type",13,"Type2","Technical"))*100</f>
        <v>0</v>
      </c>
      <c r="F437" s="318">
        <f>(GETPIVOTDATA(" % UG EL CV",'FTE Pivot Table'!$A$3,"State","DE","Type",13,"Type2","Technical"))*100</f>
        <v>0</v>
      </c>
      <c r="G437" s="319">
        <f>(GETPIVOTDATA(" %UG EL O",'FTE Pivot Table'!$A$3,"State","DE","Type",13,"Type2","Technical"))*100</f>
        <v>0</v>
      </c>
      <c r="H437" s="318">
        <f>(GETPIVOTDATA(" %UG Cor",'FTE Pivot Table'!$A$3,"State","DE","Type",13,"Type2","Technical"))*100</f>
        <v>0</v>
      </c>
      <c r="I437" s="122"/>
      <c r="J437" s="331"/>
      <c r="K437" s="331"/>
      <c r="L437" s="331"/>
      <c r="M437" s="331"/>
      <c r="N437" s="331"/>
      <c r="O437" s="331"/>
      <c r="P437" s="331"/>
      <c r="Q437" s="121">
        <f t="shared" si="50"/>
        <v>0</v>
      </c>
      <c r="R437" s="121">
        <f t="shared" si="51"/>
        <v>0</v>
      </c>
      <c r="S437" s="134"/>
      <c r="T437" s="27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row>
    <row r="438" spans="1:41" ht="15.75" customHeight="1">
      <c r="A438" s="122" t="s">
        <v>537</v>
      </c>
      <c r="B438" s="318">
        <f>(GETPIVOTDATA(" %UG OnC Trad",'FTE Pivot Table'!$A$3,"State","FL","Type",13,"Type2","Technical"))*100</f>
        <v>0</v>
      </c>
      <c r="C438" s="319">
        <f>(GETPIVOTDATA(" %UG OffC Trad",'FTE Pivot Table'!$A$3,"State","FL","Type",13,"Type2","Technical"))*100</f>
        <v>0</v>
      </c>
      <c r="D438" s="340">
        <f t="shared" si="49"/>
        <v>0</v>
      </c>
      <c r="E438" s="318">
        <f>(GETPIVOTDATA(" %UG EL Web",'FTE Pivot Table'!$A$3,"State","FL","Type",13,"Type2","Technical"))*100</f>
        <v>0</v>
      </c>
      <c r="F438" s="318">
        <f>(GETPIVOTDATA(" % UG EL CV",'FTE Pivot Table'!$A$3,"State","FL","Type",13,"Type2","Technical"))*100</f>
        <v>0</v>
      </c>
      <c r="G438" s="319">
        <f>(GETPIVOTDATA(" %UG EL O",'FTE Pivot Table'!$A$3,"State","FL","Type",13,"Type2","Technical"))*100</f>
        <v>0</v>
      </c>
      <c r="H438" s="318">
        <f>(GETPIVOTDATA(" %UG Cor",'FTE Pivot Table'!$A$3,"State","FL","Type",13,"Type2","Technical"))*100</f>
        <v>0</v>
      </c>
      <c r="I438" s="122"/>
      <c r="J438" s="331"/>
      <c r="K438" s="331"/>
      <c r="L438" s="331"/>
      <c r="M438" s="331"/>
      <c r="N438" s="331"/>
      <c r="O438" s="331"/>
      <c r="P438" s="331"/>
      <c r="Q438" s="121">
        <f t="shared" si="50"/>
        <v>0</v>
      </c>
      <c r="R438" s="121">
        <f t="shared" si="51"/>
        <v>0</v>
      </c>
      <c r="S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row>
    <row r="439" spans="1:41" ht="15.75" customHeight="1">
      <c r="A439" s="122"/>
      <c r="B439" s="318"/>
      <c r="C439" s="319"/>
      <c r="D439" s="340">
        <f t="shared" si="49"/>
        <v>0</v>
      </c>
      <c r="E439" s="318"/>
      <c r="F439" s="318"/>
      <c r="G439" s="319"/>
      <c r="H439" s="318"/>
      <c r="I439" s="122"/>
      <c r="J439" s="331"/>
      <c r="K439" s="331"/>
      <c r="L439" s="331"/>
      <c r="M439" s="331"/>
      <c r="N439" s="331"/>
      <c r="O439" s="331"/>
      <c r="P439" s="331"/>
      <c r="Q439" s="121">
        <f t="shared" si="50"/>
        <v>0</v>
      </c>
      <c r="R439" s="121">
        <f t="shared" si="51"/>
        <v>0</v>
      </c>
      <c r="S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row>
    <row r="440" spans="1:41" ht="15.75" customHeight="1">
      <c r="A440" s="122" t="s">
        <v>538</v>
      </c>
      <c r="B440" s="318">
        <f>(GETPIVOTDATA(" %UG OnC Trad",'FTE Pivot Table'!$A$3,"State","GA","Type",13,"Type2","Technical"))*100</f>
        <v>94.32643427741468</v>
      </c>
      <c r="C440" s="319">
        <f>(GETPIVOTDATA(" %UG OffC Trad",'FTE Pivot Table'!$A$3,"State","GA","Type",13,"Type2","Technical"))*100</f>
        <v>0</v>
      </c>
      <c r="D440" s="340">
        <f t="shared" si="49"/>
        <v>5.67356572258533</v>
      </c>
      <c r="E440" s="318">
        <f>(GETPIVOTDATA(" %UG EL Web",'FTE Pivot Table'!$A$3,"State","GA","Type",13,"Type2","Technical"))*100</f>
        <v>5.67356572258533</v>
      </c>
      <c r="F440" s="318">
        <f>(GETPIVOTDATA(" % UG EL CV",'FTE Pivot Table'!$A$3,"State","GA","Type",13,"Type2","Technical"))*100</f>
        <v>0</v>
      </c>
      <c r="G440" s="319">
        <f>(GETPIVOTDATA(" %UG EL O",'FTE Pivot Table'!$A$3,"State","GA","Type",13,"Type2","Technical"))*100</f>
        <v>0</v>
      </c>
      <c r="H440" s="318">
        <f>(GETPIVOTDATA(" %UG Cor",'FTE Pivot Table'!$A$3,"State","GA","Type",13,"Type2","Technical"))*100</f>
        <v>0</v>
      </c>
      <c r="I440" s="122"/>
      <c r="J440" s="331"/>
      <c r="K440" s="331"/>
      <c r="L440" s="331"/>
      <c r="M440" s="331"/>
      <c r="N440" s="331"/>
      <c r="O440" s="331"/>
      <c r="P440" s="331"/>
      <c r="Q440" s="121">
        <f t="shared" si="50"/>
        <v>100</v>
      </c>
      <c r="R440" s="121">
        <f t="shared" si="51"/>
        <v>0</v>
      </c>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row>
    <row r="441" spans="1:41" ht="15.75" customHeight="1">
      <c r="A441" s="122" t="s">
        <v>539</v>
      </c>
      <c r="B441" s="318">
        <f>(GETPIVOTDATA(" %UG OnC Trad",'FTE Pivot Table'!$A$3,"State","KY","Type",13,"Type2","Technical"))*100</f>
        <v>88.97566373064446</v>
      </c>
      <c r="C441" s="319">
        <f>(GETPIVOTDATA(" %UG OffC Trad",'FTE Pivot Table'!$A$3,"State","KY","Type",13,"Type2","Technical"))*100</f>
        <v>9.152387679958991</v>
      </c>
      <c r="D441" s="340">
        <f t="shared" si="49"/>
        <v>1.8719485893965633</v>
      </c>
      <c r="E441" s="318">
        <f>(GETPIVOTDATA(" %UG EL Web",'FTE Pivot Table'!$A$3,"State","KY","Type",13,"Type2","Technical"))*100</f>
        <v>1.8719485893965633</v>
      </c>
      <c r="F441" s="318">
        <f>(GETPIVOTDATA(" % UG EL CV",'FTE Pivot Table'!$A$3,"State","KY","Type",13,"Type2","Technical"))*100</f>
        <v>0</v>
      </c>
      <c r="G441" s="319">
        <f>(GETPIVOTDATA(" %UG EL O",'FTE Pivot Table'!$A$3,"State","KY","Type",13,"Type2","Technical"))*100</f>
        <v>0</v>
      </c>
      <c r="H441" s="318">
        <f>(GETPIVOTDATA(" %UG Cor",'FTE Pivot Table'!$A$3,"State","KY","Type",13,"Type2","Technical"))*100</f>
        <v>0</v>
      </c>
      <c r="I441" s="122"/>
      <c r="J441" s="331"/>
      <c r="K441" s="331"/>
      <c r="L441" s="331"/>
      <c r="M441" s="331"/>
      <c r="N441" s="331"/>
      <c r="O441" s="331"/>
      <c r="P441" s="331"/>
      <c r="Q441" s="121">
        <f t="shared" si="50"/>
        <v>100.00000000000001</v>
      </c>
      <c r="R441" s="121">
        <f t="shared" si="51"/>
        <v>0</v>
      </c>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row>
    <row r="442" spans="1:41" ht="15.75" customHeight="1">
      <c r="A442" s="122" t="s">
        <v>540</v>
      </c>
      <c r="B442" s="318">
        <f>(GETPIVOTDATA(" %UG OnC Trad",'FTE Pivot Table'!$A$3,"State","LA","Type",13,"Type2","Technical"))*100</f>
        <v>0</v>
      </c>
      <c r="C442" s="319">
        <f>(GETPIVOTDATA(" %UG OffC Trad",'FTE Pivot Table'!$A$3,"State","LA","Type",13,"Type2","Technical"))*100</f>
        <v>0</v>
      </c>
      <c r="D442" s="340">
        <f t="shared" si="49"/>
        <v>0</v>
      </c>
      <c r="E442" s="318">
        <f>(GETPIVOTDATA(" %UG EL Web",'FTE Pivot Table'!$A$3,"State","LA","Type",13,"Type2","Technical"))*100</f>
        <v>0</v>
      </c>
      <c r="F442" s="318">
        <f>(GETPIVOTDATA(" % UG EL CV",'FTE Pivot Table'!$A$3,"State","LA","Type",13,"Type2","Technical"))*100</f>
        <v>0</v>
      </c>
      <c r="G442" s="319">
        <f>(GETPIVOTDATA(" %UG EL O",'FTE Pivot Table'!$A$3,"State","LA","Type",13,"Type2","Technical"))*100</f>
        <v>0</v>
      </c>
      <c r="H442" s="318">
        <f>(GETPIVOTDATA(" %UG Cor",'FTE Pivot Table'!$A$3,"State","LA","Type",13,"Type2","Technical"))*100</f>
        <v>0</v>
      </c>
      <c r="I442" s="122"/>
      <c r="J442" s="331"/>
      <c r="K442" s="331"/>
      <c r="L442" s="331"/>
      <c r="M442" s="331"/>
      <c r="N442" s="331"/>
      <c r="O442" s="331"/>
      <c r="P442" s="331"/>
      <c r="Q442" s="121">
        <f t="shared" si="50"/>
        <v>0</v>
      </c>
      <c r="R442" s="121">
        <f t="shared" si="51"/>
        <v>0</v>
      </c>
      <c r="S442" s="134"/>
      <c r="T442" s="27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row>
    <row r="443" spans="1:41" ht="15.75" customHeight="1">
      <c r="A443" s="122" t="s">
        <v>541</v>
      </c>
      <c r="B443" s="318">
        <f>(GETPIVOTDATA(" %UG OnC Trad",'FTE Pivot Table'!$A$3,"State","MD","Type",13,"Type2","Technical"))*100</f>
        <v>0</v>
      </c>
      <c r="C443" s="319">
        <f>(GETPIVOTDATA(" %UG OffC Trad",'FTE Pivot Table'!$A$3,"State","MD","Type",13,"Type2","Technical"))*100</f>
        <v>0</v>
      </c>
      <c r="D443" s="340">
        <f t="shared" si="49"/>
        <v>0</v>
      </c>
      <c r="E443" s="318">
        <f>(GETPIVOTDATA(" %UG EL Web",'FTE Pivot Table'!$A$3,"State","MD","Type",13,"Type2","Technical"))*100</f>
        <v>0</v>
      </c>
      <c r="F443" s="318">
        <f>(GETPIVOTDATA(" % UG EL CV",'FTE Pivot Table'!$A$3,"State","MD","Type",13,"Type2","Technical"))*100</f>
        <v>0</v>
      </c>
      <c r="G443" s="319">
        <f>(GETPIVOTDATA(" %UG EL O",'FTE Pivot Table'!$A$3,"State","MD","Type",13,"Type2","Technical"))*100</f>
        <v>0</v>
      </c>
      <c r="H443" s="318">
        <f>(GETPIVOTDATA(" %UG Cor",'FTE Pivot Table'!$A$3,"State","MD","Type",13,"Type2","Technical"))*100</f>
        <v>0</v>
      </c>
      <c r="I443" s="122"/>
      <c r="J443" s="331"/>
      <c r="K443" s="331"/>
      <c r="L443" s="331"/>
      <c r="M443" s="331"/>
      <c r="N443" s="331"/>
      <c r="O443" s="331"/>
      <c r="P443" s="331"/>
      <c r="Q443" s="121">
        <f t="shared" si="50"/>
        <v>0</v>
      </c>
      <c r="R443" s="121">
        <f t="shared" si="51"/>
        <v>0</v>
      </c>
      <c r="S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row>
    <row r="444" spans="1:41" ht="15.75" customHeight="1">
      <c r="A444" s="122"/>
      <c r="B444" s="318"/>
      <c r="C444" s="319"/>
      <c r="D444" s="340">
        <f t="shared" si="49"/>
        <v>0</v>
      </c>
      <c r="E444" s="318"/>
      <c r="F444" s="318"/>
      <c r="G444" s="319"/>
      <c r="H444" s="318"/>
      <c r="I444" s="122"/>
      <c r="J444" s="331"/>
      <c r="K444" s="331"/>
      <c r="L444" s="331"/>
      <c r="M444" s="331"/>
      <c r="N444" s="331"/>
      <c r="O444" s="331"/>
      <c r="P444" s="331"/>
      <c r="Q444" s="121">
        <f t="shared" si="50"/>
        <v>0</v>
      </c>
      <c r="R444" s="121">
        <f t="shared" si="51"/>
        <v>0</v>
      </c>
      <c r="S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row>
    <row r="445" spans="1:41" ht="15.75" customHeight="1">
      <c r="A445" s="122" t="s">
        <v>168</v>
      </c>
      <c r="B445" s="318">
        <f>(GETPIVOTDATA(" %UG OnC Trad",'FTE Pivot Table'!$A$3,"State","MS","Type",13,"Type2","Technical"))*100</f>
        <v>0</v>
      </c>
      <c r="C445" s="319">
        <f>(GETPIVOTDATA(" %UG OffC Trad",'FTE Pivot Table'!$A$3,"State","MS","Type",13,"Type2","Technical"))*100</f>
        <v>0</v>
      </c>
      <c r="D445" s="340">
        <f t="shared" si="49"/>
        <v>0</v>
      </c>
      <c r="E445" s="318">
        <f>(GETPIVOTDATA(" %UG EL Web",'FTE Pivot Table'!$A$3,"State","MS","Type",13,"Type2","Technical"))*100</f>
        <v>0</v>
      </c>
      <c r="F445" s="318">
        <f>(GETPIVOTDATA(" % UG EL CV",'FTE Pivot Table'!$A$3,"State","MS","Type",13,"Type2","Technical"))*100</f>
        <v>0</v>
      </c>
      <c r="G445" s="319">
        <f>(GETPIVOTDATA(" %UG EL O",'FTE Pivot Table'!$A$3,"State","MS","Type",13,"Type2","Technical"))*100</f>
        <v>0</v>
      </c>
      <c r="H445" s="318">
        <f>(GETPIVOTDATA(" %UG Cor",'FTE Pivot Table'!$A$3,"State","MS","Type",13,"Type2","Technical"))*100</f>
        <v>0</v>
      </c>
      <c r="I445" s="122"/>
      <c r="J445" s="331"/>
      <c r="K445" s="331"/>
      <c r="L445" s="331"/>
      <c r="M445" s="331"/>
      <c r="N445" s="331"/>
      <c r="O445" s="331"/>
      <c r="P445" s="331"/>
      <c r="Q445" s="121">
        <f t="shared" si="50"/>
        <v>0</v>
      </c>
      <c r="R445" s="121">
        <f t="shared" si="51"/>
        <v>0</v>
      </c>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row>
    <row r="446" spans="1:41" ht="15.75" customHeight="1">
      <c r="A446" s="122" t="s">
        <v>176</v>
      </c>
      <c r="B446" s="318">
        <f>(GETPIVOTDATA(" %UG OnC Trad",'FTE Pivot Table'!$A$3,"State","NC","Type",13,"Type2","Technical"))*100</f>
        <v>0</v>
      </c>
      <c r="C446" s="319">
        <f>(GETPIVOTDATA(" %UG OffC Trad",'FTE Pivot Table'!$A$3,"State","NC","Type",13,"Type2","Technical"))*100</f>
        <v>0</v>
      </c>
      <c r="D446" s="340">
        <f t="shared" si="49"/>
        <v>0</v>
      </c>
      <c r="E446" s="318">
        <f>(GETPIVOTDATA(" %UG EL Web",'FTE Pivot Table'!$A$3,"State","NC","Type",13,"Type2","Technical"))*100</f>
        <v>0</v>
      </c>
      <c r="F446" s="318">
        <f>(GETPIVOTDATA(" % UG EL CV",'FTE Pivot Table'!$A$3,"State","NC","Type",13,"Type2","Technical"))*100</f>
        <v>0</v>
      </c>
      <c r="G446" s="319">
        <f>(GETPIVOTDATA(" %UG EL O",'FTE Pivot Table'!$A$3,"State","NC","Type",13,"Type2","Technical"))*100</f>
        <v>0</v>
      </c>
      <c r="H446" s="318">
        <f>(GETPIVOTDATA(" %UG Cor",'FTE Pivot Table'!$A$3,"State","NC","Type",13,"Type2","Technical"))*100</f>
        <v>0</v>
      </c>
      <c r="I446" s="122"/>
      <c r="J446" s="331"/>
      <c r="K446" s="331"/>
      <c r="L446" s="331"/>
      <c r="M446" s="331"/>
      <c r="N446" s="331"/>
      <c r="O446" s="331"/>
      <c r="P446" s="331"/>
      <c r="Q446" s="121">
        <f t="shared" si="50"/>
        <v>0</v>
      </c>
      <c r="R446" s="121">
        <f t="shared" si="51"/>
        <v>0</v>
      </c>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row>
    <row r="447" spans="1:41" ht="15.75" customHeight="1">
      <c r="A447" s="122" t="s">
        <v>169</v>
      </c>
      <c r="B447" s="318">
        <f>(GETPIVOTDATA(" %UG OnC Trad",'FTE Pivot Table'!$A$3,"State","OK","Type",13,"Type2","Technical"))*100</f>
        <v>0</v>
      </c>
      <c r="C447" s="319">
        <f>(GETPIVOTDATA(" %UG OffC Trad",'FTE Pivot Table'!$A$3,"State","OK","Type",13,"Type2","Technical"))*100</f>
        <v>0</v>
      </c>
      <c r="D447" s="340">
        <f t="shared" si="49"/>
        <v>0</v>
      </c>
      <c r="E447" s="318">
        <f>(GETPIVOTDATA(" %UG EL Web",'FTE Pivot Table'!$A$3,"State","OK","Type",13,"Type2","Technical"))*100</f>
        <v>0</v>
      </c>
      <c r="F447" s="318">
        <f>(GETPIVOTDATA(" % UG EL CV",'FTE Pivot Table'!$A$3,"State","OK","Type",13,"Type2","Technical"))*100</f>
        <v>0</v>
      </c>
      <c r="G447" s="319">
        <f>(GETPIVOTDATA(" %UG EL O",'FTE Pivot Table'!$A$3,"State","OK","Type",13,"Type2","Technical"))*100</f>
        <v>0</v>
      </c>
      <c r="H447" s="318">
        <f>(GETPIVOTDATA(" %UG Cor",'FTE Pivot Table'!$A$3,"State","OK","Type",13,"Type2","Technical"))*100</f>
        <v>0</v>
      </c>
      <c r="I447" s="122"/>
      <c r="J447" s="331"/>
      <c r="K447" s="331"/>
      <c r="L447" s="331"/>
      <c r="M447" s="331"/>
      <c r="N447" s="331"/>
      <c r="O447" s="331"/>
      <c r="P447" s="331"/>
      <c r="Q447" s="121">
        <f t="shared" si="50"/>
        <v>0</v>
      </c>
      <c r="R447" s="121">
        <f t="shared" si="51"/>
        <v>0</v>
      </c>
      <c r="S447" s="134"/>
      <c r="T447" s="27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row>
    <row r="448" spans="1:41" ht="15.75" customHeight="1">
      <c r="A448" s="122" t="s">
        <v>542</v>
      </c>
      <c r="B448" s="318">
        <f>(GETPIVOTDATA(" %UG OnC Trad",'FTE Pivot Table'!$A$3,"State","SC","Type",13,"Type2","Technical"))*100</f>
        <v>0</v>
      </c>
      <c r="C448" s="319">
        <f>(GETPIVOTDATA(" %UG OffC Trad",'FTE Pivot Table'!$A$3,"State","SC","Type",13,"Type2","Technical"))*100</f>
        <v>0</v>
      </c>
      <c r="D448" s="340">
        <f t="shared" si="49"/>
        <v>0</v>
      </c>
      <c r="E448" s="318">
        <f>(GETPIVOTDATA(" %UG EL Web",'FTE Pivot Table'!$A$3,"State","SC","Type",13,"Type2","Technical"))*100</f>
        <v>0</v>
      </c>
      <c r="F448" s="318">
        <f>(GETPIVOTDATA(" % UG EL CV",'FTE Pivot Table'!$A$3,"State","SC","Type",13,"Type2","Technical"))*100</f>
        <v>0</v>
      </c>
      <c r="G448" s="319">
        <f>(GETPIVOTDATA(" %UG EL O",'FTE Pivot Table'!$A$3,"State","SC","Type",13,"Type2","Technical"))*100</f>
        <v>0</v>
      </c>
      <c r="H448" s="318">
        <f>(GETPIVOTDATA(" %UG Cor",'FTE Pivot Table'!$A$3,"State","SC","Type",13,"Type2","Technical"))*100</f>
        <v>0</v>
      </c>
      <c r="I448" s="122"/>
      <c r="J448" s="331"/>
      <c r="K448" s="331"/>
      <c r="L448" s="331"/>
      <c r="M448" s="331"/>
      <c r="N448" s="331"/>
      <c r="O448" s="331"/>
      <c r="P448" s="331"/>
      <c r="Q448" s="121">
        <f t="shared" si="50"/>
        <v>0</v>
      </c>
      <c r="R448" s="121">
        <f t="shared" si="51"/>
        <v>0</v>
      </c>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row>
    <row r="449" spans="1:41" ht="15.75" customHeight="1">
      <c r="A449" s="122"/>
      <c r="B449" s="318"/>
      <c r="C449" s="319"/>
      <c r="D449" s="340">
        <f t="shared" si="49"/>
        <v>0</v>
      </c>
      <c r="E449" s="318"/>
      <c r="F449" s="318"/>
      <c r="G449" s="319"/>
      <c r="H449" s="318"/>
      <c r="I449" s="122"/>
      <c r="J449" s="331"/>
      <c r="K449" s="331"/>
      <c r="L449" s="331"/>
      <c r="M449" s="331"/>
      <c r="N449" s="331"/>
      <c r="O449" s="331"/>
      <c r="P449" s="331"/>
      <c r="Q449" s="121">
        <f t="shared" si="50"/>
        <v>0</v>
      </c>
      <c r="R449" s="121">
        <f t="shared" si="51"/>
        <v>0</v>
      </c>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row>
    <row r="450" spans="1:41" ht="15.75" customHeight="1">
      <c r="A450" s="122" t="s">
        <v>543</v>
      </c>
      <c r="B450" s="318">
        <f>(GETPIVOTDATA(" %UG OnC Trad",'FTE Pivot Table'!$A$3,"State","TN","Type",13,"Type2","Technical"))*100</f>
        <v>0</v>
      </c>
      <c r="C450" s="319">
        <f>(GETPIVOTDATA(" %UG OffC Trad",'FTE Pivot Table'!$A$3,"State","TN","Type",13,"Type2","Technical"))*100</f>
        <v>0</v>
      </c>
      <c r="D450" s="340">
        <f t="shared" si="49"/>
        <v>0</v>
      </c>
      <c r="E450" s="318">
        <f>(GETPIVOTDATA(" %UG EL Web",'FTE Pivot Table'!$A$3,"State","TN","Type",13,"Type2","Technical"))*100</f>
        <v>0</v>
      </c>
      <c r="F450" s="318">
        <f>(GETPIVOTDATA(" % UG EL CV",'FTE Pivot Table'!$A$3,"State","TN","Type",13,"Type2","Technical"))*100</f>
        <v>0</v>
      </c>
      <c r="G450" s="319">
        <f>(GETPIVOTDATA(" %UG EL O",'FTE Pivot Table'!$A$3,"State","TN","Type",13,"Type2","Technical"))*100</f>
        <v>0</v>
      </c>
      <c r="H450" s="318">
        <f>(GETPIVOTDATA(" %UG Cor",'FTE Pivot Table'!$A$3,"State","TN","Type",13,"Type2","Technical"))*100</f>
        <v>0</v>
      </c>
      <c r="I450" s="122"/>
      <c r="J450" s="331"/>
      <c r="K450" s="331"/>
      <c r="L450" s="331"/>
      <c r="M450" s="331"/>
      <c r="N450" s="331"/>
      <c r="O450" s="331"/>
      <c r="P450" s="331"/>
      <c r="Q450" s="121">
        <f t="shared" si="50"/>
        <v>0</v>
      </c>
      <c r="R450" s="121">
        <f t="shared" si="51"/>
        <v>0</v>
      </c>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row>
    <row r="451" spans="1:41" ht="15.75" customHeight="1">
      <c r="A451" s="122" t="s">
        <v>277</v>
      </c>
      <c r="B451" s="318">
        <f>(GETPIVOTDATA(" %UG Onc Trad",'FTE Pivot Table'!$A$3,"State","TX","Type",13,"Type2","Technical"))*100</f>
        <v>0</v>
      </c>
      <c r="C451" s="319">
        <f>(GETPIVOTDATA(" %UG OffC Trad",'FTE Pivot Table'!$A$3,"State","TX","Type",13,"Type2","Technical"))*100</f>
        <v>0</v>
      </c>
      <c r="D451" s="340">
        <f t="shared" si="49"/>
        <v>0</v>
      </c>
      <c r="E451" s="318">
        <f>(GETPIVOTDATA(" %UG EL Web",'FTE Pivot Table'!$A$3,"State","TX","Type",13,"Type2","Technical"))*100</f>
        <v>0</v>
      </c>
      <c r="F451" s="318">
        <f>(GETPIVOTDATA(" % UG EL CV",'FTE Pivot Table'!$A$3,"State","TX","Type",13,"Type2","Technical"))*100</f>
        <v>0</v>
      </c>
      <c r="G451" s="319">
        <f>(GETPIVOTDATA(" %UG EL O",'FTE Pivot Table'!$A$3,"State","TX","Type",13,"Type2","Technical"))*100</f>
        <v>0</v>
      </c>
      <c r="H451" s="318">
        <f>(GETPIVOTDATA(" %UG Cor",'FTE Pivot Table'!$A$3,"State","TX","Type",13,"Type2","Technical"))*100</f>
        <v>0</v>
      </c>
      <c r="I451" s="122"/>
      <c r="J451" s="331"/>
      <c r="K451" s="331"/>
      <c r="L451" s="331"/>
      <c r="M451" s="331"/>
      <c r="N451" s="331"/>
      <c r="O451" s="331"/>
      <c r="P451" s="331"/>
      <c r="Q451" s="121">
        <f t="shared" si="50"/>
        <v>0</v>
      </c>
      <c r="R451" s="121">
        <f t="shared" si="51"/>
        <v>0</v>
      </c>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row>
    <row r="452" spans="1:41" ht="15.75" customHeight="1">
      <c r="A452" s="122" t="s">
        <v>544</v>
      </c>
      <c r="B452" s="318">
        <f>(GETPIVOTDATA(" %UG OnC Trad",'FTE Pivot Table'!$A$3,"State","VA","Type",13,"Type2","Technical"))*100</f>
        <v>0</v>
      </c>
      <c r="C452" s="319">
        <f>(GETPIVOTDATA(" %UG OffC Trad",'FTE Pivot Table'!$A$3,"State","VA","Type",13,"Type2","Technical"))*100</f>
        <v>0</v>
      </c>
      <c r="D452" s="340">
        <f t="shared" si="49"/>
        <v>0</v>
      </c>
      <c r="E452" s="318">
        <f>(GETPIVOTDATA(" %UG EL Web",'FTE Pivot Table'!$A$3,"State","VA","Type",13,"Type2","Technical"))*100</f>
        <v>0</v>
      </c>
      <c r="F452" s="318">
        <f>(GETPIVOTDATA(" % UG EL CV",'FTE Pivot Table'!$A$3,"State","VA","Type",13,"Type2","Technical"))*100</f>
        <v>0</v>
      </c>
      <c r="G452" s="319">
        <f>(GETPIVOTDATA(" %UG EL O",'FTE Pivot Table'!$A$3,"State","VA","Type",13,"Type2","Technical"))*100</f>
        <v>0</v>
      </c>
      <c r="H452" s="318">
        <f>(GETPIVOTDATA(" %UG Cor",'FTE Pivot Table'!$A$3,"State","VA","Type",13,"Type2","Technical"))*100</f>
        <v>0</v>
      </c>
      <c r="I452" s="122"/>
      <c r="J452" s="331"/>
      <c r="K452" s="331"/>
      <c r="L452" s="331"/>
      <c r="M452" s="331"/>
      <c r="N452" s="331"/>
      <c r="O452" s="331"/>
      <c r="P452" s="331"/>
      <c r="Q452" s="121">
        <f t="shared" si="50"/>
        <v>0</v>
      </c>
      <c r="R452" s="121">
        <f t="shared" si="51"/>
        <v>0</v>
      </c>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row>
    <row r="453" spans="1:41" ht="15.75" customHeight="1">
      <c r="A453" s="116" t="s">
        <v>170</v>
      </c>
      <c r="B453" s="317">
        <f>(GETPIVOTDATA(" %UG OnC Trad",'FTE Pivot Table'!$A$3,"State","WV","Type",13,"Type2","Technical"))*100</f>
        <v>0</v>
      </c>
      <c r="C453" s="320">
        <f>(GETPIVOTDATA(" %UG OffC Trad",'FTE Pivot Table'!$A$3,"State","WV","Type",13,"Type2","Technical"))*100</f>
        <v>0</v>
      </c>
      <c r="D453" s="342">
        <f t="shared" si="49"/>
        <v>0</v>
      </c>
      <c r="E453" s="317">
        <f>(GETPIVOTDATA(" %UG EL Web",'FTE Pivot Table'!$A$3,"State","WV","Type",13,"Type2","Technical"))*100</f>
        <v>0</v>
      </c>
      <c r="F453" s="317">
        <f>(GETPIVOTDATA(" % UG EL CV",'FTE Pivot Table'!$A$3,"State","WV","Type",13,"Type2","Technical"))*100</f>
        <v>0</v>
      </c>
      <c r="G453" s="320">
        <f>(GETPIVOTDATA(" %UG EL O",'FTE Pivot Table'!$A$3,"State","WV","Type",13,"Type2","Technical"))*100</f>
        <v>0</v>
      </c>
      <c r="H453" s="317">
        <f>(GETPIVOTDATA(" %UG Cor",'FTE Pivot Table'!$A$3,"State","WV","Type",13,"Type2","Technical"))*100</f>
        <v>0</v>
      </c>
      <c r="I453" s="122"/>
      <c r="J453" s="331"/>
      <c r="K453" s="331"/>
      <c r="L453" s="331"/>
      <c r="M453" s="331"/>
      <c r="N453" s="331"/>
      <c r="O453" s="331"/>
      <c r="P453" s="331"/>
      <c r="Q453" s="121">
        <f t="shared" si="50"/>
        <v>0</v>
      </c>
      <c r="R453" s="121">
        <f t="shared" si="51"/>
        <v>0</v>
      </c>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row>
    <row r="454" spans="1:41" s="279" customFormat="1" ht="18" customHeight="1">
      <c r="A454" s="347" t="s">
        <v>634</v>
      </c>
      <c r="B454" s="283"/>
      <c r="C454" s="283"/>
      <c r="D454" s="284"/>
      <c r="E454" s="283"/>
      <c r="F454" s="284"/>
      <c r="G454" s="284"/>
      <c r="H454" s="283"/>
      <c r="I454" s="347"/>
      <c r="J454" s="283"/>
      <c r="K454" s="283"/>
      <c r="L454" s="284"/>
      <c r="M454" s="283"/>
      <c r="N454" s="284"/>
      <c r="O454" s="284"/>
      <c r="P454" s="283"/>
      <c r="Q454" s="283"/>
      <c r="R454" s="283"/>
      <c r="S454" s="285"/>
      <c r="T454" s="285"/>
      <c r="U454" s="285"/>
      <c r="V454" s="285"/>
      <c r="W454" s="285"/>
      <c r="X454" s="285"/>
      <c r="Y454" s="285"/>
      <c r="Z454" s="285"/>
      <c r="AA454" s="285"/>
      <c r="AB454" s="285"/>
      <c r="AC454" s="285"/>
      <c r="AD454" s="285"/>
      <c r="AE454" s="285"/>
      <c r="AF454" s="285"/>
      <c r="AG454" s="285"/>
      <c r="AH454" s="285"/>
      <c r="AI454" s="285"/>
      <c r="AJ454" s="285"/>
      <c r="AK454" s="285"/>
      <c r="AL454" s="285"/>
      <c r="AM454" s="285"/>
      <c r="AN454" s="285"/>
      <c r="AO454" s="285"/>
    </row>
    <row r="455" spans="1:18" s="279" customFormat="1" ht="13.5" customHeight="1">
      <c r="A455" s="347"/>
      <c r="B455" s="278"/>
      <c r="H455" s="351" t="s">
        <v>642</v>
      </c>
      <c r="I455" s="347"/>
      <c r="P455" s="280"/>
      <c r="Q455" s="281"/>
      <c r="R455" s="282"/>
    </row>
    <row r="456" spans="1:18" s="279" customFormat="1" ht="13.5" customHeight="1">
      <c r="A456" s="348"/>
      <c r="H456" s="277"/>
      <c r="I456" s="348"/>
      <c r="Q456" s="281"/>
      <c r="R456" s="282"/>
    </row>
    <row r="457" spans="1:16" ht="18">
      <c r="A457" s="113" t="s">
        <v>559</v>
      </c>
      <c r="B457" s="114"/>
      <c r="C457" s="114"/>
      <c r="D457" s="114"/>
      <c r="E457" s="114"/>
      <c r="F457" s="114"/>
      <c r="G457" s="114"/>
      <c r="H457" s="132"/>
      <c r="I457" s="131"/>
      <c r="J457" s="122"/>
      <c r="K457" s="122"/>
      <c r="L457" s="122"/>
      <c r="M457" s="122"/>
      <c r="N457" s="122"/>
      <c r="O457" s="122"/>
      <c r="P457" s="122"/>
    </row>
    <row r="458" spans="1:16" ht="15.75">
      <c r="A458" s="124" t="s">
        <v>617</v>
      </c>
      <c r="B458" s="115"/>
      <c r="C458" s="115"/>
      <c r="D458" s="115"/>
      <c r="E458" s="115"/>
      <c r="F458" s="115"/>
      <c r="G458" s="115"/>
      <c r="H458" s="127"/>
      <c r="I458" s="131"/>
      <c r="J458" s="122"/>
      <c r="K458" s="122"/>
      <c r="L458" s="122"/>
      <c r="M458" s="122"/>
      <c r="N458" s="122"/>
      <c r="O458" s="122"/>
      <c r="P458" s="122"/>
    </row>
    <row r="459" spans="1:16" ht="15.75">
      <c r="A459" s="124" t="s">
        <v>588</v>
      </c>
      <c r="B459" s="115"/>
      <c r="C459" s="115"/>
      <c r="D459" s="115"/>
      <c r="E459" s="115"/>
      <c r="F459" s="115"/>
      <c r="G459" s="115"/>
      <c r="H459" s="127"/>
      <c r="I459" s="131"/>
      <c r="J459" s="122"/>
      <c r="K459" s="122"/>
      <c r="L459" s="122"/>
      <c r="M459" s="122"/>
      <c r="N459" s="122"/>
      <c r="O459" s="122"/>
      <c r="P459" s="122"/>
    </row>
    <row r="460" spans="1:16" ht="12.75">
      <c r="A460" s="116" t="s">
        <v>558</v>
      </c>
      <c r="B460" s="117"/>
      <c r="C460" s="117"/>
      <c r="D460" s="117"/>
      <c r="E460" s="117"/>
      <c r="F460" s="117"/>
      <c r="G460" s="117"/>
      <c r="H460" s="117"/>
      <c r="I460" s="131"/>
      <c r="J460" s="122"/>
      <c r="K460" s="122"/>
      <c r="L460" s="122"/>
      <c r="M460" s="122"/>
      <c r="N460" s="122"/>
      <c r="O460" s="122"/>
      <c r="P460" s="122"/>
    </row>
    <row r="461" spans="1:16" ht="12.75">
      <c r="A461" s="125"/>
      <c r="B461" s="126" t="s">
        <v>279</v>
      </c>
      <c r="C461" s="126"/>
      <c r="D461" s="126"/>
      <c r="E461" s="126"/>
      <c r="F461" s="126"/>
      <c r="G461" s="126"/>
      <c r="H461" s="127"/>
      <c r="I461" s="131"/>
      <c r="J461" s="122"/>
      <c r="K461" s="122"/>
      <c r="L461" s="122"/>
      <c r="M461" s="122"/>
      <c r="N461" s="122"/>
      <c r="O461" s="122"/>
      <c r="P461" s="122"/>
    </row>
    <row r="462" spans="1:16" ht="12.75">
      <c r="A462" s="125"/>
      <c r="B462" s="126" t="s">
        <v>173</v>
      </c>
      <c r="C462" s="126"/>
      <c r="D462" s="372" t="s">
        <v>629</v>
      </c>
      <c r="E462" s="373"/>
      <c r="F462" s="373"/>
      <c r="G462" s="373"/>
      <c r="H462" s="266" t="s">
        <v>2</v>
      </c>
      <c r="I462" s="131"/>
      <c r="J462" s="122"/>
      <c r="K462" s="122"/>
      <c r="L462" s="122"/>
      <c r="M462" s="122"/>
      <c r="N462" s="122"/>
      <c r="O462" s="122"/>
      <c r="P462" s="122"/>
    </row>
    <row r="463" spans="1:16" ht="38.25">
      <c r="A463" s="125"/>
      <c r="B463" s="133" t="s">
        <v>612</v>
      </c>
      <c r="C463" s="267" t="s">
        <v>611</v>
      </c>
      <c r="D463" s="129" t="s">
        <v>626</v>
      </c>
      <c r="E463" s="128" t="s">
        <v>0</v>
      </c>
      <c r="F463" s="133" t="s">
        <v>174</v>
      </c>
      <c r="G463" s="349" t="s">
        <v>636</v>
      </c>
      <c r="H463" s="268" t="s">
        <v>630</v>
      </c>
      <c r="I463" s="131"/>
      <c r="J463" s="122"/>
      <c r="K463" s="122"/>
      <c r="L463" s="122"/>
      <c r="M463" s="122"/>
      <c r="N463" s="122"/>
      <c r="O463" s="122"/>
      <c r="P463" s="122"/>
    </row>
    <row r="464" spans="1:41" ht="15.75" customHeight="1">
      <c r="A464" s="123" t="s">
        <v>534</v>
      </c>
      <c r="B464" s="318"/>
      <c r="C464" s="319"/>
      <c r="D464" s="340"/>
      <c r="E464" s="318"/>
      <c r="F464" s="341"/>
      <c r="G464" s="319"/>
      <c r="H464" s="318"/>
      <c r="I464" s="122"/>
      <c r="J464" s="331"/>
      <c r="K464" s="331"/>
      <c r="L464" s="331"/>
      <c r="M464" s="331"/>
      <c r="N464" s="331"/>
      <c r="O464" s="331"/>
      <c r="P464" s="331"/>
      <c r="Q464" s="121"/>
      <c r="R464" s="121"/>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row>
    <row r="465" spans="1:41" ht="15.75" customHeight="1">
      <c r="A465" s="122" t="s">
        <v>535</v>
      </c>
      <c r="B465" s="318"/>
      <c r="C465" s="319"/>
      <c r="D465" s="340"/>
      <c r="E465" s="318"/>
      <c r="F465" s="318"/>
      <c r="G465" s="319"/>
      <c r="H465" s="318"/>
      <c r="I465" s="122"/>
      <c r="J465" s="331"/>
      <c r="K465" s="331"/>
      <c r="L465" s="331"/>
      <c r="M465" s="331"/>
      <c r="N465" s="331"/>
      <c r="O465" s="331"/>
      <c r="P465" s="331"/>
      <c r="Q465" s="121"/>
      <c r="R465" s="121"/>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row>
    <row r="466" spans="1:41" ht="15.75" customHeight="1">
      <c r="A466" s="122" t="s">
        <v>536</v>
      </c>
      <c r="B466" s="318"/>
      <c r="C466" s="319"/>
      <c r="D466" s="340"/>
      <c r="E466" s="318"/>
      <c r="F466" s="318"/>
      <c r="G466" s="319"/>
      <c r="H466" s="318"/>
      <c r="I466" s="122"/>
      <c r="J466" s="331"/>
      <c r="K466" s="331"/>
      <c r="L466" s="331"/>
      <c r="M466" s="331"/>
      <c r="N466" s="331"/>
      <c r="O466" s="331"/>
      <c r="P466" s="331"/>
      <c r="Q466" s="121"/>
      <c r="R466" s="121"/>
      <c r="S466" s="134"/>
      <c r="T466" s="27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row>
    <row r="467" spans="1:41" ht="15.75" customHeight="1">
      <c r="A467" s="122" t="s">
        <v>537</v>
      </c>
      <c r="B467" s="318"/>
      <c r="C467" s="319"/>
      <c r="D467" s="340"/>
      <c r="E467" s="318"/>
      <c r="F467" s="318"/>
      <c r="G467" s="319"/>
      <c r="H467" s="318"/>
      <c r="I467" s="122"/>
      <c r="J467" s="331"/>
      <c r="K467" s="331"/>
      <c r="L467" s="331"/>
      <c r="M467" s="331"/>
      <c r="N467" s="331"/>
      <c r="O467" s="331"/>
      <c r="P467" s="331"/>
      <c r="Q467" s="121"/>
      <c r="R467" s="121"/>
      <c r="S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row>
    <row r="468" spans="1:41" ht="15.75" customHeight="1">
      <c r="A468" s="122" t="s">
        <v>538</v>
      </c>
      <c r="B468" s="318"/>
      <c r="C468" s="319"/>
      <c r="D468" s="340"/>
      <c r="E468" s="318"/>
      <c r="F468" s="318"/>
      <c r="G468" s="319"/>
      <c r="H468" s="318"/>
      <c r="I468" s="122"/>
      <c r="J468" s="331"/>
      <c r="K468" s="331"/>
      <c r="L468" s="331"/>
      <c r="M468" s="331"/>
      <c r="N468" s="331"/>
      <c r="O468" s="331"/>
      <c r="P468" s="331"/>
      <c r="Q468" s="121"/>
      <c r="R468" s="121"/>
      <c r="S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row>
    <row r="469" spans="1:41" ht="15.75" customHeight="1">
      <c r="A469" s="122" t="s">
        <v>539</v>
      </c>
      <c r="B469" s="318"/>
      <c r="C469" s="319"/>
      <c r="D469" s="340"/>
      <c r="E469" s="318"/>
      <c r="F469" s="318"/>
      <c r="G469" s="319"/>
      <c r="H469" s="318"/>
      <c r="I469" s="122"/>
      <c r="J469" s="331"/>
      <c r="K469" s="331"/>
      <c r="L469" s="331"/>
      <c r="M469" s="331"/>
      <c r="N469" s="331"/>
      <c r="O469" s="331"/>
      <c r="P469" s="331"/>
      <c r="Q469" s="121"/>
      <c r="R469" s="121"/>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row>
    <row r="470" spans="1:41" ht="15.75" customHeight="1">
      <c r="A470" s="122" t="s">
        <v>540</v>
      </c>
      <c r="B470" s="318"/>
      <c r="C470" s="319"/>
      <c r="D470" s="340"/>
      <c r="E470" s="318"/>
      <c r="F470" s="318"/>
      <c r="G470" s="319"/>
      <c r="H470" s="318"/>
      <c r="I470" s="122"/>
      <c r="J470" s="331"/>
      <c r="K470" s="331"/>
      <c r="L470" s="331"/>
      <c r="M470" s="331"/>
      <c r="N470" s="331"/>
      <c r="O470" s="331"/>
      <c r="P470" s="331"/>
      <c r="Q470" s="121"/>
      <c r="R470" s="121"/>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row>
    <row r="471" spans="1:41" ht="15.75" customHeight="1">
      <c r="A471" s="122" t="s">
        <v>541</v>
      </c>
      <c r="B471" s="318"/>
      <c r="C471" s="319"/>
      <c r="D471" s="340"/>
      <c r="E471" s="318"/>
      <c r="F471" s="318"/>
      <c r="G471" s="319"/>
      <c r="H471" s="318"/>
      <c r="I471" s="122"/>
      <c r="J471" s="331"/>
      <c r="K471" s="331"/>
      <c r="L471" s="331"/>
      <c r="M471" s="331"/>
      <c r="N471" s="331"/>
      <c r="O471" s="331"/>
      <c r="P471" s="331"/>
      <c r="Q471" s="121"/>
      <c r="R471" s="121"/>
      <c r="S471" s="134"/>
      <c r="T471" s="27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row>
    <row r="472" spans="1:41" ht="15.75" customHeight="1">
      <c r="A472" s="122" t="s">
        <v>168</v>
      </c>
      <c r="B472" s="318"/>
      <c r="C472" s="319"/>
      <c r="D472" s="340"/>
      <c r="E472" s="318"/>
      <c r="F472" s="318"/>
      <c r="G472" s="319"/>
      <c r="H472" s="318"/>
      <c r="I472" s="122"/>
      <c r="J472" s="331"/>
      <c r="K472" s="331"/>
      <c r="L472" s="331"/>
      <c r="M472" s="331"/>
      <c r="N472" s="331"/>
      <c r="O472" s="331"/>
      <c r="P472" s="331"/>
      <c r="Q472" s="121"/>
      <c r="R472" s="121"/>
      <c r="S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row>
    <row r="473" spans="1:41" ht="15.75" customHeight="1">
      <c r="A473" s="122" t="s">
        <v>176</v>
      </c>
      <c r="B473" s="318"/>
      <c r="C473" s="319"/>
      <c r="D473" s="340"/>
      <c r="E473" s="318"/>
      <c r="F473" s="318"/>
      <c r="G473" s="319"/>
      <c r="H473" s="318"/>
      <c r="I473" s="122"/>
      <c r="J473" s="331"/>
      <c r="K473" s="331"/>
      <c r="L473" s="331"/>
      <c r="M473" s="331"/>
      <c r="N473" s="331"/>
      <c r="O473" s="331"/>
      <c r="P473" s="331"/>
      <c r="Q473" s="121"/>
      <c r="R473" s="121"/>
      <c r="S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row>
    <row r="474" spans="1:41" ht="15.75" customHeight="1">
      <c r="A474" s="122" t="s">
        <v>169</v>
      </c>
      <c r="B474" s="318"/>
      <c r="C474" s="319"/>
      <c r="D474" s="340"/>
      <c r="E474" s="318"/>
      <c r="F474" s="318"/>
      <c r="G474" s="319"/>
      <c r="H474" s="318"/>
      <c r="I474" s="122"/>
      <c r="J474" s="331"/>
      <c r="K474" s="331"/>
      <c r="L474" s="331"/>
      <c r="M474" s="331"/>
      <c r="N474" s="331"/>
      <c r="O474" s="331"/>
      <c r="P474" s="331"/>
      <c r="Q474" s="121"/>
      <c r="R474" s="121"/>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row>
    <row r="475" spans="1:41" ht="15.75" customHeight="1">
      <c r="A475" s="122" t="s">
        <v>542</v>
      </c>
      <c r="B475" s="318"/>
      <c r="C475" s="319"/>
      <c r="D475" s="340"/>
      <c r="E475" s="318"/>
      <c r="F475" s="318"/>
      <c r="G475" s="319"/>
      <c r="H475" s="318"/>
      <c r="I475" s="122"/>
      <c r="J475" s="331"/>
      <c r="K475" s="331"/>
      <c r="L475" s="331"/>
      <c r="M475" s="331"/>
      <c r="N475" s="331"/>
      <c r="O475" s="331"/>
      <c r="P475" s="331"/>
      <c r="Q475" s="121"/>
      <c r="R475" s="121"/>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row>
    <row r="476" spans="1:41" ht="15.75" customHeight="1">
      <c r="A476" s="122" t="s">
        <v>543</v>
      </c>
      <c r="B476" s="318"/>
      <c r="C476" s="319"/>
      <c r="D476" s="340"/>
      <c r="E476" s="318"/>
      <c r="F476" s="318"/>
      <c r="G476" s="319"/>
      <c r="H476" s="318"/>
      <c r="I476" s="122"/>
      <c r="J476" s="331"/>
      <c r="K476" s="331"/>
      <c r="L476" s="331"/>
      <c r="M476" s="331"/>
      <c r="N476" s="331"/>
      <c r="O476" s="331"/>
      <c r="P476" s="331"/>
      <c r="Q476" s="121"/>
      <c r="R476" s="121"/>
      <c r="S476" s="134"/>
      <c r="T476" s="27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row>
    <row r="477" spans="1:41" ht="15.75" customHeight="1">
      <c r="A477" s="122" t="s">
        <v>277</v>
      </c>
      <c r="B477" s="318"/>
      <c r="C477" s="319"/>
      <c r="D477" s="340"/>
      <c r="E477" s="318"/>
      <c r="F477" s="318"/>
      <c r="G477" s="319"/>
      <c r="H477" s="318"/>
      <c r="I477" s="122"/>
      <c r="J477" s="331"/>
      <c r="K477" s="331"/>
      <c r="L477" s="331"/>
      <c r="M477" s="331"/>
      <c r="N477" s="331"/>
      <c r="O477" s="331"/>
      <c r="P477" s="331"/>
      <c r="Q477" s="121"/>
      <c r="R477" s="121"/>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row>
    <row r="478" spans="1:41" ht="15.75" customHeight="1">
      <c r="A478" s="122" t="s">
        <v>544</v>
      </c>
      <c r="B478" s="318"/>
      <c r="C478" s="319"/>
      <c r="D478" s="340"/>
      <c r="E478" s="318"/>
      <c r="F478" s="318"/>
      <c r="G478" s="319"/>
      <c r="H478" s="318"/>
      <c r="I478" s="122"/>
      <c r="J478" s="331"/>
      <c r="K478" s="331"/>
      <c r="L478" s="331"/>
      <c r="M478" s="331"/>
      <c r="N478" s="331"/>
      <c r="O478" s="331"/>
      <c r="P478" s="331"/>
      <c r="Q478" s="121"/>
      <c r="R478" s="121"/>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row>
    <row r="479" spans="1:41" ht="15.75" customHeight="1">
      <c r="A479" s="116" t="s">
        <v>170</v>
      </c>
      <c r="B479" s="317"/>
      <c r="C479" s="320"/>
      <c r="D479" s="342"/>
      <c r="E479" s="317"/>
      <c r="F479" s="317"/>
      <c r="G479" s="320"/>
      <c r="H479" s="317"/>
      <c r="I479" s="122"/>
      <c r="J479" s="331"/>
      <c r="K479" s="331"/>
      <c r="L479" s="331"/>
      <c r="M479" s="331"/>
      <c r="N479" s="331"/>
      <c r="O479" s="331"/>
      <c r="P479" s="331"/>
      <c r="Q479" s="121"/>
      <c r="R479" s="121"/>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row>
    <row r="480" spans="1:41" s="279" customFormat="1" ht="18" customHeight="1">
      <c r="A480" s="347" t="s">
        <v>634</v>
      </c>
      <c r="B480" s="283"/>
      <c r="C480" s="283"/>
      <c r="D480" s="284"/>
      <c r="E480" s="283"/>
      <c r="F480" s="284"/>
      <c r="G480" s="284"/>
      <c r="H480" s="283"/>
      <c r="I480" s="347"/>
      <c r="J480" s="283"/>
      <c r="K480" s="283"/>
      <c r="L480" s="284"/>
      <c r="M480" s="283"/>
      <c r="N480" s="284"/>
      <c r="O480" s="284"/>
      <c r="P480" s="283"/>
      <c r="Q480" s="283"/>
      <c r="R480" s="283"/>
      <c r="S480" s="285"/>
      <c r="T480" s="285"/>
      <c r="U480" s="285"/>
      <c r="V480" s="285"/>
      <c r="W480" s="285"/>
      <c r="X480" s="285"/>
      <c r="Y480" s="285"/>
      <c r="Z480" s="285"/>
      <c r="AA480" s="285"/>
      <c r="AB480" s="285"/>
      <c r="AC480" s="285"/>
      <c r="AD480" s="285"/>
      <c r="AE480" s="285"/>
      <c r="AF480" s="285"/>
      <c r="AG480" s="285"/>
      <c r="AH480" s="285"/>
      <c r="AI480" s="285"/>
      <c r="AJ480" s="285"/>
      <c r="AK480" s="285"/>
      <c r="AL480" s="285"/>
      <c r="AM480" s="285"/>
      <c r="AN480" s="285"/>
      <c r="AO480" s="285"/>
    </row>
    <row r="481" spans="1:18" s="279" customFormat="1" ht="13.5" customHeight="1">
      <c r="A481" s="347"/>
      <c r="B481" s="278"/>
      <c r="H481" s="277"/>
      <c r="I481" s="347"/>
      <c r="P481" s="280"/>
      <c r="Q481" s="281"/>
      <c r="R481" s="282"/>
    </row>
    <row r="482" spans="1:18" s="279" customFormat="1" ht="13.5" customHeight="1">
      <c r="A482" s="348"/>
      <c r="H482" s="277"/>
      <c r="I482" s="348"/>
      <c r="Q482" s="281"/>
      <c r="R482" s="282"/>
    </row>
    <row r="483" spans="9:16" ht="12.75">
      <c r="I483" s="131"/>
      <c r="J483" s="122"/>
      <c r="K483" s="122"/>
      <c r="L483" s="122"/>
      <c r="M483" s="122"/>
      <c r="N483" s="122"/>
      <c r="O483" s="122"/>
      <c r="P483" s="122"/>
    </row>
    <row r="484" spans="9:16" ht="12.75">
      <c r="I484" s="131"/>
      <c r="J484" s="122"/>
      <c r="K484" s="122"/>
      <c r="L484" s="122"/>
      <c r="M484" s="122"/>
      <c r="N484" s="122"/>
      <c r="O484" s="122"/>
      <c r="P484" s="122"/>
    </row>
    <row r="485" spans="9:16" ht="12.75">
      <c r="I485" s="131"/>
      <c r="J485" s="122"/>
      <c r="K485" s="122"/>
      <c r="L485" s="122"/>
      <c r="M485" s="122"/>
      <c r="N485" s="122"/>
      <c r="O485" s="122"/>
      <c r="P485" s="122"/>
    </row>
    <row r="486" spans="9:16" ht="12.75">
      <c r="I486" s="131"/>
      <c r="J486" s="122"/>
      <c r="K486" s="122"/>
      <c r="L486" s="122"/>
      <c r="M486" s="122"/>
      <c r="N486" s="122"/>
      <c r="O486" s="122"/>
      <c r="P486" s="122"/>
    </row>
    <row r="487" spans="9:16" ht="12.75">
      <c r="I487" s="131"/>
      <c r="J487" s="122"/>
      <c r="K487" s="122"/>
      <c r="L487" s="122"/>
      <c r="M487" s="122"/>
      <c r="N487" s="122"/>
      <c r="O487" s="122"/>
      <c r="P487" s="122"/>
    </row>
    <row r="488" spans="9:16" ht="12.75">
      <c r="I488" s="131"/>
      <c r="J488" s="122"/>
      <c r="K488" s="122"/>
      <c r="L488" s="122"/>
      <c r="M488" s="122"/>
      <c r="N488" s="122"/>
      <c r="O488" s="122"/>
      <c r="P488" s="122"/>
    </row>
    <row r="489" spans="9:16" ht="12.75">
      <c r="I489" s="131"/>
      <c r="J489" s="122"/>
      <c r="K489" s="122"/>
      <c r="L489" s="122"/>
      <c r="M489" s="122"/>
      <c r="N489" s="122"/>
      <c r="O489" s="122"/>
      <c r="P489" s="122"/>
    </row>
    <row r="490" spans="9:16" ht="12.75">
      <c r="I490" s="131"/>
      <c r="J490" s="122"/>
      <c r="K490" s="122"/>
      <c r="L490" s="122"/>
      <c r="M490" s="122"/>
      <c r="N490" s="122"/>
      <c r="O490" s="122"/>
      <c r="P490" s="122"/>
    </row>
    <row r="491" spans="9:16" ht="12.75">
      <c r="I491" s="131"/>
      <c r="J491" s="122"/>
      <c r="K491" s="122"/>
      <c r="L491" s="122"/>
      <c r="M491" s="122"/>
      <c r="N491" s="122"/>
      <c r="O491" s="122"/>
      <c r="P491" s="122"/>
    </row>
    <row r="492" spans="9:16" ht="12.75">
      <c r="I492" s="131"/>
      <c r="J492" s="122"/>
      <c r="K492" s="122"/>
      <c r="L492" s="122"/>
      <c r="M492" s="122"/>
      <c r="N492" s="122"/>
      <c r="O492" s="122"/>
      <c r="P492" s="122"/>
    </row>
    <row r="493" spans="9:16" ht="12.75">
      <c r="I493" s="131"/>
      <c r="J493" s="122"/>
      <c r="K493" s="122"/>
      <c r="L493" s="122"/>
      <c r="M493" s="122"/>
      <c r="N493" s="122"/>
      <c r="O493" s="122"/>
      <c r="P493" s="122"/>
    </row>
    <row r="494" spans="9:16" ht="12.75">
      <c r="I494" s="131"/>
      <c r="J494" s="122"/>
      <c r="K494" s="122"/>
      <c r="L494" s="122"/>
      <c r="M494" s="122"/>
      <c r="N494" s="122"/>
      <c r="O494" s="122"/>
      <c r="P494" s="122"/>
    </row>
    <row r="495" spans="9:16" ht="12.75">
      <c r="I495" s="131"/>
      <c r="J495" s="122"/>
      <c r="K495" s="122"/>
      <c r="L495" s="122"/>
      <c r="M495" s="122"/>
      <c r="N495" s="122"/>
      <c r="O495" s="122"/>
      <c r="P495" s="122"/>
    </row>
    <row r="496" spans="9:16" ht="12.75">
      <c r="I496" s="131"/>
      <c r="J496" s="122"/>
      <c r="K496" s="122"/>
      <c r="L496" s="122"/>
      <c r="M496" s="122"/>
      <c r="N496" s="122"/>
      <c r="O496" s="122"/>
      <c r="P496" s="122"/>
    </row>
    <row r="497" spans="9:16" ht="12.75">
      <c r="I497" s="131"/>
      <c r="J497" s="122"/>
      <c r="K497" s="122"/>
      <c r="L497" s="122"/>
      <c r="M497" s="122"/>
      <c r="N497" s="122"/>
      <c r="O497" s="122"/>
      <c r="P497" s="122"/>
    </row>
    <row r="498" spans="9:16" ht="12.75">
      <c r="I498" s="131"/>
      <c r="J498" s="122"/>
      <c r="K498" s="122"/>
      <c r="L498" s="122"/>
      <c r="M498" s="122"/>
      <c r="N498" s="122"/>
      <c r="O498" s="122"/>
      <c r="P498" s="122"/>
    </row>
    <row r="499" spans="9:16" ht="12.75">
      <c r="I499" s="131"/>
      <c r="J499" s="122"/>
      <c r="K499" s="122"/>
      <c r="L499" s="122"/>
      <c r="M499" s="122"/>
      <c r="N499" s="122"/>
      <c r="O499" s="122"/>
      <c r="P499" s="122"/>
    </row>
    <row r="500" spans="9:16" ht="12.75">
      <c r="I500" s="131"/>
      <c r="J500" s="122"/>
      <c r="K500" s="122"/>
      <c r="L500" s="122"/>
      <c r="M500" s="122"/>
      <c r="N500" s="122"/>
      <c r="O500" s="122"/>
      <c r="P500" s="122"/>
    </row>
    <row r="501" spans="9:16" ht="12.75">
      <c r="I501" s="131"/>
      <c r="J501" s="122"/>
      <c r="K501" s="122"/>
      <c r="L501" s="122"/>
      <c r="M501" s="122"/>
      <c r="N501" s="122"/>
      <c r="O501" s="122"/>
      <c r="P501" s="122"/>
    </row>
    <row r="502" spans="9:16" ht="12.75">
      <c r="I502" s="131"/>
      <c r="J502" s="122"/>
      <c r="K502" s="122"/>
      <c r="L502" s="122"/>
      <c r="M502" s="122"/>
      <c r="N502" s="122"/>
      <c r="O502" s="122"/>
      <c r="P502" s="122"/>
    </row>
    <row r="503" spans="9:16" ht="12.75">
      <c r="I503" s="131"/>
      <c r="J503" s="122"/>
      <c r="K503" s="122"/>
      <c r="L503" s="122"/>
      <c r="M503" s="122"/>
      <c r="N503" s="122"/>
      <c r="O503" s="122"/>
      <c r="P503" s="122"/>
    </row>
    <row r="504" spans="9:16" ht="12.75">
      <c r="I504" s="131"/>
      <c r="J504" s="122"/>
      <c r="K504" s="122"/>
      <c r="L504" s="122"/>
      <c r="M504" s="122"/>
      <c r="N504" s="122"/>
      <c r="O504" s="122"/>
      <c r="P504" s="122"/>
    </row>
    <row r="505" spans="9:16" ht="12.75">
      <c r="I505" s="131"/>
      <c r="J505" s="122"/>
      <c r="K505" s="122"/>
      <c r="L505" s="122"/>
      <c r="M505" s="122"/>
      <c r="N505" s="122"/>
      <c r="O505" s="122"/>
      <c r="P505" s="122"/>
    </row>
    <row r="506" spans="9:16" ht="12.75">
      <c r="I506" s="131"/>
      <c r="J506" s="122"/>
      <c r="K506" s="122"/>
      <c r="L506" s="122"/>
      <c r="M506" s="122"/>
      <c r="N506" s="122"/>
      <c r="O506" s="122"/>
      <c r="P506" s="122"/>
    </row>
    <row r="507" spans="9:16" ht="12.75">
      <c r="I507" s="131"/>
      <c r="J507" s="122"/>
      <c r="K507" s="122"/>
      <c r="L507" s="122"/>
      <c r="M507" s="122"/>
      <c r="N507" s="122"/>
      <c r="O507" s="122"/>
      <c r="P507" s="122"/>
    </row>
    <row r="508" spans="9:16" ht="12.75">
      <c r="I508" s="131"/>
      <c r="J508" s="122"/>
      <c r="K508" s="122"/>
      <c r="L508" s="122"/>
      <c r="M508" s="122"/>
      <c r="N508" s="122"/>
      <c r="O508" s="122"/>
      <c r="P508" s="122"/>
    </row>
    <row r="509" spans="9:16" ht="12.75">
      <c r="I509" s="131"/>
      <c r="J509" s="122"/>
      <c r="K509" s="122"/>
      <c r="L509" s="122"/>
      <c r="M509" s="122"/>
      <c r="N509" s="122"/>
      <c r="O509" s="122"/>
      <c r="P509" s="122"/>
    </row>
    <row r="510" spans="9:16" ht="12.75">
      <c r="I510" s="131"/>
      <c r="J510" s="122"/>
      <c r="K510" s="122"/>
      <c r="L510" s="122"/>
      <c r="M510" s="122"/>
      <c r="N510" s="122"/>
      <c r="O510" s="122"/>
      <c r="P510" s="122"/>
    </row>
    <row r="511" spans="9:16" ht="12.75">
      <c r="I511" s="131"/>
      <c r="J511" s="122"/>
      <c r="K511" s="122"/>
      <c r="L511" s="122"/>
      <c r="M511" s="122"/>
      <c r="N511" s="122"/>
      <c r="O511" s="122"/>
      <c r="P511" s="122"/>
    </row>
    <row r="512" spans="9:16" ht="12.75">
      <c r="I512" s="131"/>
      <c r="J512" s="122"/>
      <c r="K512" s="122"/>
      <c r="L512" s="122"/>
      <c r="M512" s="122"/>
      <c r="N512" s="122"/>
      <c r="O512" s="122"/>
      <c r="P512" s="122"/>
    </row>
    <row r="513" spans="9:16" ht="12.75">
      <c r="I513" s="131"/>
      <c r="J513" s="122"/>
      <c r="K513" s="122"/>
      <c r="L513" s="122"/>
      <c r="M513" s="122"/>
      <c r="N513" s="122"/>
      <c r="O513" s="122"/>
      <c r="P513" s="122"/>
    </row>
    <row r="514" spans="9:16" ht="12.75">
      <c r="I514" s="131"/>
      <c r="J514" s="122"/>
      <c r="K514" s="122"/>
      <c r="L514" s="122"/>
      <c r="M514" s="122"/>
      <c r="N514" s="122"/>
      <c r="O514" s="122"/>
      <c r="P514" s="122"/>
    </row>
    <row r="515" spans="9:16" ht="12.75">
      <c r="I515" s="131"/>
      <c r="J515" s="122"/>
      <c r="K515" s="122"/>
      <c r="L515" s="122"/>
      <c r="M515" s="122"/>
      <c r="N515" s="122"/>
      <c r="O515" s="122"/>
      <c r="P515" s="122"/>
    </row>
    <row r="516" spans="9:16" ht="12.75">
      <c r="I516" s="131"/>
      <c r="J516" s="122"/>
      <c r="K516" s="122"/>
      <c r="L516" s="122"/>
      <c r="M516" s="122"/>
      <c r="N516" s="122"/>
      <c r="O516" s="122"/>
      <c r="P516" s="122"/>
    </row>
    <row r="517" spans="9:16" ht="12.75">
      <c r="I517" s="131"/>
      <c r="J517" s="122"/>
      <c r="K517" s="122"/>
      <c r="L517" s="122"/>
      <c r="M517" s="122"/>
      <c r="N517" s="122"/>
      <c r="O517" s="122"/>
      <c r="P517" s="122"/>
    </row>
    <row r="518" spans="9:16" ht="12.75">
      <c r="I518" s="131"/>
      <c r="J518" s="122"/>
      <c r="K518" s="122"/>
      <c r="L518" s="122"/>
      <c r="M518" s="122"/>
      <c r="N518" s="122"/>
      <c r="O518" s="122"/>
      <c r="P518" s="122"/>
    </row>
    <row r="519" spans="9:16" ht="12.75">
      <c r="I519" s="131"/>
      <c r="J519" s="122"/>
      <c r="K519" s="122"/>
      <c r="L519" s="122"/>
      <c r="M519" s="122"/>
      <c r="N519" s="122"/>
      <c r="O519" s="122"/>
      <c r="P519" s="122"/>
    </row>
    <row r="520" spans="9:16" ht="12.75">
      <c r="I520" s="131"/>
      <c r="J520" s="122"/>
      <c r="K520" s="122"/>
      <c r="L520" s="122"/>
      <c r="M520" s="122"/>
      <c r="N520" s="122"/>
      <c r="O520" s="122"/>
      <c r="P520" s="122"/>
    </row>
    <row r="521" spans="9:16" ht="12.75">
      <c r="I521" s="131"/>
      <c r="J521" s="122"/>
      <c r="K521" s="122"/>
      <c r="L521" s="122"/>
      <c r="M521" s="122"/>
      <c r="N521" s="122"/>
      <c r="O521" s="122"/>
      <c r="P521" s="122"/>
    </row>
    <row r="522" spans="9:16" ht="12.75">
      <c r="I522" s="131"/>
      <c r="J522" s="122"/>
      <c r="K522" s="122"/>
      <c r="L522" s="122"/>
      <c r="M522" s="122"/>
      <c r="N522" s="122"/>
      <c r="O522" s="122"/>
      <c r="P522" s="122"/>
    </row>
    <row r="523" spans="9:16" ht="12.75">
      <c r="I523" s="131"/>
      <c r="J523" s="122"/>
      <c r="K523" s="122"/>
      <c r="L523" s="122"/>
      <c r="M523" s="122"/>
      <c r="N523" s="122"/>
      <c r="O523" s="122"/>
      <c r="P523" s="122"/>
    </row>
    <row r="524" spans="9:16" ht="12.75">
      <c r="I524" s="131"/>
      <c r="J524" s="122"/>
      <c r="K524" s="122"/>
      <c r="L524" s="122"/>
      <c r="M524" s="122"/>
      <c r="N524" s="122"/>
      <c r="O524" s="122"/>
      <c r="P524" s="122"/>
    </row>
    <row r="525" spans="9:16" ht="12.75">
      <c r="I525" s="131"/>
      <c r="J525" s="122"/>
      <c r="K525" s="122"/>
      <c r="L525" s="122"/>
      <c r="M525" s="122"/>
      <c r="N525" s="122"/>
      <c r="O525" s="122"/>
      <c r="P525" s="122"/>
    </row>
    <row r="526" spans="9:16" ht="12.75">
      <c r="I526" s="131"/>
      <c r="J526" s="122"/>
      <c r="K526" s="122"/>
      <c r="L526" s="122"/>
      <c r="M526" s="122"/>
      <c r="N526" s="122"/>
      <c r="O526" s="122"/>
      <c r="P526" s="122"/>
    </row>
    <row r="527" spans="9:16" ht="12.75">
      <c r="I527" s="131"/>
      <c r="J527" s="122"/>
      <c r="K527" s="122"/>
      <c r="L527" s="122"/>
      <c r="M527" s="122"/>
      <c r="N527" s="122"/>
      <c r="O527" s="122"/>
      <c r="P527" s="122"/>
    </row>
    <row r="528" spans="9:16" ht="12.75">
      <c r="I528" s="131"/>
      <c r="J528" s="122"/>
      <c r="K528" s="122"/>
      <c r="L528" s="122"/>
      <c r="M528" s="122"/>
      <c r="N528" s="122"/>
      <c r="O528" s="122"/>
      <c r="P528" s="122"/>
    </row>
    <row r="529" spans="9:16" ht="12.75">
      <c r="I529" s="131"/>
      <c r="J529" s="122"/>
      <c r="K529" s="122"/>
      <c r="L529" s="122"/>
      <c r="M529" s="122"/>
      <c r="N529" s="122"/>
      <c r="O529" s="122"/>
      <c r="P529" s="122"/>
    </row>
    <row r="530" spans="9:16" ht="12.75">
      <c r="I530" s="131"/>
      <c r="J530" s="122"/>
      <c r="K530" s="122"/>
      <c r="L530" s="122"/>
      <c r="M530" s="122"/>
      <c r="N530" s="122"/>
      <c r="O530" s="122"/>
      <c r="P530" s="122"/>
    </row>
    <row r="531" spans="9:16" ht="12.75">
      <c r="I531" s="131"/>
      <c r="J531" s="122"/>
      <c r="K531" s="122"/>
      <c r="L531" s="122"/>
      <c r="M531" s="122"/>
      <c r="N531" s="122"/>
      <c r="O531" s="122"/>
      <c r="P531" s="122"/>
    </row>
    <row r="532" spans="9:16" ht="12.75">
      <c r="I532" s="131"/>
      <c r="J532" s="122"/>
      <c r="K532" s="122"/>
      <c r="L532" s="122"/>
      <c r="M532" s="122"/>
      <c r="N532" s="122"/>
      <c r="O532" s="122"/>
      <c r="P532" s="122"/>
    </row>
    <row r="533" spans="9:16" ht="12.75">
      <c r="I533" s="131"/>
      <c r="J533" s="122"/>
      <c r="K533" s="122"/>
      <c r="L533" s="122"/>
      <c r="M533" s="122"/>
      <c r="N533" s="122"/>
      <c r="O533" s="122"/>
      <c r="P533" s="122"/>
    </row>
    <row r="534" spans="9:16" ht="12.75">
      <c r="I534" s="131"/>
      <c r="J534" s="122"/>
      <c r="K534" s="122"/>
      <c r="L534" s="122"/>
      <c r="M534" s="122"/>
      <c r="N534" s="122"/>
      <c r="O534" s="122"/>
      <c r="P534" s="122"/>
    </row>
    <row r="535" spans="9:16" ht="12.75">
      <c r="I535" s="131"/>
      <c r="J535" s="122"/>
      <c r="K535" s="122"/>
      <c r="L535" s="122"/>
      <c r="M535" s="122"/>
      <c r="N535" s="122"/>
      <c r="O535" s="122"/>
      <c r="P535" s="122"/>
    </row>
    <row r="536" spans="9:16" ht="12.75">
      <c r="I536" s="131"/>
      <c r="J536" s="122"/>
      <c r="K536" s="122"/>
      <c r="L536" s="122"/>
      <c r="M536" s="122"/>
      <c r="N536" s="122"/>
      <c r="O536" s="122"/>
      <c r="P536" s="122"/>
    </row>
    <row r="537" spans="9:16" ht="12.75">
      <c r="I537" s="131"/>
      <c r="J537" s="122"/>
      <c r="K537" s="122"/>
      <c r="L537" s="122"/>
      <c r="M537" s="122"/>
      <c r="N537" s="122"/>
      <c r="O537" s="122"/>
      <c r="P537" s="122"/>
    </row>
    <row r="538" spans="9:16" ht="12.75">
      <c r="I538" s="131"/>
      <c r="J538" s="122"/>
      <c r="K538" s="122"/>
      <c r="L538" s="122"/>
      <c r="M538" s="122"/>
      <c r="N538" s="122"/>
      <c r="O538" s="122"/>
      <c r="P538" s="122"/>
    </row>
    <row r="539" spans="9:16" ht="12.75">
      <c r="I539" s="131"/>
      <c r="J539" s="122"/>
      <c r="K539" s="122"/>
      <c r="L539" s="122"/>
      <c r="M539" s="122"/>
      <c r="N539" s="122"/>
      <c r="O539" s="122"/>
      <c r="P539" s="122"/>
    </row>
    <row r="540" spans="9:16" ht="12.75">
      <c r="I540" s="131"/>
      <c r="J540" s="122"/>
      <c r="K540" s="122"/>
      <c r="L540" s="122"/>
      <c r="M540" s="122"/>
      <c r="N540" s="122"/>
      <c r="O540" s="122"/>
      <c r="P540" s="122"/>
    </row>
    <row r="541" spans="9:16" ht="12.75">
      <c r="I541" s="131"/>
      <c r="J541" s="122"/>
      <c r="K541" s="122"/>
      <c r="L541" s="122"/>
      <c r="M541" s="122"/>
      <c r="N541" s="122"/>
      <c r="O541" s="122"/>
      <c r="P541" s="122"/>
    </row>
    <row r="542" spans="9:16" ht="12.75">
      <c r="I542" s="131"/>
      <c r="J542" s="122"/>
      <c r="K542" s="122"/>
      <c r="L542" s="122"/>
      <c r="M542" s="122"/>
      <c r="N542" s="122"/>
      <c r="O542" s="122"/>
      <c r="P542" s="122"/>
    </row>
    <row r="543" spans="9:16" ht="12.75">
      <c r="I543" s="131"/>
      <c r="J543" s="122"/>
      <c r="K543" s="122"/>
      <c r="L543" s="122"/>
      <c r="M543" s="122"/>
      <c r="N543" s="122"/>
      <c r="O543" s="122"/>
      <c r="P543" s="122"/>
    </row>
    <row r="544" spans="9:16" ht="12.75">
      <c r="I544" s="131"/>
      <c r="J544" s="122"/>
      <c r="K544" s="122"/>
      <c r="L544" s="122"/>
      <c r="M544" s="122"/>
      <c r="N544" s="122"/>
      <c r="O544" s="122"/>
      <c r="P544" s="122"/>
    </row>
    <row r="545" spans="9:16" ht="12.75">
      <c r="I545" s="131"/>
      <c r="J545" s="122"/>
      <c r="K545" s="122"/>
      <c r="L545" s="122"/>
      <c r="M545" s="122"/>
      <c r="N545" s="122"/>
      <c r="O545" s="122"/>
      <c r="P545" s="122"/>
    </row>
    <row r="546" spans="9:16" ht="12.75">
      <c r="I546" s="131"/>
      <c r="J546" s="122"/>
      <c r="K546" s="122"/>
      <c r="L546" s="122"/>
      <c r="M546" s="122"/>
      <c r="N546" s="122"/>
      <c r="O546" s="122"/>
      <c r="P546" s="122"/>
    </row>
    <row r="547" spans="9:16" ht="12.75">
      <c r="I547" s="131"/>
      <c r="J547" s="122"/>
      <c r="K547" s="122"/>
      <c r="L547" s="122"/>
      <c r="M547" s="122"/>
      <c r="N547" s="122"/>
      <c r="O547" s="122"/>
      <c r="P547" s="122"/>
    </row>
    <row r="548" spans="9:16" ht="12.75">
      <c r="I548" s="131"/>
      <c r="J548" s="122"/>
      <c r="K548" s="122"/>
      <c r="L548" s="122"/>
      <c r="M548" s="122"/>
      <c r="N548" s="122"/>
      <c r="O548" s="122"/>
      <c r="P548" s="122"/>
    </row>
    <row r="549" spans="9:16" ht="12.75">
      <c r="I549" s="131"/>
      <c r="J549" s="122"/>
      <c r="K549" s="122"/>
      <c r="L549" s="122"/>
      <c r="M549" s="122"/>
      <c r="N549" s="122"/>
      <c r="O549" s="122"/>
      <c r="P549" s="122"/>
    </row>
    <row r="550" spans="9:16" ht="12.75">
      <c r="I550" s="131"/>
      <c r="J550" s="122"/>
      <c r="K550" s="122"/>
      <c r="L550" s="122"/>
      <c r="M550" s="122"/>
      <c r="N550" s="122"/>
      <c r="O550" s="122"/>
      <c r="P550" s="122"/>
    </row>
    <row r="551" spans="9:16" ht="12.75">
      <c r="I551" s="131"/>
      <c r="J551" s="122"/>
      <c r="K551" s="122"/>
      <c r="L551" s="122"/>
      <c r="M551" s="122"/>
      <c r="N551" s="122"/>
      <c r="O551" s="122"/>
      <c r="P551" s="122"/>
    </row>
  </sheetData>
  <mergeCells count="24">
    <mergeCell ref="D462:G462"/>
    <mergeCell ref="D280:G280"/>
    <mergeCell ref="D311:G311"/>
    <mergeCell ref="D342:G342"/>
    <mergeCell ref="D373:G373"/>
    <mergeCell ref="D217:G217"/>
    <mergeCell ref="D249:G249"/>
    <mergeCell ref="D402:G402"/>
    <mergeCell ref="D433:G433"/>
    <mergeCell ref="D158:G158"/>
    <mergeCell ref="D187:G187"/>
    <mergeCell ref="L129:O129"/>
    <mergeCell ref="L158:O158"/>
    <mergeCell ref="L187:O187"/>
    <mergeCell ref="D7:G7"/>
    <mergeCell ref="L7:O7"/>
    <mergeCell ref="D129:G129"/>
    <mergeCell ref="D38:G38"/>
    <mergeCell ref="D68:G68"/>
    <mergeCell ref="L68:O68"/>
    <mergeCell ref="D98:G98"/>
    <mergeCell ref="L38:O38"/>
    <mergeCell ref="L98:O98"/>
    <mergeCell ref="B97:H97"/>
  </mergeCells>
  <printOptions horizontalCentered="1"/>
  <pageMargins left="1" right="1" top="1" bottom="0.75" header="0.75" footer="0.5"/>
  <pageSetup firstPageNumber="113" useFirstPageNumber="1" horizontalDpi="600" verticalDpi="600" orientation="landscape" r:id="rId1"/>
  <headerFooter alignWithMargins="0">
    <oddHeader>&amp;R&amp;8SREB-State Data Exchange</oddHeader>
    <oddFooter>&amp;C&amp;P</oddFooter>
  </headerFooter>
  <rowBreaks count="14" manualBreakCount="14">
    <brk id="31" max="15" man="1"/>
    <brk id="61" max="15" man="1"/>
    <brk id="91" max="15" man="1"/>
    <brk id="122" max="15" man="1"/>
    <brk id="151" max="15" man="1"/>
    <brk id="180" max="15" man="1"/>
    <brk id="210" max="15" man="1"/>
    <brk id="242" max="15" man="1"/>
    <brk id="273" max="15" man="1"/>
    <brk id="304" max="15" man="1"/>
    <brk id="335" max="15" man="1"/>
    <brk id="366" max="15" man="1"/>
    <brk id="395" max="15" man="1"/>
    <brk id="426" max="15" man="1"/>
  </rowBreaks>
  <colBreaks count="1" manualBreakCount="1">
    <brk id="8" max="4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2005-11-15T15:46:04Z</cp:lastPrinted>
  <dcterms:created xsi:type="dcterms:W3CDTF">2002-04-04T16:20:35Z</dcterms:created>
  <dcterms:modified xsi:type="dcterms:W3CDTF">2006-01-10T19:33:19Z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920242129</vt:i4>
  </property>
  <property fmtid="{D5CDD505-2E9C-101B-9397-08002B2CF9AE}" pid="3" name="_EmailSubject">
    <vt:lpwstr>WV's SREB E-learning Pilot</vt:lpwstr>
  </property>
  <property fmtid="{D5CDD505-2E9C-101B-9397-08002B2CF9AE}" pid="4" name="_AuthorEmail">
    <vt:lpwstr>reedjr@HEPC.WVNET.EDU</vt:lpwstr>
  </property>
  <property fmtid="{D5CDD505-2E9C-101B-9397-08002B2CF9AE}" pid="5" name="_AuthorEmailDisplayName">
    <vt:lpwstr>Jeannie Reed</vt:lpwstr>
  </property>
  <property fmtid="{D5CDD505-2E9C-101B-9397-08002B2CF9AE}" pid="6" name="_ReviewingToolsShownOnce">
    <vt:lpwstr/>
  </property>
</Properties>
</file>