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6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</sheets>
  <definedNames>
    <definedName name="_xlnm.Print_Area" localSheetId="0">'2006'!$A$1:$M$25</definedName>
    <definedName name="_xlnm.Print_Area" localSheetId="6">'2006'!$A$1:$M$25</definedName>
  </definedNames>
  <calcPr fullCalcOnLoad="1"/>
</workbook>
</file>

<file path=xl/sharedStrings.xml><?xml version="1.0" encoding="utf-8"?>
<sst xmlns="http://schemas.openxmlformats.org/spreadsheetml/2006/main" count="272" uniqueCount="45">
  <si>
    <t>State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</si>
  <si>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</si>
  <si>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</si>
  <si>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</si>
  <si>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</si>
  <si>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</si>
  <si>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</si>
  <si>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</si>
  <si>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</si>
  <si>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</si>
  <si>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</si>
  <si>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</si>
  <si>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</si>
  <si>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</si>
  <si>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</si>
  <si>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</si>
  <si>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</si>
  <si>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Candidates</t>
  </si>
  <si>
    <t>Passed</t>
  </si>
  <si>
    <t>Associate's</t>
  </si>
  <si>
    <t>Bachelor's</t>
  </si>
  <si>
    <t>Diploma</t>
  </si>
  <si>
    <t>SREB States</t>
  </si>
  <si>
    <t>Non-SREB States</t>
  </si>
  <si>
    <t>All States</t>
  </si>
  <si>
    <t>2001 RN Licensure Statistics First-Time Candidates</t>
  </si>
  <si>
    <t>% SREB</t>
  </si>
  <si>
    <t>Non-SREB</t>
  </si>
  <si>
    <t>SREB</t>
  </si>
  <si>
    <t>Associate</t>
  </si>
  <si>
    <t>2000 RN Licensure Statistics First-Time Candidates</t>
  </si>
  <si>
    <t>Rate</t>
  </si>
  <si>
    <t>2002 RN Licensure Statistics First-time Candidates</t>
  </si>
  <si>
    <t>All Programs</t>
  </si>
  <si>
    <t>% Passed</t>
  </si>
  <si>
    <r>
      <t xml:space="preserve">Source: National Council of State Boards of Nursing, Inc. (2003). </t>
    </r>
    <r>
      <rPr>
        <b/>
        <i/>
        <sz val="10"/>
        <rFont val="Arial"/>
        <family val="2"/>
      </rPr>
      <t>2002 Licensure and Examination Statistics</t>
    </r>
    <r>
      <rPr>
        <b/>
        <sz val="10"/>
        <rFont val="Arial"/>
        <family val="2"/>
      </rPr>
      <t>. Chicago: Author</t>
    </r>
  </si>
  <si>
    <r>
      <t xml:space="preserve">Source: National Council of State Boards of Nursing, Inc. (2002). </t>
    </r>
    <r>
      <rPr>
        <b/>
        <i/>
        <sz val="10"/>
        <rFont val="Arial"/>
        <family val="2"/>
      </rPr>
      <t>2001 Licensure and Examination Statistics</t>
    </r>
    <r>
      <rPr>
        <b/>
        <sz val="10"/>
        <rFont val="Arial"/>
        <family val="2"/>
      </rPr>
      <t>. Chicago: Author</t>
    </r>
  </si>
  <si>
    <t>2003 RN Licensure Statistics First-time Candidates</t>
  </si>
  <si>
    <r>
      <t xml:space="preserve">Source: National Council of State Boards of Nursing, Inc. (2005). </t>
    </r>
    <r>
      <rPr>
        <b/>
        <i/>
        <sz val="10"/>
        <rFont val="Arial"/>
        <family val="2"/>
      </rPr>
      <t>2003 Licensure Volume and NCLEX Examination Statistics</t>
    </r>
    <r>
      <rPr>
        <b/>
        <sz val="10"/>
        <rFont val="Arial"/>
        <family val="2"/>
      </rPr>
      <t>. Chicago: Author</t>
    </r>
  </si>
  <si>
    <t>2004 RN Licensure Statistics First-time Candidates</t>
  </si>
  <si>
    <r>
      <t xml:space="preserve">Source: National Council of State Boards of Nursing, Inc. (2005). </t>
    </r>
    <r>
      <rPr>
        <b/>
        <i/>
        <sz val="10"/>
        <rFont val="Arial"/>
        <family val="2"/>
      </rPr>
      <t>2004 Licensure Volume and NCLEX Examination Statistics</t>
    </r>
    <r>
      <rPr>
        <b/>
        <sz val="10"/>
        <rFont val="Arial"/>
        <family val="2"/>
      </rPr>
      <t>. Chicago: Author</t>
    </r>
  </si>
  <si>
    <t>2005 RN Licensure Statistics First-time Candidates</t>
  </si>
  <si>
    <t>Source: National Council of State Boards of Nursing, Inc. (2006). 2005 Licensure Volume and NCLEX Examination Statistics. Chicago: Author</t>
  </si>
  <si>
    <r>
      <t xml:space="preserve">Source: National Council of State Boards of Nursing, Inc. (2008). </t>
    </r>
    <r>
      <rPr>
        <b/>
        <i/>
        <sz val="10"/>
        <rFont val="Arial"/>
        <family val="2"/>
      </rPr>
      <t>2006 Licensure Volume and NCLEX Examination Statistics</t>
    </r>
    <r>
      <rPr>
        <b/>
        <sz val="10"/>
        <rFont val="Arial"/>
        <family val="2"/>
      </rPr>
      <t>. Chicago: Author</t>
    </r>
  </si>
  <si>
    <t>2006 RN NCLEX Examination Statistics First-Time U.S. Candidates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</si>
</sst>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9" fontId="0" fillId="0" borderId="2" xfId="0" applyNumberFormat="1" applyBorder="1" applyAlignment="1">
      <alignment/>
    </xf>
    <xf numFmtId="9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1" xfId="0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/>
    </xf>
    <xf numFmtId="9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9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5" xfId="0" applyNumberForma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9" fontId="0" fillId="2" borderId="5" xfId="0" applyNumberForma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1" fillId="2" borderId="2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3" fontId="0" fillId="2" borderId="0" xfId="0" applyNumberFormat="1" applyFill="1" applyAlignment="1">
      <alignment/>
    </xf>
    <xf numFmtId="164" fontId="0" fillId="2" borderId="2" xfId="0" applyNumberForma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3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0" borderId="6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0" borderId="8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1" fillId="0" borderId="6" xfId="0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3" fontId="1" fillId="3" borderId="6" xfId="0" applyNumberFormat="1" applyFont="1" applyFill="1" applyBorder="1" applyAlignment="1">
      <alignment/>
    </xf>
    <xf numFmtId="10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10" fontId="1" fillId="3" borderId="6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1" fillId="0" borderId="11" xfId="0" applyNumberFormat="1" applyFont="1" applyBorder="1" applyAlignment="1">
      <alignment/>
    </xf>
    <xf numFmtId="3" fontId="1" fillId="2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M24"/>
  <sheetViews>
    <sheetView workbookViewId="0" topLeftCell="A1">
      <selection activeCell="A1" sqref="A1:M1"/>
    </sheetView>
  </sheetViews>
  <sheetFormatPr defaultColWidth="9.140625" defaultRowHeight="12.75"/>
  <cols>
    <col min="1" max="1" width="17.421875" style="0" bestFit="1" customWidth="1"/>
    <col min="2" max="2" width="10.7109375" style="0" bestFit="1" customWidth="1"/>
    <col min="3" max="3" width="9.8515625" style="0" bestFit="1" customWidth="1"/>
    <col min="4" max="4" width="12.00390625" style="0" bestFit="1" customWidth="1"/>
    <col min="5" max="5" width="10.7109375" style="0" bestFit="1" customWidth="1"/>
    <col min="6" max="6" width="9.7109375" style="0" bestFit="1" customWidth="1"/>
    <col min="7" max="7" width="9.57421875" style="0" bestFit="1" customWidth="1"/>
    <col min="8" max="8" width="10.7109375" style="0" bestFit="1" customWidth="1"/>
    <col min="9" max="10" width="9.57421875" style="0" bestFit="1" customWidth="1"/>
    <col min="11" max="11" width="10.421875" style="0" bestFit="1" customWidth="1"/>
    <col min="12" max="12" width="9.8515625" style="0" bestFit="1" customWidth="1"/>
    <col min="13" max="13" width="9.28125" style="0" bestFit="1" customWidth="1"/>
  </cols>
  <sheetData>
    <row r="1" spans="1:13" ht="12.75">
      <c r="A1" s="119" t="s">
        <v>30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1"/>
      <c r="M1" s="121"/>
    </row>
    <row r="2" spans="1:13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</row>
    <row r="3" spans="2:13" ht="12.75">
      <c r="B3" s="119" t="s">
        <v>29</v>
      </c>
      <c r="C3" s="119"/>
      <c r="D3" s="119"/>
      <c r="E3" s="116" t="s">
        <v>20</v>
      </c>
      <c r="F3" s="117"/>
      <c r="G3" s="118"/>
      <c r="H3" s="101" t="s">
        <v>21</v>
      </c>
      <c r="I3" s="102"/>
      <c r="J3" s="122"/>
      <c r="K3" s="116" t="s">
        <v>33</v>
      </c>
      <c r="L3" s="117"/>
      <c r="M3" s="118"/>
    </row>
    <row r="4" spans="1:13" ht="12.75">
      <c r="A4" s="1" t="s">
        <v>0</v>
      </c>
      <c r="B4" s="4" t="s">
        <v>17</v>
      </c>
      <c r="C4" s="4" t="s">
        <v>18</v>
      </c>
      <c r="D4" s="16" t="s">
        <v>31</v>
      </c>
      <c r="E4" s="13" t="s">
        <v>17</v>
      </c>
      <c r="F4" s="8" t="s">
        <v>18</v>
      </c>
      <c r="G4" s="17" t="s">
        <v>31</v>
      </c>
      <c r="H4" s="46" t="s">
        <v>17</v>
      </c>
      <c r="I4" s="47" t="s">
        <v>18</v>
      </c>
      <c r="J4" s="48" t="s">
        <v>31</v>
      </c>
      <c r="K4" s="27" t="s">
        <v>17</v>
      </c>
      <c r="L4" s="20" t="s">
        <v>18</v>
      </c>
      <c r="M4" s="17" t="s">
        <v>34</v>
      </c>
    </row>
    <row r="5" spans="1:13" ht="12.75">
      <c r="A5" t="s">
        <v>1</v>
      </c>
      <c r="B5" s="3">
        <f>SUM(192+199+601+131)</f>
        <v>1123</v>
      </c>
      <c r="C5" s="3">
        <f>SUM(151+166+494+91)</f>
        <v>902</v>
      </c>
      <c r="D5" s="2">
        <f aca="true" t="shared" si="0" ref="D5:D23">C5/B5</f>
        <v>0.8032056990204809</v>
      </c>
      <c r="E5" s="14">
        <f>SUM(202+64+347+65)</f>
        <v>678</v>
      </c>
      <c r="F5" s="9">
        <f>SUM(174+55+289+55)</f>
        <v>573</v>
      </c>
      <c r="G5" s="18">
        <f aca="true" t="shared" si="1" ref="G5:G23">F5/E5</f>
        <v>0.8451327433628318</v>
      </c>
      <c r="H5" s="49">
        <v>1</v>
      </c>
      <c r="I5" s="50">
        <v>1</v>
      </c>
      <c r="J5" s="45">
        <f>I5/H5</f>
        <v>1</v>
      </c>
      <c r="K5" s="14">
        <f aca="true" t="shared" si="2" ref="K5:K23">SUM(B5,E5,H5)</f>
        <v>1802</v>
      </c>
      <c r="L5" s="9">
        <f aca="true" t="shared" si="3" ref="L5:L23">SUM(C5,F5,I5)</f>
        <v>1476</v>
      </c>
      <c r="M5" s="25">
        <f>(L5/K5)</f>
        <v>0.8190899001109878</v>
      </c>
    </row>
    <row r="6" spans="1:13" ht="12.75">
      <c r="A6" t="s">
        <v>2</v>
      </c>
      <c r="B6" s="3">
        <f>SUM(62+163+221+9)</f>
        <v>455</v>
      </c>
      <c r="C6" s="3">
        <f>SUM(54+146+175+5)</f>
        <v>380</v>
      </c>
      <c r="D6" s="2">
        <f t="shared" si="0"/>
        <v>0.8351648351648352</v>
      </c>
      <c r="E6" s="14">
        <f>SUM(16+165+124+10)</f>
        <v>315</v>
      </c>
      <c r="F6" s="9">
        <f>SUM(15+147+102+4)</f>
        <v>268</v>
      </c>
      <c r="G6" s="18">
        <f t="shared" si="1"/>
        <v>0.8507936507936508</v>
      </c>
      <c r="H6" s="49">
        <f>SUM(88+2+55)</f>
        <v>145</v>
      </c>
      <c r="I6" s="50">
        <f>SUM(62+1+44)</f>
        <v>107</v>
      </c>
      <c r="J6" s="45">
        <f>I6/H6</f>
        <v>0.7379310344827587</v>
      </c>
      <c r="K6" s="14">
        <f t="shared" si="2"/>
        <v>915</v>
      </c>
      <c r="L6" s="9">
        <f t="shared" si="3"/>
        <v>755</v>
      </c>
      <c r="M6" s="25">
        <f>(L6/K6)</f>
        <v>0.825136612021858</v>
      </c>
    </row>
    <row r="7" spans="1:13" ht="12.75">
      <c r="A7" t="s">
        <v>3</v>
      </c>
      <c r="B7" s="3">
        <f>SUM(42+26+62+4)</f>
        <v>134</v>
      </c>
      <c r="C7" s="3">
        <f>SUM(36+21+52+4)</f>
        <v>113</v>
      </c>
      <c r="D7" s="2">
        <f t="shared" si="0"/>
        <v>0.8432835820895522</v>
      </c>
      <c r="E7" s="14">
        <f>SUM(15+9+91+9)</f>
        <v>124</v>
      </c>
      <c r="F7" s="9">
        <f>SUM(14+6+72+7)</f>
        <v>99</v>
      </c>
      <c r="G7" s="18">
        <f t="shared" si="1"/>
        <v>0.7983870967741935</v>
      </c>
      <c r="H7" s="49">
        <f>SUM(7+5)</f>
        <v>12</v>
      </c>
      <c r="I7" s="50">
        <f>SUM(7+4)</f>
        <v>11</v>
      </c>
      <c r="J7" s="45">
        <f>I7/H7</f>
        <v>0.9166666666666666</v>
      </c>
      <c r="K7" s="14">
        <f t="shared" si="2"/>
        <v>270</v>
      </c>
      <c r="L7" s="9">
        <f t="shared" si="3"/>
        <v>223</v>
      </c>
      <c r="M7" s="25">
        <f>(L7/K7)</f>
        <v>0.825925925925926</v>
      </c>
    </row>
    <row r="8" spans="1:13" ht="12.75">
      <c r="A8" t="s">
        <v>4</v>
      </c>
      <c r="B8" s="3">
        <f>SUM(602+370+1352+436)</f>
        <v>2760</v>
      </c>
      <c r="C8" s="3">
        <f>SUM(480+288+1156+326)</f>
        <v>2250</v>
      </c>
      <c r="D8" s="2">
        <f t="shared" si="0"/>
        <v>0.8152173913043478</v>
      </c>
      <c r="E8" s="14">
        <f>SUM(80+110+588+103)</f>
        <v>881</v>
      </c>
      <c r="F8" s="9">
        <f>SUM(70+90+496+82)</f>
        <v>738</v>
      </c>
      <c r="G8" s="18">
        <f t="shared" si="1"/>
        <v>0.8376844494892168</v>
      </c>
      <c r="H8" s="49"/>
      <c r="I8" s="50"/>
      <c r="J8" s="45"/>
      <c r="K8" s="14">
        <f t="shared" si="2"/>
        <v>3641</v>
      </c>
      <c r="L8" s="9">
        <f t="shared" si="3"/>
        <v>2988</v>
      </c>
      <c r="M8" s="25">
        <f>(L8/K8)</f>
        <v>0.8206536665751167</v>
      </c>
    </row>
    <row r="9" spans="1:13" ht="12.75">
      <c r="A9" t="s">
        <v>5</v>
      </c>
      <c r="B9" s="3">
        <f>SUM(51+149+454+38)</f>
        <v>692</v>
      </c>
      <c r="C9" s="3">
        <f>SUM(40+131+376+23)</f>
        <v>570</v>
      </c>
      <c r="D9" s="2">
        <f t="shared" si="0"/>
        <v>0.8236994219653179</v>
      </c>
      <c r="E9" s="14">
        <f>SUM(51+157+456+18)</f>
        <v>682</v>
      </c>
      <c r="F9" s="9">
        <f>SUM(44+144+365+12)</f>
        <v>565</v>
      </c>
      <c r="G9" s="18">
        <f t="shared" si="1"/>
        <v>0.8284457478005866</v>
      </c>
      <c r="H9" s="49"/>
      <c r="I9" s="50"/>
      <c r="J9" s="45"/>
      <c r="K9" s="14">
        <f t="shared" si="2"/>
        <v>1374</v>
      </c>
      <c r="L9" s="9">
        <f t="shared" si="3"/>
        <v>1135</v>
      </c>
      <c r="M9" s="25">
        <f>(L9/K9)</f>
        <v>0.8260553129548762</v>
      </c>
    </row>
    <row r="10" spans="1:13" ht="12.75">
      <c r="A10" t="s">
        <v>6</v>
      </c>
      <c r="B10" s="3">
        <f>SUM(276+404+371+9)</f>
        <v>1060</v>
      </c>
      <c r="C10" s="3">
        <f>SUM(236+353+301+8)</f>
        <v>898</v>
      </c>
      <c r="D10" s="2">
        <f t="shared" si="0"/>
        <v>0.8471698113207548</v>
      </c>
      <c r="E10" s="14">
        <f>SUM(105+147+138+3)</f>
        <v>393</v>
      </c>
      <c r="F10" s="9">
        <f>SUM(90+136+123+3)</f>
        <v>352</v>
      </c>
      <c r="G10" s="18">
        <f t="shared" si="1"/>
        <v>0.8956743002544529</v>
      </c>
      <c r="H10" s="49"/>
      <c r="I10" s="50"/>
      <c r="J10" s="45"/>
      <c r="K10" s="14">
        <f t="shared" si="2"/>
        <v>1453</v>
      </c>
      <c r="L10" s="9">
        <f t="shared" si="3"/>
        <v>1250</v>
      </c>
      <c r="M10" s="25">
        <f aca="true" t="shared" si="4" ref="M10:M23">(L10/K10)</f>
        <v>0.8602890571231934</v>
      </c>
    </row>
    <row r="11" spans="1:13" ht="12.75">
      <c r="A11" t="s">
        <v>7</v>
      </c>
      <c r="B11" s="3">
        <f>SUM(256+42+372+10)</f>
        <v>680</v>
      </c>
      <c r="C11" s="3">
        <f>SUM(232+39+334+9)</f>
        <v>614</v>
      </c>
      <c r="D11" s="2">
        <f t="shared" si="0"/>
        <v>0.9029411764705882</v>
      </c>
      <c r="E11" s="14">
        <f>SUM(341+51+410+31)</f>
        <v>833</v>
      </c>
      <c r="F11" s="9">
        <f>SUM(310+43+370+28)</f>
        <v>751</v>
      </c>
      <c r="G11" s="18">
        <f t="shared" si="1"/>
        <v>0.9015606242496998</v>
      </c>
      <c r="H11" s="49">
        <f>SUM(31+1)</f>
        <v>32</v>
      </c>
      <c r="I11" s="50">
        <f>SUM(30+1)</f>
        <v>31</v>
      </c>
      <c r="J11" s="45">
        <f>I11/H11</f>
        <v>0.96875</v>
      </c>
      <c r="K11" s="14">
        <f t="shared" si="2"/>
        <v>1545</v>
      </c>
      <c r="L11" s="9">
        <f t="shared" si="3"/>
        <v>1396</v>
      </c>
      <c r="M11" s="25">
        <f t="shared" si="4"/>
        <v>0.9035598705501618</v>
      </c>
    </row>
    <row r="12" spans="1:13" ht="12.75">
      <c r="A12" t="s">
        <v>8</v>
      </c>
      <c r="B12" s="3">
        <f>SUM(161+189+411+25)</f>
        <v>786</v>
      </c>
      <c r="C12" s="3">
        <f>SUM(146+174+345+16)</f>
        <v>681</v>
      </c>
      <c r="D12" s="2">
        <f t="shared" si="0"/>
        <v>0.8664122137404581</v>
      </c>
      <c r="E12" s="14">
        <f>SUM(150+45+371+29)</f>
        <v>595</v>
      </c>
      <c r="F12" s="9">
        <f>SUM(133+33+298+22)</f>
        <v>486</v>
      </c>
      <c r="G12" s="18">
        <f t="shared" si="1"/>
        <v>0.8168067226890756</v>
      </c>
      <c r="H12" s="49">
        <v>1</v>
      </c>
      <c r="I12" s="50"/>
      <c r="J12" s="45"/>
      <c r="K12" s="14">
        <f t="shared" si="2"/>
        <v>1382</v>
      </c>
      <c r="L12" s="9">
        <f t="shared" si="3"/>
        <v>1167</v>
      </c>
      <c r="M12" s="25">
        <f t="shared" si="4"/>
        <v>0.8444283646888567</v>
      </c>
    </row>
    <row r="13" spans="1:13" ht="12.75">
      <c r="A13" t="s">
        <v>9</v>
      </c>
      <c r="B13" s="3">
        <f>SUM(199+415+196+12)</f>
        <v>822</v>
      </c>
      <c r="C13" s="3">
        <f>SUM(171+377+161+9)</f>
        <v>718</v>
      </c>
      <c r="D13" s="2">
        <f t="shared" si="0"/>
        <v>0.8734793187347932</v>
      </c>
      <c r="E13" s="14">
        <f>SUM(86+184+77+12)</f>
        <v>359</v>
      </c>
      <c r="F13" s="9">
        <f>SUM(77+160+67+10)</f>
        <v>314</v>
      </c>
      <c r="G13" s="18">
        <f t="shared" si="1"/>
        <v>0.8746518105849582</v>
      </c>
      <c r="H13" s="49"/>
      <c r="I13" s="50"/>
      <c r="J13" s="45"/>
      <c r="K13" s="14">
        <f t="shared" si="2"/>
        <v>1181</v>
      </c>
      <c r="L13" s="9">
        <f t="shared" si="3"/>
        <v>1032</v>
      </c>
      <c r="M13" s="25">
        <f t="shared" si="4"/>
        <v>0.8738357324301439</v>
      </c>
    </row>
    <row r="14" spans="1:13" ht="12.75">
      <c r="A14" t="s">
        <v>10</v>
      </c>
      <c r="B14" s="3">
        <f>SUM(38+723+723+17)</f>
        <v>1501</v>
      </c>
      <c r="C14" s="3">
        <f>SUM(32+641+613+10)</f>
        <v>1296</v>
      </c>
      <c r="D14" s="2">
        <f t="shared" si="0"/>
        <v>0.8634243837441705</v>
      </c>
      <c r="E14" s="14">
        <f>SUM(65+308+391+15)</f>
        <v>779</v>
      </c>
      <c r="F14" s="9">
        <f>SUM(51+281+331+13)</f>
        <v>676</v>
      </c>
      <c r="G14" s="18">
        <f t="shared" si="1"/>
        <v>0.8677792041078306</v>
      </c>
      <c r="H14" s="49">
        <f>SUM(14+68+33+9)</f>
        <v>124</v>
      </c>
      <c r="I14" s="50">
        <f>SUM(13+60+27+8)</f>
        <v>108</v>
      </c>
      <c r="J14" s="45">
        <f>I14/H14</f>
        <v>0.8709677419354839</v>
      </c>
      <c r="K14" s="14">
        <f t="shared" si="2"/>
        <v>2404</v>
      </c>
      <c r="L14" s="9">
        <f t="shared" si="3"/>
        <v>2080</v>
      </c>
      <c r="M14" s="25">
        <f t="shared" si="4"/>
        <v>0.8652246256239601</v>
      </c>
    </row>
    <row r="15" spans="1:13" ht="12.75">
      <c r="A15" t="s">
        <v>11</v>
      </c>
      <c r="B15" s="3">
        <f>SUM(176+312+283+11)</f>
        <v>782</v>
      </c>
      <c r="C15" s="3">
        <f>SUM(136+256+218+7)</f>
        <v>617</v>
      </c>
      <c r="D15" s="2">
        <f t="shared" si="0"/>
        <v>0.789002557544757</v>
      </c>
      <c r="E15" s="14">
        <f>SUM(19+196+179+10)</f>
        <v>404</v>
      </c>
      <c r="F15" s="9">
        <f>SUM(17+179+141+5)</f>
        <v>342</v>
      </c>
      <c r="G15" s="18">
        <f t="shared" si="1"/>
        <v>0.8465346534653465</v>
      </c>
      <c r="H15" s="49"/>
      <c r="I15" s="50"/>
      <c r="J15" s="45"/>
      <c r="K15" s="14">
        <f t="shared" si="2"/>
        <v>1186</v>
      </c>
      <c r="L15" s="9">
        <f t="shared" si="3"/>
        <v>959</v>
      </c>
      <c r="M15" s="25">
        <f t="shared" si="4"/>
        <v>0.8086003372681282</v>
      </c>
    </row>
    <row r="16" spans="1:13" ht="12.75">
      <c r="A16" t="s">
        <v>12</v>
      </c>
      <c r="B16" s="3">
        <f>SUM(211+252+241+28)</f>
        <v>732</v>
      </c>
      <c r="C16" s="3">
        <f>SUM(191+234+204+22)</f>
        <v>651</v>
      </c>
      <c r="D16" s="2">
        <f t="shared" si="0"/>
        <v>0.889344262295082</v>
      </c>
      <c r="E16" s="14">
        <f>SUM(131+140+104+7)</f>
        <v>382</v>
      </c>
      <c r="F16" s="9">
        <f>SUM(115+118+82+6)</f>
        <v>321</v>
      </c>
      <c r="G16" s="18">
        <f t="shared" si="1"/>
        <v>0.8403141361256544</v>
      </c>
      <c r="H16" s="49"/>
      <c r="I16" s="50"/>
      <c r="J16" s="45"/>
      <c r="K16" s="14">
        <f t="shared" si="2"/>
        <v>1114</v>
      </c>
      <c r="L16" s="9">
        <f t="shared" si="3"/>
        <v>972</v>
      </c>
      <c r="M16" s="25">
        <f t="shared" si="4"/>
        <v>0.8725314183123878</v>
      </c>
    </row>
    <row r="17" spans="1:13" ht="12.75">
      <c r="A17" t="s">
        <v>13</v>
      </c>
      <c r="B17" s="3">
        <f>SUM(84+434+225+14)</f>
        <v>757</v>
      </c>
      <c r="C17" s="3">
        <f>SUM(63+397+189+8)</f>
        <v>657</v>
      </c>
      <c r="D17" s="2">
        <f t="shared" si="0"/>
        <v>0.8678996036988111</v>
      </c>
      <c r="E17" s="14">
        <f>SUM(275+333+218+6)</f>
        <v>832</v>
      </c>
      <c r="F17" s="9">
        <f>SUM(245+300+185+5)</f>
        <v>735</v>
      </c>
      <c r="G17" s="18">
        <f t="shared" si="1"/>
        <v>0.8834134615384616</v>
      </c>
      <c r="H17" s="49">
        <f>SUM(20+42+10+20)</f>
        <v>92</v>
      </c>
      <c r="I17" s="50">
        <f>SUM(20+36+10+20)</f>
        <v>86</v>
      </c>
      <c r="J17" s="45">
        <f aca="true" t="shared" si="5" ref="J17:J23">I17/H17</f>
        <v>0.9347826086956522</v>
      </c>
      <c r="K17" s="14">
        <f t="shared" si="2"/>
        <v>1681</v>
      </c>
      <c r="L17" s="9">
        <f t="shared" si="3"/>
        <v>1478</v>
      </c>
      <c r="M17" s="25">
        <f t="shared" si="4"/>
        <v>0.8792385484830458</v>
      </c>
    </row>
    <row r="18" spans="1:13" ht="12.75">
      <c r="A18" t="s">
        <v>14</v>
      </c>
      <c r="B18" s="3">
        <f>SUM(728+916+1044+120)</f>
        <v>2808</v>
      </c>
      <c r="C18" s="3">
        <f>SUM(616+832+878+98)</f>
        <v>2424</v>
      </c>
      <c r="D18" s="2">
        <f t="shared" si="0"/>
        <v>0.8632478632478633</v>
      </c>
      <c r="E18" s="14">
        <f>SUM(671+350+636+45)</f>
        <v>1702</v>
      </c>
      <c r="F18" s="9">
        <f>SUM(597+320+559+37)</f>
        <v>1513</v>
      </c>
      <c r="G18" s="18">
        <f t="shared" si="1"/>
        <v>0.8889541715628673</v>
      </c>
      <c r="H18" s="49">
        <f>SUM(34+9+92+9)</f>
        <v>144</v>
      </c>
      <c r="I18" s="50">
        <f>SUM(31+8+81+6)</f>
        <v>126</v>
      </c>
      <c r="J18" s="45">
        <f t="shared" si="5"/>
        <v>0.875</v>
      </c>
      <c r="K18" s="14">
        <f t="shared" si="2"/>
        <v>4654</v>
      </c>
      <c r="L18" s="9">
        <f t="shared" si="3"/>
        <v>4063</v>
      </c>
      <c r="M18" s="25">
        <f t="shared" si="4"/>
        <v>0.8730124623979373</v>
      </c>
    </row>
    <row r="19" spans="1:13" ht="12.75">
      <c r="A19" t="s">
        <v>15</v>
      </c>
      <c r="B19" s="3">
        <f>SUM(156+212+569+40)</f>
        <v>977</v>
      </c>
      <c r="C19" s="3">
        <f>SUM(132+189+492+30)</f>
        <v>843</v>
      </c>
      <c r="D19" s="2">
        <f t="shared" si="0"/>
        <v>0.8628454452405322</v>
      </c>
      <c r="E19" s="14">
        <f>SUM(65+65+391+39)</f>
        <v>560</v>
      </c>
      <c r="F19" s="9">
        <f>SUM(53+53+331+33)</f>
        <v>470</v>
      </c>
      <c r="G19" s="18">
        <f t="shared" si="1"/>
        <v>0.8392857142857143</v>
      </c>
      <c r="H19" s="49">
        <f>SUM(22+70+119+5)</f>
        <v>216</v>
      </c>
      <c r="I19" s="50">
        <f>SUM(21+62+105+4)</f>
        <v>192</v>
      </c>
      <c r="J19" s="45">
        <f t="shared" si="5"/>
        <v>0.8888888888888888</v>
      </c>
      <c r="K19" s="14">
        <f t="shared" si="2"/>
        <v>1753</v>
      </c>
      <c r="L19" s="9">
        <f t="shared" si="3"/>
        <v>1505</v>
      </c>
      <c r="M19" s="25">
        <f t="shared" si="4"/>
        <v>0.8585282373074729</v>
      </c>
    </row>
    <row r="20" spans="1:13" ht="12.75">
      <c r="A20" t="s">
        <v>16</v>
      </c>
      <c r="B20" s="3">
        <f>SUM(40+130+242+6)</f>
        <v>418</v>
      </c>
      <c r="C20" s="3">
        <f>SUM(29+115+200+5)</f>
        <v>349</v>
      </c>
      <c r="D20" s="2">
        <f t="shared" si="0"/>
        <v>0.8349282296650717</v>
      </c>
      <c r="E20" s="14">
        <f>SUM(7+59+176+5)</f>
        <v>247</v>
      </c>
      <c r="F20" s="9">
        <f>SUM(5+46+137+5)</f>
        <v>193</v>
      </c>
      <c r="G20" s="18">
        <f t="shared" si="1"/>
        <v>0.7813765182186235</v>
      </c>
      <c r="H20" s="49">
        <v>1</v>
      </c>
      <c r="I20" s="50">
        <v>1</v>
      </c>
      <c r="J20" s="45">
        <f t="shared" si="5"/>
        <v>1</v>
      </c>
      <c r="K20" s="14">
        <f t="shared" si="2"/>
        <v>666</v>
      </c>
      <c r="L20" s="9">
        <f t="shared" si="3"/>
        <v>543</v>
      </c>
      <c r="M20" s="25">
        <f t="shared" si="4"/>
        <v>0.8153153153153153</v>
      </c>
    </row>
    <row r="21" spans="1:13" ht="12.75">
      <c r="A21" s="1" t="s">
        <v>28</v>
      </c>
      <c r="B21" s="5">
        <f>SUM(B5:B20)</f>
        <v>16487</v>
      </c>
      <c r="C21" s="5">
        <f>SUM(C5:C20)</f>
        <v>13963</v>
      </c>
      <c r="D21" s="2">
        <f t="shared" si="0"/>
        <v>0.8469096864196033</v>
      </c>
      <c r="E21" s="15">
        <f>SUM(E5:E20)</f>
        <v>9766</v>
      </c>
      <c r="F21" s="11">
        <f>SUM(F5:F20)</f>
        <v>8396</v>
      </c>
      <c r="G21" s="18">
        <f t="shared" si="1"/>
        <v>0.8597173868523449</v>
      </c>
      <c r="H21" s="51">
        <f>SUM(H5:H20)</f>
        <v>768</v>
      </c>
      <c r="I21" s="52">
        <f>SUM(I5:I20)</f>
        <v>663</v>
      </c>
      <c r="J21" s="45">
        <f t="shared" si="5"/>
        <v>0.86328125</v>
      </c>
      <c r="K21" s="15">
        <f t="shared" si="2"/>
        <v>27021</v>
      </c>
      <c r="L21" s="11">
        <f t="shared" si="3"/>
        <v>23022</v>
      </c>
      <c r="M21" s="26">
        <f t="shared" si="4"/>
        <v>0.8520039968913068</v>
      </c>
    </row>
    <row r="22" spans="1:13" ht="12.75">
      <c r="A22" s="1" t="s">
        <v>27</v>
      </c>
      <c r="B22" s="5">
        <v>26178</v>
      </c>
      <c r="C22" s="5">
        <v>21736</v>
      </c>
      <c r="D22" s="2">
        <f t="shared" si="0"/>
        <v>0.8303155321262129</v>
      </c>
      <c r="E22" s="15">
        <v>16282</v>
      </c>
      <c r="F22" s="11">
        <v>13457</v>
      </c>
      <c r="G22" s="18">
        <f t="shared" si="1"/>
        <v>0.8264955165213119</v>
      </c>
      <c r="H22" s="51">
        <v>1911</v>
      </c>
      <c r="I22" s="52">
        <v>1571</v>
      </c>
      <c r="J22" s="45">
        <f t="shared" si="5"/>
        <v>0.8220826792255364</v>
      </c>
      <c r="K22" s="14">
        <f t="shared" si="2"/>
        <v>44371</v>
      </c>
      <c r="L22" s="9">
        <f t="shared" si="3"/>
        <v>36764</v>
      </c>
      <c r="M22" s="25">
        <f t="shared" si="4"/>
        <v>0.8285591940681977</v>
      </c>
    </row>
    <row r="23" spans="1:13" ht="12.75">
      <c r="A23" s="1" t="s">
        <v>24</v>
      </c>
      <c r="B23" s="5">
        <v>42665</v>
      </c>
      <c r="C23" s="5">
        <v>35699</v>
      </c>
      <c r="D23" s="2">
        <f t="shared" si="0"/>
        <v>0.8367279971873901</v>
      </c>
      <c r="E23" s="15">
        <v>26048</v>
      </c>
      <c r="F23" s="11">
        <v>21853</v>
      </c>
      <c r="G23" s="18">
        <f t="shared" si="1"/>
        <v>0.8389511670761671</v>
      </c>
      <c r="H23" s="51">
        <v>2679</v>
      </c>
      <c r="I23" s="52">
        <v>2234</v>
      </c>
      <c r="J23" s="45">
        <f t="shared" si="5"/>
        <v>0.833893243747667</v>
      </c>
      <c r="K23" s="14">
        <f t="shared" si="2"/>
        <v>71392</v>
      </c>
      <c r="L23" s="9">
        <f t="shared" si="3"/>
        <v>59786</v>
      </c>
      <c r="M23" s="25">
        <f t="shared" si="4"/>
        <v>0.8374327655759749</v>
      </c>
    </row>
    <row r="24" spans="1:13" ht="13.5" thickBot="1">
      <c r="A24" s="31" t="s">
        <v>26</v>
      </c>
      <c r="B24" s="32">
        <f>B21/B23</f>
        <v>0.3864291573889605</v>
      </c>
      <c r="C24" s="32">
        <f>C21/C23</f>
        <v>0.39113140424101517</v>
      </c>
      <c r="D24" s="39"/>
      <c r="E24" s="34">
        <f>E21/E23</f>
        <v>0.37492321867321865</v>
      </c>
      <c r="F24" s="32">
        <f>F21/F23</f>
        <v>0.3842035418478012</v>
      </c>
      <c r="G24" s="40"/>
      <c r="H24" s="53">
        <f>H21/H23</f>
        <v>0.2866741321388578</v>
      </c>
      <c r="I24" s="54">
        <f>I21/I23</f>
        <v>0.29677708146821846</v>
      </c>
      <c r="J24" s="55"/>
      <c r="K24" s="36">
        <f>(K21/K23)</f>
        <v>0.3784877857463021</v>
      </c>
      <c r="L24" s="37">
        <f>(L21/L23)</f>
        <v>0.38507342856187066</v>
      </c>
      <c r="M24" s="35"/>
    </row>
  </sheetData>
  <mergeCells count="5">
    <mergeCell ref="K3:M3"/>
    <mergeCell ref="A1:M1"/>
    <mergeCell ref="B3:D3"/>
    <mergeCell ref="E3:G3"/>
    <mergeCell ref="H3:J3"/>
  </mergeCells>
  <printOptions horizontalCentered="1" verticalCentered="1"/>
  <pageMargins left="0.75" right="0.75" top="0.75" bottom="0.75" header="0.5" footer="0.5"/>
  <pageSetup horizontalDpi="600" verticalDpi="600" orientation="landscape" scale="80" r:id="rId1"/>
  <headerFooter alignWithMargins="0">
    <oddFooter>&amp;L&amp;"Arial,Bold"&amp;D/&amp;T&amp;C&amp;"Arial,Bold"&amp;12&amp;F</oddFooter>
  </headerFooter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M25"/>
  <sheetViews>
    <sheetView workbookViewId="0" topLeftCell="A1">
      <selection activeCell="A22" sqref="A22"/>
    </sheetView>
  </sheetViews>
  <sheetFormatPr defaultColWidth="9.140625" defaultRowHeight="12.75"/>
  <cols>
    <col min="1" max="1" width="16.421875" style="0" bestFit="1" customWidth="1"/>
    <col min="2" max="2" width="11.140625" style="0" bestFit="1" customWidth="1"/>
    <col min="8" max="8" width="11.140625" style="0" bestFit="1" customWidth="1"/>
    <col min="11" max="11" width="11.140625" style="0" bestFit="1" customWidth="1"/>
  </cols>
  <sheetData>
    <row r="1" spans="1:13" ht="12.75">
      <c r="A1" s="119" t="s">
        <v>25</v>
      </c>
      <c r="B1" s="120"/>
      <c r="C1" s="120"/>
      <c r="D1" s="120"/>
      <c r="E1" s="120"/>
      <c r="F1" s="120"/>
      <c r="G1" s="120"/>
      <c r="H1" s="121"/>
      <c r="I1" s="121"/>
      <c r="J1" s="121"/>
      <c r="K1" s="121"/>
      <c r="L1" s="121"/>
      <c r="M1" s="121"/>
    </row>
    <row r="2" spans="1:13" ht="12.75">
      <c r="A2" s="21"/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</row>
    <row r="3" spans="1:13" ht="12.75">
      <c r="A3" s="1"/>
      <c r="B3" s="123" t="s">
        <v>19</v>
      </c>
      <c r="C3" s="123"/>
      <c r="D3" s="123"/>
      <c r="E3" s="124" t="s">
        <v>20</v>
      </c>
      <c r="F3" s="125"/>
      <c r="G3" s="126"/>
      <c r="H3" s="127" t="s">
        <v>21</v>
      </c>
      <c r="I3" s="127"/>
      <c r="J3" s="128"/>
      <c r="K3" s="116" t="s">
        <v>33</v>
      </c>
      <c r="L3" s="117"/>
      <c r="M3" s="118"/>
    </row>
    <row r="4" spans="1:13" ht="12.75">
      <c r="A4" s="1" t="s">
        <v>0</v>
      </c>
      <c r="B4" s="4" t="s">
        <v>17</v>
      </c>
      <c r="C4" s="4" t="s">
        <v>18</v>
      </c>
      <c r="D4" s="16" t="s">
        <v>31</v>
      </c>
      <c r="E4" s="13" t="s">
        <v>17</v>
      </c>
      <c r="F4" s="8" t="s">
        <v>18</v>
      </c>
      <c r="G4" s="17" t="s">
        <v>31</v>
      </c>
      <c r="H4" s="47" t="s">
        <v>17</v>
      </c>
      <c r="I4" s="47" t="s">
        <v>18</v>
      </c>
      <c r="J4" s="56" t="s">
        <v>31</v>
      </c>
      <c r="K4" s="27" t="s">
        <v>17</v>
      </c>
      <c r="L4" s="20" t="s">
        <v>18</v>
      </c>
      <c r="M4" s="17" t="s">
        <v>34</v>
      </c>
    </row>
    <row r="5" spans="1:13" ht="12.75">
      <c r="A5" t="s">
        <v>1</v>
      </c>
      <c r="B5" s="3">
        <f>SUM(117+84+650+98)</f>
        <v>949</v>
      </c>
      <c r="C5" s="3">
        <f>SUM(69+74+566+68)</f>
        <v>777</v>
      </c>
      <c r="D5" s="2">
        <f aca="true" t="shared" si="0" ref="D5:D23">(C5/B5)</f>
        <v>0.8187565858798735</v>
      </c>
      <c r="E5" s="14">
        <f>SUM(185+42+342+58)</f>
        <v>627</v>
      </c>
      <c r="F5" s="9">
        <f>(52+305+159+40)</f>
        <v>556</v>
      </c>
      <c r="G5" s="18">
        <f aca="true" t="shared" si="1" ref="G5:G23">(F5/E5)</f>
        <v>0.886762360446571</v>
      </c>
      <c r="H5" s="57">
        <f>SUM(0+0+0+0)</f>
        <v>0</v>
      </c>
      <c r="I5" s="57">
        <f>SUM(0+0+0+0)</f>
        <v>0</v>
      </c>
      <c r="J5" s="45"/>
      <c r="K5" s="14">
        <f aca="true" t="shared" si="2" ref="K5:K23">SUM(B5,E5,H5)</f>
        <v>1576</v>
      </c>
      <c r="L5" s="9">
        <f aca="true" t="shared" si="3" ref="L5:L23">SUM(C5,F5,I5)</f>
        <v>1333</v>
      </c>
      <c r="M5" s="25">
        <f aca="true" t="shared" si="4" ref="M5:M23">(L5/K5)</f>
        <v>0.8458121827411168</v>
      </c>
    </row>
    <row r="6" spans="1:13" ht="12.75">
      <c r="A6" t="s">
        <v>2</v>
      </c>
      <c r="B6" s="3">
        <f>SUM(48+146+226+11)</f>
        <v>431</v>
      </c>
      <c r="C6" s="3">
        <f>SUM(43+131+189+6)</f>
        <v>369</v>
      </c>
      <c r="D6" s="2">
        <f t="shared" si="0"/>
        <v>0.8561484918793504</v>
      </c>
      <c r="E6" s="14">
        <f>SUM(14+90+161+3)</f>
        <v>268</v>
      </c>
      <c r="F6" s="10">
        <f>+SUM(10+74+142+2)</f>
        <v>228</v>
      </c>
      <c r="G6" s="18">
        <f t="shared" si="1"/>
        <v>0.8507462686567164</v>
      </c>
      <c r="H6" s="57">
        <f>SUM(80+3+2+22)</f>
        <v>107</v>
      </c>
      <c r="I6" s="57">
        <f>SUM(62+2+1+21)</f>
        <v>86</v>
      </c>
      <c r="J6" s="45">
        <f>(I6/H6)</f>
        <v>0.8037383177570093</v>
      </c>
      <c r="K6" s="14">
        <f t="shared" si="2"/>
        <v>806</v>
      </c>
      <c r="L6" s="9">
        <f t="shared" si="3"/>
        <v>683</v>
      </c>
      <c r="M6" s="25">
        <f t="shared" si="4"/>
        <v>0.847394540942928</v>
      </c>
    </row>
    <row r="7" spans="1:13" ht="12.75">
      <c r="A7" t="s">
        <v>3</v>
      </c>
      <c r="B7" s="3">
        <f>SUM(53+27+58+5)</f>
        <v>143</v>
      </c>
      <c r="C7" s="3">
        <f>SUM(42+22+47+4)</f>
        <v>115</v>
      </c>
      <c r="D7" s="2">
        <f t="shared" si="0"/>
        <v>0.8041958041958042</v>
      </c>
      <c r="E7" s="14">
        <f>SUM(5+30+68+4)</f>
        <v>107</v>
      </c>
      <c r="F7" s="10">
        <f>SUM(5+27+54+3)</f>
        <v>89</v>
      </c>
      <c r="G7" s="18">
        <f t="shared" si="1"/>
        <v>0.8317757009345794</v>
      </c>
      <c r="H7" s="57">
        <f>SUM(0+3+16+0)</f>
        <v>19</v>
      </c>
      <c r="I7" s="57">
        <f>SUM(0+3+16+0)</f>
        <v>19</v>
      </c>
      <c r="J7" s="45">
        <f>(I7/H7)</f>
        <v>1</v>
      </c>
      <c r="K7" s="14">
        <f t="shared" si="2"/>
        <v>269</v>
      </c>
      <c r="L7" s="9">
        <f t="shared" si="3"/>
        <v>223</v>
      </c>
      <c r="M7" s="25">
        <f t="shared" si="4"/>
        <v>0.828996282527881</v>
      </c>
    </row>
    <row r="8" spans="1:13" ht="12.75">
      <c r="A8" t="s">
        <v>4</v>
      </c>
      <c r="B8" s="3">
        <f>SUM(553+376+1304+465)</f>
        <v>2698</v>
      </c>
      <c r="C8" s="3">
        <f>SUM(450+317+1098+379)</f>
        <v>2244</v>
      </c>
      <c r="D8" s="2">
        <f t="shared" si="0"/>
        <v>0.8317272053372868</v>
      </c>
      <c r="E8" s="14">
        <f>SUM(68+126+547+95)</f>
        <v>836</v>
      </c>
      <c r="F8" s="10">
        <f>SUM(60+105+455+71)</f>
        <v>691</v>
      </c>
      <c r="G8" s="18">
        <f t="shared" si="1"/>
        <v>0.8265550239234449</v>
      </c>
      <c r="H8" s="57">
        <f aca="true" t="shared" si="5" ref="H8:I10">SUM(0+0+0+0)</f>
        <v>0</v>
      </c>
      <c r="I8" s="57">
        <f t="shared" si="5"/>
        <v>0</v>
      </c>
      <c r="J8" s="45"/>
      <c r="K8" s="14">
        <f t="shared" si="2"/>
        <v>3534</v>
      </c>
      <c r="L8" s="9">
        <f t="shared" si="3"/>
        <v>2935</v>
      </c>
      <c r="M8" s="25">
        <f t="shared" si="4"/>
        <v>0.8305036785512168</v>
      </c>
    </row>
    <row r="9" spans="1:13" ht="12.75">
      <c r="A9" t="s">
        <v>5</v>
      </c>
      <c r="B9" s="3">
        <f>SUM(57+175+397+12)</f>
        <v>641</v>
      </c>
      <c r="C9" s="3">
        <f>SUM(41+155+355+10)</f>
        <v>561</v>
      </c>
      <c r="D9" s="2">
        <f t="shared" si="0"/>
        <v>0.875195007800312</v>
      </c>
      <c r="E9" s="14">
        <f>SUM(136+157+412+19)</f>
        <v>724</v>
      </c>
      <c r="F9" s="10">
        <f>SUM(120+142+350+11)</f>
        <v>623</v>
      </c>
      <c r="G9" s="18">
        <f t="shared" si="1"/>
        <v>0.8604972375690608</v>
      </c>
      <c r="H9" s="57">
        <f t="shared" si="5"/>
        <v>0</v>
      </c>
      <c r="I9" s="57">
        <f t="shared" si="5"/>
        <v>0</v>
      </c>
      <c r="J9" s="45"/>
      <c r="K9" s="14">
        <f t="shared" si="2"/>
        <v>1365</v>
      </c>
      <c r="L9" s="9">
        <f t="shared" si="3"/>
        <v>1184</v>
      </c>
      <c r="M9" s="25">
        <f t="shared" si="4"/>
        <v>0.8673992673992674</v>
      </c>
    </row>
    <row r="10" spans="1:13" ht="12.75">
      <c r="A10" t="s">
        <v>6</v>
      </c>
      <c r="B10" s="3">
        <f>SUM(246+385+315+9)</f>
        <v>955</v>
      </c>
      <c r="C10" s="3">
        <f>SUM(220+362+281+7)</f>
        <v>870</v>
      </c>
      <c r="D10" s="2">
        <f t="shared" si="0"/>
        <v>0.9109947643979057</v>
      </c>
      <c r="E10" s="14">
        <f>SUM(124+132+147+0)</f>
        <v>403</v>
      </c>
      <c r="F10" s="10">
        <f>SUM(109+116+127+0)</f>
        <v>352</v>
      </c>
      <c r="G10" s="18">
        <f t="shared" si="1"/>
        <v>0.8734491315136477</v>
      </c>
      <c r="H10" s="57">
        <f t="shared" si="5"/>
        <v>0</v>
      </c>
      <c r="I10" s="57">
        <f t="shared" si="5"/>
        <v>0</v>
      </c>
      <c r="J10" s="45"/>
      <c r="K10" s="14">
        <f t="shared" si="2"/>
        <v>1358</v>
      </c>
      <c r="L10" s="9">
        <f t="shared" si="3"/>
        <v>1222</v>
      </c>
      <c r="M10" s="25">
        <f t="shared" si="4"/>
        <v>0.8998527245949927</v>
      </c>
    </row>
    <row r="11" spans="1:13" ht="12.75">
      <c r="A11" t="s">
        <v>7</v>
      </c>
      <c r="B11" s="3">
        <f>SUM(217+57+294+9)</f>
        <v>577</v>
      </c>
      <c r="C11" s="3">
        <f>SUM(195+48+264+8)</f>
        <v>515</v>
      </c>
      <c r="D11" s="2">
        <f t="shared" si="0"/>
        <v>0.8925476603119584</v>
      </c>
      <c r="E11" s="14">
        <f>SUM(306+49+405+47)</f>
        <v>807</v>
      </c>
      <c r="F11" s="10">
        <f>SUM(285+44+381+38)</f>
        <v>748</v>
      </c>
      <c r="G11" s="18">
        <f t="shared" si="1"/>
        <v>0.9268897149938042</v>
      </c>
      <c r="H11" s="57">
        <f>SUM(33+0+0+0)</f>
        <v>33</v>
      </c>
      <c r="I11" s="57">
        <f>SUM(28+0+0+0)</f>
        <v>28</v>
      </c>
      <c r="J11" s="45">
        <f>(I11/H11)</f>
        <v>0.8484848484848485</v>
      </c>
      <c r="K11" s="14">
        <f t="shared" si="2"/>
        <v>1417</v>
      </c>
      <c r="L11" s="9">
        <f t="shared" si="3"/>
        <v>1291</v>
      </c>
      <c r="M11" s="25">
        <f t="shared" si="4"/>
        <v>0.9110797459421313</v>
      </c>
    </row>
    <row r="12" spans="1:13" ht="12.75">
      <c r="A12" t="s">
        <v>8</v>
      </c>
      <c r="B12" s="3">
        <f>SUM(135+133+399+25)</f>
        <v>692</v>
      </c>
      <c r="C12" s="3">
        <f>SUM(123+125+332+18)</f>
        <v>598</v>
      </c>
      <c r="D12" s="2">
        <f t="shared" si="0"/>
        <v>0.8641618497109826</v>
      </c>
      <c r="E12" s="14">
        <f>SUM(113+57+318+30)</f>
        <v>518</v>
      </c>
      <c r="F12" s="10">
        <f>SUM(97+42+281+27)</f>
        <v>447</v>
      </c>
      <c r="G12" s="18">
        <f t="shared" si="1"/>
        <v>0.862934362934363</v>
      </c>
      <c r="H12" s="57">
        <f>SUM(0+0+0+0)</f>
        <v>0</v>
      </c>
      <c r="I12" s="57">
        <f>SUM(0+0+0+0)</f>
        <v>0</v>
      </c>
      <c r="J12" s="45"/>
      <c r="K12" s="14">
        <f t="shared" si="2"/>
        <v>1210</v>
      </c>
      <c r="L12" s="9">
        <f t="shared" si="3"/>
        <v>1045</v>
      </c>
      <c r="M12" s="25">
        <f t="shared" si="4"/>
        <v>0.8636363636363636</v>
      </c>
    </row>
    <row r="13" spans="1:13" ht="12.75">
      <c r="A13" t="s">
        <v>9</v>
      </c>
      <c r="B13" s="3">
        <f>SUM(197+270+320+7)</f>
        <v>794</v>
      </c>
      <c r="C13" s="3">
        <f>SUM(155+243+271+6)</f>
        <v>675</v>
      </c>
      <c r="D13" s="2">
        <f t="shared" si="0"/>
        <v>0.8501259445843828</v>
      </c>
      <c r="E13" s="14">
        <f>SUM(75+138+143+5)</f>
        <v>361</v>
      </c>
      <c r="F13" s="10">
        <f>SUM(58+124+121+4)</f>
        <v>307</v>
      </c>
      <c r="G13" s="18">
        <f t="shared" si="1"/>
        <v>0.850415512465374</v>
      </c>
      <c r="H13" s="57">
        <f>SUM(0+0+0+0)</f>
        <v>0</v>
      </c>
      <c r="I13" s="57">
        <f>SUM(0+0+0+0)</f>
        <v>0</v>
      </c>
      <c r="J13" s="45"/>
      <c r="K13" s="14">
        <f t="shared" si="2"/>
        <v>1155</v>
      </c>
      <c r="L13" s="9">
        <f t="shared" si="3"/>
        <v>982</v>
      </c>
      <c r="M13" s="25">
        <f t="shared" si="4"/>
        <v>0.8502164502164502</v>
      </c>
    </row>
    <row r="14" spans="1:13" ht="12.75">
      <c r="A14" t="s">
        <v>10</v>
      </c>
      <c r="B14" s="3">
        <f>SUM(62+634+803+54)</f>
        <v>1553</v>
      </c>
      <c r="C14" s="3">
        <f>SUM(54+579+690+33)</f>
        <v>1356</v>
      </c>
      <c r="D14" s="2">
        <f t="shared" si="0"/>
        <v>0.8731487443657437</v>
      </c>
      <c r="E14" s="14">
        <f>SUM(77+254+379+20)</f>
        <v>730</v>
      </c>
      <c r="F14" s="10">
        <f>SUM(61+244+339+17)</f>
        <v>661</v>
      </c>
      <c r="G14" s="18">
        <f t="shared" si="1"/>
        <v>0.9054794520547945</v>
      </c>
      <c r="H14" s="57">
        <f>SUM(24+18+72+7)</f>
        <v>121</v>
      </c>
      <c r="I14" s="57">
        <f>SUM(22+17+67+6)</f>
        <v>112</v>
      </c>
      <c r="J14" s="45">
        <f>(I14/H14)</f>
        <v>0.9256198347107438</v>
      </c>
      <c r="K14" s="14">
        <f t="shared" si="2"/>
        <v>2404</v>
      </c>
      <c r="L14" s="9">
        <f t="shared" si="3"/>
        <v>2129</v>
      </c>
      <c r="M14" s="25">
        <f t="shared" si="4"/>
        <v>0.8856073211314476</v>
      </c>
    </row>
    <row r="15" spans="1:13" ht="12.75">
      <c r="A15" t="s">
        <v>11</v>
      </c>
      <c r="B15" s="3">
        <f>SUM(171+265+280+13)</f>
        <v>729</v>
      </c>
      <c r="C15" s="3">
        <f>SUM(146+232+222+11)</f>
        <v>611</v>
      </c>
      <c r="D15" s="2">
        <f t="shared" si="0"/>
        <v>0.8381344307270233</v>
      </c>
      <c r="E15" s="14">
        <f>SUM(21+133+216+3)</f>
        <v>373</v>
      </c>
      <c r="F15" s="10">
        <f>SUM(19+123+180+3)</f>
        <v>325</v>
      </c>
      <c r="G15" s="18">
        <f t="shared" si="1"/>
        <v>0.871313672922252</v>
      </c>
      <c r="H15" s="57">
        <f>SUM(0+0+0+0)</f>
        <v>0</v>
      </c>
      <c r="I15" s="57">
        <f>SUM(0+0+0+0)</f>
        <v>0</v>
      </c>
      <c r="J15" s="45"/>
      <c r="K15" s="14">
        <f t="shared" si="2"/>
        <v>1102</v>
      </c>
      <c r="L15" s="9">
        <f t="shared" si="3"/>
        <v>936</v>
      </c>
      <c r="M15" s="25">
        <f t="shared" si="4"/>
        <v>0.8493647912885662</v>
      </c>
    </row>
    <row r="16" spans="1:13" ht="12.75">
      <c r="A16" t="s">
        <v>12</v>
      </c>
      <c r="B16" s="3">
        <f>SUM(198+261+377+36)</f>
        <v>872</v>
      </c>
      <c r="C16" s="3">
        <f>SUM(174+243+341+31)</f>
        <v>789</v>
      </c>
      <c r="D16" s="2">
        <f t="shared" si="0"/>
        <v>0.9048165137614679</v>
      </c>
      <c r="E16" s="14">
        <f>SUM(127+163+107+2)</f>
        <v>399</v>
      </c>
      <c r="F16" s="10">
        <f>SUM(109+136+86+2)</f>
        <v>333</v>
      </c>
      <c r="G16" s="18">
        <f t="shared" si="1"/>
        <v>0.8345864661654135</v>
      </c>
      <c r="H16" s="57">
        <f>SUM(0+0+0+0)</f>
        <v>0</v>
      </c>
      <c r="I16" s="57">
        <f>SUM(0+0+0+0)</f>
        <v>0</v>
      </c>
      <c r="J16" s="45"/>
      <c r="K16" s="14">
        <f t="shared" si="2"/>
        <v>1271</v>
      </c>
      <c r="L16" s="9">
        <f t="shared" si="3"/>
        <v>1122</v>
      </c>
      <c r="M16" s="25">
        <f t="shared" si="4"/>
        <v>0.8827694728560189</v>
      </c>
    </row>
    <row r="17" spans="1:13" ht="12.75">
      <c r="A17" t="s">
        <v>13</v>
      </c>
      <c r="B17" s="3">
        <f>SUM(84+401+280+5)</f>
        <v>770</v>
      </c>
      <c r="C17" s="3">
        <f>SUM(73+367+235+2)</f>
        <v>677</v>
      </c>
      <c r="D17" s="2">
        <f t="shared" si="0"/>
        <v>0.8792207792207792</v>
      </c>
      <c r="E17" s="14">
        <f>SUM(275+228+285+5)</f>
        <v>793</v>
      </c>
      <c r="F17" s="10">
        <f>SUM(256+216+246+4)</f>
        <v>722</v>
      </c>
      <c r="G17" s="18">
        <f t="shared" si="1"/>
        <v>0.9104665825977302</v>
      </c>
      <c r="H17" s="57">
        <f>SUM(25+0+1+19)</f>
        <v>45</v>
      </c>
      <c r="I17" s="57">
        <f>SUM(25+0+1+18)</f>
        <v>44</v>
      </c>
      <c r="J17" s="45">
        <f>(I17/H17)</f>
        <v>0.9777777777777777</v>
      </c>
      <c r="K17" s="14">
        <f t="shared" si="2"/>
        <v>1608</v>
      </c>
      <c r="L17" s="9">
        <f t="shared" si="3"/>
        <v>1443</v>
      </c>
      <c r="M17" s="25">
        <f t="shared" si="4"/>
        <v>0.8973880597014925</v>
      </c>
    </row>
    <row r="18" spans="1:13" ht="12.75">
      <c r="A18" t="s">
        <v>14</v>
      </c>
      <c r="B18" s="3">
        <f>SUM(725+840+1072+78)</f>
        <v>2715</v>
      </c>
      <c r="C18" s="3">
        <f>SUM(629+770+926+60)</f>
        <v>2385</v>
      </c>
      <c r="D18" s="2">
        <f t="shared" si="0"/>
        <v>0.8784530386740331</v>
      </c>
      <c r="E18" s="14">
        <f>SUM(638+395+584+58)</f>
        <v>1675</v>
      </c>
      <c r="F18" s="10">
        <f>SUM(567+365+525+48)</f>
        <v>1505</v>
      </c>
      <c r="G18" s="18">
        <f t="shared" si="1"/>
        <v>0.8985074626865671</v>
      </c>
      <c r="H18" s="57">
        <f>SUM(28+5+75+8)</f>
        <v>116</v>
      </c>
      <c r="I18" s="57">
        <f>SUM(24+4+68+5)</f>
        <v>101</v>
      </c>
      <c r="J18" s="45">
        <f>(I18/H18)</f>
        <v>0.8706896551724138</v>
      </c>
      <c r="K18" s="14">
        <f t="shared" si="2"/>
        <v>4506</v>
      </c>
      <c r="L18" s="9">
        <f t="shared" si="3"/>
        <v>3991</v>
      </c>
      <c r="M18" s="25">
        <f t="shared" si="4"/>
        <v>0.8857079449622726</v>
      </c>
    </row>
    <row r="19" spans="1:13" ht="12.75">
      <c r="A19" t="s">
        <v>15</v>
      </c>
      <c r="B19" s="3">
        <f>SUM(125+245+531+63)</f>
        <v>964</v>
      </c>
      <c r="C19" s="3">
        <f>SUM(103+233+461+48)</f>
        <v>845</v>
      </c>
      <c r="D19" s="2">
        <f t="shared" si="0"/>
        <v>0.8765560165975104</v>
      </c>
      <c r="E19" s="14">
        <f>SUM(25+113+363+30)</f>
        <v>531</v>
      </c>
      <c r="F19" s="10">
        <f>SUM(21+101+317+20)</f>
        <v>459</v>
      </c>
      <c r="G19" s="18">
        <f t="shared" si="1"/>
        <v>0.864406779661017</v>
      </c>
      <c r="H19" s="57">
        <f>SUM(27+65+103+5)</f>
        <v>200</v>
      </c>
      <c r="I19" s="57">
        <f>SUM(22+63+93+4)</f>
        <v>182</v>
      </c>
      <c r="J19" s="45">
        <f>(I19/H19)</f>
        <v>0.91</v>
      </c>
      <c r="K19" s="14">
        <f t="shared" si="2"/>
        <v>1695</v>
      </c>
      <c r="L19" s="9">
        <f t="shared" si="3"/>
        <v>1486</v>
      </c>
      <c r="M19" s="25">
        <f t="shared" si="4"/>
        <v>0.8766961651917404</v>
      </c>
    </row>
    <row r="20" spans="1:13" ht="12.75">
      <c r="A20" t="s">
        <v>16</v>
      </c>
      <c r="B20" s="3">
        <f>SUM(3+144+205+1)</f>
        <v>353</v>
      </c>
      <c r="C20" s="3">
        <f>SUM(3+127+180+1)</f>
        <v>311</v>
      </c>
      <c r="D20" s="2">
        <f t="shared" si="0"/>
        <v>0.8810198300283286</v>
      </c>
      <c r="E20" s="14">
        <f>SUM(8+54+164+3)</f>
        <v>229</v>
      </c>
      <c r="F20" s="10">
        <f>SUM(7+46+143+1)</f>
        <v>197</v>
      </c>
      <c r="G20" s="18">
        <f t="shared" si="1"/>
        <v>0.8602620087336245</v>
      </c>
      <c r="H20" s="57">
        <f>SUM(0+0+0+0)</f>
        <v>0</v>
      </c>
      <c r="I20" s="57">
        <f>SUM(0+0+0+0)</f>
        <v>0</v>
      </c>
      <c r="J20" s="45"/>
      <c r="K20" s="14">
        <f t="shared" si="2"/>
        <v>582</v>
      </c>
      <c r="L20" s="9">
        <f t="shared" si="3"/>
        <v>508</v>
      </c>
      <c r="M20" s="25">
        <f t="shared" si="4"/>
        <v>0.872852233676976</v>
      </c>
    </row>
    <row r="21" spans="1:13" ht="12.75">
      <c r="A21" s="1" t="s">
        <v>22</v>
      </c>
      <c r="B21" s="5">
        <f>SUM(B5:B20)</f>
        <v>15836</v>
      </c>
      <c r="C21" s="5">
        <f>SUM(C5:C20)</f>
        <v>13698</v>
      </c>
      <c r="D21" s="6">
        <f t="shared" si="0"/>
        <v>0.8649911593836828</v>
      </c>
      <c r="E21" s="15">
        <f>SUM(E5:E20)</f>
        <v>9381</v>
      </c>
      <c r="F21" s="11">
        <f>SUM(F5:F20)</f>
        <v>8243</v>
      </c>
      <c r="G21" s="19">
        <f t="shared" si="1"/>
        <v>0.8786909711118218</v>
      </c>
      <c r="H21" s="52">
        <f>SUM(H5:H20)</f>
        <v>641</v>
      </c>
      <c r="I21" s="52">
        <f>SUM(I5:I20)</f>
        <v>572</v>
      </c>
      <c r="J21" s="58">
        <f>(I21/H21)</f>
        <v>0.8923556942277691</v>
      </c>
      <c r="K21" s="15">
        <f t="shared" si="2"/>
        <v>25858</v>
      </c>
      <c r="L21" s="11">
        <f t="shared" si="3"/>
        <v>22513</v>
      </c>
      <c r="M21" s="26">
        <f t="shared" si="4"/>
        <v>0.8706396473045093</v>
      </c>
    </row>
    <row r="22" spans="1:13" ht="12.75">
      <c r="A22" s="1" t="s">
        <v>23</v>
      </c>
      <c r="B22" s="5">
        <f>SUM(7991+8950+21401+3225)-B21</f>
        <v>25731</v>
      </c>
      <c r="C22" s="5">
        <f>SUM(2419+18464+7884+6686)-C21</f>
        <v>21755</v>
      </c>
      <c r="D22" s="6">
        <f t="shared" si="0"/>
        <v>0.8454782169367688</v>
      </c>
      <c r="E22" s="15">
        <f>SUM(5065+4841+13327+1599)-E21</f>
        <v>15451</v>
      </c>
      <c r="F22" s="11">
        <f>(1205+11453+4275+4389)-F21</f>
        <v>13079</v>
      </c>
      <c r="G22" s="19">
        <f t="shared" si="1"/>
        <v>0.8464824283217914</v>
      </c>
      <c r="H22" s="52">
        <f>SUM(544+337+1163+266)-H21</f>
        <v>1669</v>
      </c>
      <c r="I22" s="52">
        <f>SUM(212+1019+296+464)-I21</f>
        <v>1419</v>
      </c>
      <c r="J22" s="58">
        <f>(I22/H22)</f>
        <v>0.8502097064110246</v>
      </c>
      <c r="K22" s="14">
        <f t="shared" si="2"/>
        <v>42851</v>
      </c>
      <c r="L22" s="9">
        <f t="shared" si="3"/>
        <v>36253</v>
      </c>
      <c r="M22" s="25">
        <f t="shared" si="4"/>
        <v>0.8460245968588831</v>
      </c>
    </row>
    <row r="23" spans="1:13" ht="12.75">
      <c r="A23" s="1" t="s">
        <v>24</v>
      </c>
      <c r="B23" s="5">
        <f>SUM(7991+8950+21401+3225)</f>
        <v>41567</v>
      </c>
      <c r="C23" s="5">
        <f>SUM(2419+18464+7884+6686)</f>
        <v>35453</v>
      </c>
      <c r="D23" s="6">
        <f t="shared" si="0"/>
        <v>0.8529121659008349</v>
      </c>
      <c r="E23" s="15">
        <f>SUM(5065+4841+13327+1599)</f>
        <v>24832</v>
      </c>
      <c r="F23" s="11">
        <f>(1205+11453+4275+4389)</f>
        <v>21322</v>
      </c>
      <c r="G23" s="19">
        <f t="shared" si="1"/>
        <v>0.8586501288659794</v>
      </c>
      <c r="H23" s="52">
        <f>SUM(544+337+1163+266)</f>
        <v>2310</v>
      </c>
      <c r="I23" s="52">
        <f>SUM(212+1019+296+464)</f>
        <v>1991</v>
      </c>
      <c r="J23" s="58">
        <f>(I23/H23)</f>
        <v>0.861904761904762</v>
      </c>
      <c r="K23" s="14">
        <f t="shared" si="2"/>
        <v>68709</v>
      </c>
      <c r="L23" s="9">
        <f t="shared" si="3"/>
        <v>58766</v>
      </c>
      <c r="M23" s="25">
        <f t="shared" si="4"/>
        <v>0.8552882446258859</v>
      </c>
    </row>
    <row r="24" spans="1:13" ht="13.5" thickBot="1">
      <c r="A24" s="31" t="s">
        <v>26</v>
      </c>
      <c r="B24" s="32">
        <f>B21/B23</f>
        <v>0.38097529290061827</v>
      </c>
      <c r="C24" s="32">
        <f>C21/C23</f>
        <v>0.3863706879530646</v>
      </c>
      <c r="D24" s="33"/>
      <c r="E24" s="34">
        <f>E21/E23</f>
        <v>0.3777786726804124</v>
      </c>
      <c r="F24" s="32">
        <f>F21/F23</f>
        <v>0.3865960041271926</v>
      </c>
      <c r="G24" s="35"/>
      <c r="H24" s="54">
        <f>H21/H23</f>
        <v>0.2774891774891775</v>
      </c>
      <c r="I24" s="54">
        <f>I21/I23</f>
        <v>0.287292817679558</v>
      </c>
      <c r="J24" s="59"/>
      <c r="K24" s="36">
        <f>(K21/K23)</f>
        <v>0.37634079960412753</v>
      </c>
      <c r="L24" s="37">
        <f>(L21/L23)</f>
        <v>0.3830956675628765</v>
      </c>
      <c r="M24" s="35"/>
    </row>
    <row r="25" spans="1:13" ht="12.75">
      <c r="A25" s="1" t="s">
        <v>36</v>
      </c>
      <c r="B25" s="6"/>
      <c r="C25" s="6"/>
      <c r="E25" s="12"/>
      <c r="F25" s="12"/>
      <c r="G25" s="7"/>
      <c r="H25" s="29"/>
      <c r="I25" s="29"/>
      <c r="J25" s="30"/>
      <c r="K25" s="28"/>
      <c r="L25" s="28"/>
      <c r="M25" s="7"/>
    </row>
  </sheetData>
  <mergeCells count="5"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M25"/>
  <sheetViews>
    <sheetView workbookViewId="0" topLeftCell="A7">
      <selection activeCell="A22" sqref="A22"/>
    </sheetView>
  </sheetViews>
  <sheetFormatPr defaultColWidth="9.140625" defaultRowHeight="12.75"/>
  <cols>
    <col min="1" max="1" width="16.421875" style="0" bestFit="1" customWidth="1"/>
    <col min="2" max="2" width="11.140625" style="0" bestFit="1" customWidth="1"/>
    <col min="5" max="5" width="11.140625" style="0" bestFit="1" customWidth="1"/>
    <col min="8" max="8" width="11.140625" style="0" bestFit="1" customWidth="1"/>
    <col min="11" max="11" width="11.140625" style="0" bestFit="1" customWidth="1"/>
  </cols>
  <sheetData>
    <row r="1" spans="1:13" ht="12.75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1"/>
      <c r="L1" s="121"/>
      <c r="M1" s="121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  <c r="M2" s="23"/>
    </row>
    <row r="3" spans="1:13" ht="12.75">
      <c r="A3" s="1"/>
      <c r="B3" s="123" t="s">
        <v>19</v>
      </c>
      <c r="C3" s="123"/>
      <c r="D3" s="123"/>
      <c r="E3" s="124" t="s">
        <v>20</v>
      </c>
      <c r="F3" s="125"/>
      <c r="G3" s="126"/>
      <c r="H3" s="127" t="s">
        <v>21</v>
      </c>
      <c r="I3" s="127"/>
      <c r="J3" s="128"/>
      <c r="K3" s="116" t="s">
        <v>33</v>
      </c>
      <c r="L3" s="117"/>
      <c r="M3" s="118"/>
    </row>
    <row r="4" spans="1:13" ht="12.75">
      <c r="A4" s="1" t="s">
        <v>0</v>
      </c>
      <c r="B4" s="4" t="s">
        <v>17</v>
      </c>
      <c r="C4" s="4" t="s">
        <v>18</v>
      </c>
      <c r="D4" s="17" t="s">
        <v>34</v>
      </c>
      <c r="E4" s="8" t="s">
        <v>17</v>
      </c>
      <c r="F4" s="8" t="s">
        <v>18</v>
      </c>
      <c r="G4" s="17" t="s">
        <v>34</v>
      </c>
      <c r="H4" s="47" t="s">
        <v>17</v>
      </c>
      <c r="I4" s="47" t="s">
        <v>18</v>
      </c>
      <c r="J4" s="56" t="s">
        <v>34</v>
      </c>
      <c r="K4" s="27" t="s">
        <v>17</v>
      </c>
      <c r="L4" s="20" t="s">
        <v>18</v>
      </c>
      <c r="M4" s="17" t="s">
        <v>34</v>
      </c>
    </row>
    <row r="5" spans="1:13" ht="12.75">
      <c r="A5" t="s">
        <v>1</v>
      </c>
      <c r="B5" s="3">
        <f>SUM(146+126+716+74)</f>
        <v>1062</v>
      </c>
      <c r="C5" s="3">
        <f>SUM(112,114,628,55)</f>
        <v>909</v>
      </c>
      <c r="D5" s="25">
        <f aca="true" t="shared" si="0" ref="D5:D23">(C5/B5)</f>
        <v>0.8559322033898306</v>
      </c>
      <c r="E5">
        <f>SUM(192+87+404+60)</f>
        <v>743</v>
      </c>
      <c r="F5">
        <f>SUM(60+355+75+175)</f>
        <v>665</v>
      </c>
      <c r="G5" s="25">
        <f aca="true" t="shared" si="1" ref="G5:G23">(F5/E5)</f>
        <v>0.8950201884253028</v>
      </c>
      <c r="H5" s="60"/>
      <c r="I5" s="60"/>
      <c r="J5" s="61"/>
      <c r="K5" s="14">
        <f aca="true" t="shared" si="2" ref="K5:K23">SUM(B5,E5,H5)</f>
        <v>1805</v>
      </c>
      <c r="L5" s="9">
        <f aca="true" t="shared" si="3" ref="L5:L23">SUM(C5,F5,I5)</f>
        <v>1574</v>
      </c>
      <c r="M5" s="25">
        <f aca="true" t="shared" si="4" ref="M5:M23">(L5/K5)</f>
        <v>0.87202216066482</v>
      </c>
    </row>
    <row r="6" spans="1:13" ht="12.75">
      <c r="A6" t="s">
        <v>2</v>
      </c>
      <c r="B6">
        <f>(10+204+99+92)</f>
        <v>405</v>
      </c>
      <c r="C6" s="3">
        <f>+(7+171+83+92)</f>
        <v>353</v>
      </c>
      <c r="D6" s="25">
        <f t="shared" si="0"/>
        <v>0.8716049382716049</v>
      </c>
      <c r="E6">
        <f>(15+62+220+1)</f>
        <v>298</v>
      </c>
      <c r="F6">
        <f>(1+194+56+14)</f>
        <v>265</v>
      </c>
      <c r="G6" s="25">
        <f t="shared" si="1"/>
        <v>0.889261744966443</v>
      </c>
      <c r="H6" s="62">
        <f>+(25+6+8+112)</f>
        <v>151</v>
      </c>
      <c r="I6" s="60">
        <f>+(93+5+4+19)</f>
        <v>121</v>
      </c>
      <c r="J6" s="63">
        <f>(I6/H6)</f>
        <v>0.8013245033112583</v>
      </c>
      <c r="K6" s="14">
        <f t="shared" si="2"/>
        <v>854</v>
      </c>
      <c r="L6" s="9">
        <f t="shared" si="3"/>
        <v>739</v>
      </c>
      <c r="M6" s="25">
        <f t="shared" si="4"/>
        <v>0.8653395784543325</v>
      </c>
    </row>
    <row r="7" spans="1:13" ht="12.75">
      <c r="A7" t="s">
        <v>3</v>
      </c>
      <c r="B7" s="3">
        <f>+(47+8+96+6)</f>
        <v>157</v>
      </c>
      <c r="C7" s="3">
        <f>(5+85+8+44)</f>
        <v>142</v>
      </c>
      <c r="D7" s="25">
        <f t="shared" si="0"/>
        <v>0.9044585987261147</v>
      </c>
      <c r="E7">
        <f>+(5+26+94+6)</f>
        <v>131</v>
      </c>
      <c r="F7">
        <f>(6+78+20+5)</f>
        <v>109</v>
      </c>
      <c r="G7" s="25">
        <f t="shared" si="1"/>
        <v>0.8320610687022901</v>
      </c>
      <c r="H7" s="60"/>
      <c r="I7" s="60"/>
      <c r="J7" s="63"/>
      <c r="K7" s="14">
        <f t="shared" si="2"/>
        <v>288</v>
      </c>
      <c r="L7" s="9">
        <f t="shared" si="3"/>
        <v>251</v>
      </c>
      <c r="M7" s="25">
        <f t="shared" si="4"/>
        <v>0.8715277777777778</v>
      </c>
    </row>
    <row r="8" spans="1:13" ht="12.75">
      <c r="A8" t="s">
        <v>4</v>
      </c>
      <c r="B8" s="3">
        <f>+(438+495+1438+447)</f>
        <v>2818</v>
      </c>
      <c r="C8" s="3">
        <f>(342+1180+395+387)</f>
        <v>2304</v>
      </c>
      <c r="D8" s="25">
        <f t="shared" si="0"/>
        <v>0.8176011355571328</v>
      </c>
      <c r="E8">
        <f>(79+140+670+85)</f>
        <v>974</v>
      </c>
      <c r="F8">
        <f>+(65+580+116+70)</f>
        <v>831</v>
      </c>
      <c r="G8" s="25">
        <f t="shared" si="1"/>
        <v>0.8531827515400411</v>
      </c>
      <c r="H8" s="60"/>
      <c r="I8" s="60"/>
      <c r="J8" s="63"/>
      <c r="K8" s="14">
        <f t="shared" si="2"/>
        <v>3792</v>
      </c>
      <c r="L8" s="9">
        <f t="shared" si="3"/>
        <v>3135</v>
      </c>
      <c r="M8" s="25">
        <f t="shared" si="4"/>
        <v>0.8267405063291139</v>
      </c>
    </row>
    <row r="9" spans="1:13" ht="12.75">
      <c r="A9" t="s">
        <v>5</v>
      </c>
      <c r="B9" s="3">
        <f>+(67+100+445+7)</f>
        <v>619</v>
      </c>
      <c r="C9" s="3">
        <f>(7+384+90+52)</f>
        <v>533</v>
      </c>
      <c r="D9" s="25">
        <f t="shared" si="0"/>
        <v>0.8610662358642972</v>
      </c>
      <c r="E9">
        <f>+(129+115+517+12)</f>
        <v>773</v>
      </c>
      <c r="F9">
        <f>+(8+441+101+107)</f>
        <v>657</v>
      </c>
      <c r="G9" s="25">
        <f t="shared" si="1"/>
        <v>0.8499353169469599</v>
      </c>
      <c r="H9" s="60"/>
      <c r="I9" s="60"/>
      <c r="J9" s="63"/>
      <c r="K9" s="14">
        <f t="shared" si="2"/>
        <v>1392</v>
      </c>
      <c r="L9" s="9">
        <f t="shared" si="3"/>
        <v>1190</v>
      </c>
      <c r="M9" s="25">
        <f t="shared" si="4"/>
        <v>0.8548850574712644</v>
      </c>
    </row>
    <row r="10" spans="1:13" ht="12.75">
      <c r="A10" t="s">
        <v>6</v>
      </c>
      <c r="B10" s="3">
        <f>+(201+246+394+42)</f>
        <v>883</v>
      </c>
      <c r="C10" s="3">
        <f>(38+351+234+188)</f>
        <v>811</v>
      </c>
      <c r="D10" s="25">
        <f t="shared" si="0"/>
        <v>0.9184597961494904</v>
      </c>
      <c r="E10">
        <f>(115+78+175+4)</f>
        <v>372</v>
      </c>
      <c r="F10">
        <f>(3+159+74+110)</f>
        <v>346</v>
      </c>
      <c r="G10" s="25">
        <f t="shared" si="1"/>
        <v>0.9301075268817204</v>
      </c>
      <c r="H10" s="60"/>
      <c r="I10" s="60"/>
      <c r="J10" s="63"/>
      <c r="K10" s="14">
        <f t="shared" si="2"/>
        <v>1255</v>
      </c>
      <c r="L10" s="9">
        <f t="shared" si="3"/>
        <v>1157</v>
      </c>
      <c r="M10" s="25">
        <f t="shared" si="4"/>
        <v>0.9219123505976096</v>
      </c>
    </row>
    <row r="11" spans="1:13" ht="12.75">
      <c r="A11" t="s">
        <v>7</v>
      </c>
      <c r="B11" s="3">
        <f>+(248+70+295+6)</f>
        <v>619</v>
      </c>
      <c r="C11" s="3">
        <f>(5+273+60+224)</f>
        <v>562</v>
      </c>
      <c r="D11" s="25">
        <f t="shared" si="0"/>
        <v>0.9079159935379645</v>
      </c>
      <c r="E11">
        <f>(272+56+417+44)</f>
        <v>789</v>
      </c>
      <c r="F11">
        <f>(36+369+52+250)</f>
        <v>707</v>
      </c>
      <c r="G11" s="25">
        <f t="shared" si="1"/>
        <v>0.8960709759188846</v>
      </c>
      <c r="H11" s="60">
        <v>22</v>
      </c>
      <c r="I11" s="60">
        <v>22</v>
      </c>
      <c r="J11" s="63">
        <f>(I11/H11)</f>
        <v>1</v>
      </c>
      <c r="K11" s="14">
        <f t="shared" si="2"/>
        <v>1430</v>
      </c>
      <c r="L11" s="9">
        <f t="shared" si="3"/>
        <v>1291</v>
      </c>
      <c r="M11" s="25">
        <f t="shared" si="4"/>
        <v>0.9027972027972028</v>
      </c>
    </row>
    <row r="12" spans="1:13" ht="12.75">
      <c r="A12" t="s">
        <v>8</v>
      </c>
      <c r="B12" s="3">
        <f>+(162+162+463+18)</f>
        <v>805</v>
      </c>
      <c r="C12" s="3">
        <f>+(14+411+145+146)</f>
        <v>716</v>
      </c>
      <c r="D12" s="25">
        <f t="shared" si="0"/>
        <v>0.8894409937888199</v>
      </c>
      <c r="E12">
        <f>(112+39+408+35)</f>
        <v>594</v>
      </c>
      <c r="F12">
        <f>+(28+359+28+93)</f>
        <v>508</v>
      </c>
      <c r="G12" s="25">
        <f t="shared" si="1"/>
        <v>0.8552188552188552</v>
      </c>
      <c r="H12" s="60"/>
      <c r="I12" s="60"/>
      <c r="J12" s="63"/>
      <c r="K12" s="14">
        <f t="shared" si="2"/>
        <v>1399</v>
      </c>
      <c r="L12" s="9">
        <f t="shared" si="3"/>
        <v>1224</v>
      </c>
      <c r="M12" s="25">
        <f t="shared" si="4"/>
        <v>0.8749106504646176</v>
      </c>
    </row>
    <row r="13" spans="1:13" ht="12.75">
      <c r="A13" t="s">
        <v>9</v>
      </c>
      <c r="B13" s="3">
        <f>+(206+323+18+271)</f>
        <v>818</v>
      </c>
      <c r="C13" s="3">
        <f>+(157+255+278+13)</f>
        <v>703</v>
      </c>
      <c r="D13" s="25">
        <f t="shared" si="0"/>
        <v>0.8594132029339854</v>
      </c>
      <c r="E13">
        <f>(3+136+119+64)</f>
        <v>322</v>
      </c>
      <c r="F13">
        <f>(54+106+121+3)</f>
        <v>284</v>
      </c>
      <c r="G13" s="25">
        <f t="shared" si="1"/>
        <v>0.8819875776397516</v>
      </c>
      <c r="H13" s="60"/>
      <c r="I13" s="60"/>
      <c r="J13" s="63"/>
      <c r="K13" s="14">
        <f t="shared" si="2"/>
        <v>1140</v>
      </c>
      <c r="L13" s="9">
        <f t="shared" si="3"/>
        <v>987</v>
      </c>
      <c r="M13" s="25">
        <f t="shared" si="4"/>
        <v>0.8657894736842106</v>
      </c>
    </row>
    <row r="14" spans="1:13" ht="12.75">
      <c r="A14" t="s">
        <v>10</v>
      </c>
      <c r="B14" s="3">
        <f>(12+919+556+59)</f>
        <v>1546</v>
      </c>
      <c r="C14" s="3">
        <f>(49+522+805+8)</f>
        <v>1384</v>
      </c>
      <c r="D14" s="25">
        <f t="shared" si="0"/>
        <v>0.8952134540750324</v>
      </c>
      <c r="E14">
        <f>(8+473+230+70)</f>
        <v>781</v>
      </c>
      <c r="F14">
        <f>(68+211+424+7)</f>
        <v>710</v>
      </c>
      <c r="G14" s="25">
        <f t="shared" si="1"/>
        <v>0.9090909090909091</v>
      </c>
      <c r="H14" s="60">
        <f>+(3+88+16+50)</f>
        <v>157</v>
      </c>
      <c r="I14" s="60">
        <f>+(37+13+77+3)</f>
        <v>130</v>
      </c>
      <c r="J14" s="63">
        <f>(I14/H14)</f>
        <v>0.8280254777070064</v>
      </c>
      <c r="K14" s="14">
        <f t="shared" si="2"/>
        <v>2484</v>
      </c>
      <c r="L14" s="9">
        <f t="shared" si="3"/>
        <v>2224</v>
      </c>
      <c r="M14" s="25">
        <f t="shared" si="4"/>
        <v>0.895330112721417</v>
      </c>
    </row>
    <row r="15" spans="1:13" ht="12.75">
      <c r="A15" t="s">
        <v>11</v>
      </c>
      <c r="B15" s="3">
        <f>(11+266+214+175)</f>
        <v>666</v>
      </c>
      <c r="C15" s="3">
        <f>+(146+194+217+8)</f>
        <v>565</v>
      </c>
      <c r="D15" s="25">
        <f t="shared" si="0"/>
        <v>0.8483483483483484</v>
      </c>
      <c r="E15">
        <f>(11+281+83+16)</f>
        <v>391</v>
      </c>
      <c r="F15">
        <f>(12+73+229+8)</f>
        <v>322</v>
      </c>
      <c r="G15" s="25">
        <f t="shared" si="1"/>
        <v>0.8235294117647058</v>
      </c>
      <c r="H15" s="60"/>
      <c r="I15" s="60"/>
      <c r="J15" s="63"/>
      <c r="K15" s="14">
        <f t="shared" si="2"/>
        <v>1057</v>
      </c>
      <c r="L15" s="9">
        <f t="shared" si="3"/>
        <v>887</v>
      </c>
      <c r="M15" s="25">
        <f t="shared" si="4"/>
        <v>0.8391674550614948</v>
      </c>
    </row>
    <row r="16" spans="1:13" ht="12.75">
      <c r="A16" t="s">
        <v>12</v>
      </c>
      <c r="B16" s="3">
        <f>(191+333+259+31)</f>
        <v>814</v>
      </c>
      <c r="C16" s="3">
        <f>+(28+237+306+169)</f>
        <v>740</v>
      </c>
      <c r="D16" s="25">
        <f t="shared" si="0"/>
        <v>0.9090909090909091</v>
      </c>
      <c r="E16">
        <f>(98+176+137+8)</f>
        <v>419</v>
      </c>
      <c r="F16">
        <f>+(7+110+162+87)</f>
        <v>366</v>
      </c>
      <c r="G16" s="25">
        <f t="shared" si="1"/>
        <v>0.8735083532219571</v>
      </c>
      <c r="H16" s="60"/>
      <c r="I16" s="60"/>
      <c r="J16" s="63"/>
      <c r="K16" s="14">
        <f t="shared" si="2"/>
        <v>1233</v>
      </c>
      <c r="L16" s="9">
        <f t="shared" si="3"/>
        <v>1106</v>
      </c>
      <c r="M16" s="25">
        <f t="shared" si="4"/>
        <v>0.8969991889699919</v>
      </c>
    </row>
    <row r="17" spans="1:13" ht="12.75">
      <c r="A17" t="s">
        <v>13</v>
      </c>
      <c r="B17" s="3">
        <f>(76+345+333+8)</f>
        <v>762</v>
      </c>
      <c r="C17" s="3">
        <f>(69+326+299+5)</f>
        <v>699</v>
      </c>
      <c r="D17" s="25">
        <f t="shared" si="0"/>
        <v>0.9173228346456693</v>
      </c>
      <c r="E17">
        <f>(3+397+187+255)</f>
        <v>842</v>
      </c>
      <c r="F17">
        <f>(255+173+340+2)</f>
        <v>770</v>
      </c>
      <c r="G17" s="25">
        <f t="shared" si="1"/>
        <v>0.9144893111638955</v>
      </c>
      <c r="H17" s="60">
        <f>(15+21+3)</f>
        <v>39</v>
      </c>
      <c r="I17" s="60">
        <f>+(3+21+14)</f>
        <v>38</v>
      </c>
      <c r="J17" s="63">
        <f>(I17/H17)</f>
        <v>0.9743589743589743</v>
      </c>
      <c r="K17" s="14">
        <f t="shared" si="2"/>
        <v>1643</v>
      </c>
      <c r="L17" s="9">
        <f t="shared" si="3"/>
        <v>1507</v>
      </c>
      <c r="M17" s="25">
        <f t="shared" si="4"/>
        <v>0.9172245891661595</v>
      </c>
    </row>
    <row r="18" spans="1:13" ht="12.75">
      <c r="A18" t="s">
        <v>14</v>
      </c>
      <c r="B18" s="3">
        <f>(71+1332+591+743)</f>
        <v>2737</v>
      </c>
      <c r="C18" s="3">
        <f>(631+527+1170+64)</f>
        <v>2392</v>
      </c>
      <c r="D18" s="25">
        <f t="shared" si="0"/>
        <v>0.8739495798319328</v>
      </c>
      <c r="E18" s="3">
        <f>(30+843+253+652)</f>
        <v>1778</v>
      </c>
      <c r="F18">
        <f>(571+225+770+26)</f>
        <v>1592</v>
      </c>
      <c r="G18" s="25">
        <f t="shared" si="1"/>
        <v>0.8953880764904387</v>
      </c>
      <c r="H18" s="60">
        <f>(21+81+9+37)</f>
        <v>148</v>
      </c>
      <c r="I18" s="60">
        <f>(33+7+71+21)</f>
        <v>132</v>
      </c>
      <c r="J18" s="63">
        <f>(I18/H18)</f>
        <v>0.8918918918918919</v>
      </c>
      <c r="K18" s="14">
        <f t="shared" si="2"/>
        <v>4663</v>
      </c>
      <c r="L18" s="9">
        <f t="shared" si="3"/>
        <v>4116</v>
      </c>
      <c r="M18" s="25">
        <f t="shared" si="4"/>
        <v>0.8826935449281579</v>
      </c>
    </row>
    <row r="19" spans="1:13" ht="12.75">
      <c r="A19" t="s">
        <v>15</v>
      </c>
      <c r="B19" s="3">
        <f>(33+551+229+112)</f>
        <v>925</v>
      </c>
      <c r="C19" s="3">
        <f>(97+209+459+25)</f>
        <v>790</v>
      </c>
      <c r="D19" s="25">
        <f t="shared" si="0"/>
        <v>0.8540540540540541</v>
      </c>
      <c r="E19">
        <f>(39+458+87+54)</f>
        <v>638</v>
      </c>
      <c r="F19">
        <f>(50+70+371+30)</f>
        <v>521</v>
      </c>
      <c r="G19" s="25">
        <f t="shared" si="1"/>
        <v>0.8166144200626959</v>
      </c>
      <c r="H19" s="60">
        <f>(14+105+75+33)</f>
        <v>227</v>
      </c>
      <c r="I19" s="60">
        <f>(24+71+94+13)</f>
        <v>202</v>
      </c>
      <c r="J19" s="63">
        <f>(I19/H19)</f>
        <v>0.8898678414096917</v>
      </c>
      <c r="K19" s="14">
        <f t="shared" si="2"/>
        <v>1790</v>
      </c>
      <c r="L19" s="9">
        <f t="shared" si="3"/>
        <v>1513</v>
      </c>
      <c r="M19" s="25">
        <f t="shared" si="4"/>
        <v>0.8452513966480447</v>
      </c>
    </row>
    <row r="20" spans="1:13" ht="12.75">
      <c r="A20" t="s">
        <v>16</v>
      </c>
      <c r="B20" s="3">
        <f>(4+283+63+9)</f>
        <v>359</v>
      </c>
      <c r="C20" s="3">
        <f>(8+55+242+2)</f>
        <v>307</v>
      </c>
      <c r="D20" s="25">
        <f t="shared" si="0"/>
        <v>0.8551532033426184</v>
      </c>
      <c r="E20">
        <f>(5+194+40+10)</f>
        <v>249</v>
      </c>
      <c r="F20">
        <f>(9+36+174+3)</f>
        <v>222</v>
      </c>
      <c r="G20" s="25">
        <f t="shared" si="1"/>
        <v>0.891566265060241</v>
      </c>
      <c r="H20" s="60"/>
      <c r="I20" s="60"/>
      <c r="J20" s="63"/>
      <c r="K20" s="14">
        <f t="shared" si="2"/>
        <v>608</v>
      </c>
      <c r="L20" s="9">
        <f t="shared" si="3"/>
        <v>529</v>
      </c>
      <c r="M20" s="25">
        <f t="shared" si="4"/>
        <v>0.8700657894736842</v>
      </c>
    </row>
    <row r="21" spans="1:13" ht="12.75">
      <c r="A21" s="1" t="s">
        <v>22</v>
      </c>
      <c r="B21" s="5">
        <f>SUM(B5:B20)</f>
        <v>15995</v>
      </c>
      <c r="C21" s="5">
        <f>SUM(C5:C20)</f>
        <v>13910</v>
      </c>
      <c r="D21" s="26">
        <f t="shared" si="0"/>
        <v>0.8696467646139419</v>
      </c>
      <c r="E21" s="5">
        <f>SUM(E5:E20)</f>
        <v>10094</v>
      </c>
      <c r="F21" s="5">
        <f>SUM(F5:F20)</f>
        <v>8875</v>
      </c>
      <c r="G21" s="26">
        <f t="shared" si="1"/>
        <v>0.8792351892213196</v>
      </c>
      <c r="H21" s="64">
        <f>SUM(H5:H20)</f>
        <v>744</v>
      </c>
      <c r="I21" s="64">
        <f>SUM(I5:I20)</f>
        <v>645</v>
      </c>
      <c r="J21" s="63">
        <f>(I21/H21)</f>
        <v>0.8669354838709677</v>
      </c>
      <c r="K21" s="15">
        <f t="shared" si="2"/>
        <v>26833</v>
      </c>
      <c r="L21" s="11">
        <f t="shared" si="3"/>
        <v>23430</v>
      </c>
      <c r="M21" s="26">
        <f t="shared" si="4"/>
        <v>0.8731785488018484</v>
      </c>
    </row>
    <row r="22" spans="1:13" ht="12.75">
      <c r="A22" s="1" t="s">
        <v>23</v>
      </c>
      <c r="B22" s="3">
        <f>(7717+8589+23408+2668)-B21</f>
        <v>26387</v>
      </c>
      <c r="C22" s="3">
        <f>(2094+20346+7624+6661)-C21</f>
        <v>22815</v>
      </c>
      <c r="D22" s="25">
        <f t="shared" si="0"/>
        <v>0.8646303103801114</v>
      </c>
      <c r="E22" s="3">
        <f>(4912+4113+15411+1385)-E21</f>
        <v>15727</v>
      </c>
      <c r="F22" s="3">
        <f>(1076+13368+3646+4302)-F21</f>
        <v>13517</v>
      </c>
      <c r="G22" s="25">
        <f t="shared" si="1"/>
        <v>0.859477331976855</v>
      </c>
      <c r="H22" s="62">
        <f>(552+336+1336+201)-H21</f>
        <v>1681</v>
      </c>
      <c r="I22" s="62">
        <f>(170+1159+293+471)-I21</f>
        <v>1448</v>
      </c>
      <c r="J22" s="63">
        <f>(I22/H22)</f>
        <v>0.8613920285544319</v>
      </c>
      <c r="K22" s="14">
        <f t="shared" si="2"/>
        <v>43795</v>
      </c>
      <c r="L22" s="9">
        <f t="shared" si="3"/>
        <v>37780</v>
      </c>
      <c r="M22" s="25">
        <f t="shared" si="4"/>
        <v>0.862655554287019</v>
      </c>
    </row>
    <row r="23" spans="1:13" ht="12.75">
      <c r="A23" s="1" t="s">
        <v>24</v>
      </c>
      <c r="B23" s="3">
        <f>(7717+8589+23408+2668)</f>
        <v>42382</v>
      </c>
      <c r="C23" s="3">
        <f>(2094+20346+7624+6661)</f>
        <v>36725</v>
      </c>
      <c r="D23" s="25">
        <f t="shared" si="0"/>
        <v>0.8665235241376056</v>
      </c>
      <c r="E23" s="3">
        <f>SUM(E21:E22)</f>
        <v>25821</v>
      </c>
      <c r="F23" s="3">
        <f>SUM(F21:F22)</f>
        <v>22392</v>
      </c>
      <c r="G23" s="25">
        <f t="shared" si="1"/>
        <v>0.8672011153712095</v>
      </c>
      <c r="H23" s="62">
        <f>SUM(H21:H22)</f>
        <v>2425</v>
      </c>
      <c r="I23" s="62">
        <f>SUM(I21:I22)</f>
        <v>2093</v>
      </c>
      <c r="J23" s="63">
        <f>(I23/H23)</f>
        <v>0.8630927835051546</v>
      </c>
      <c r="K23" s="14">
        <f t="shared" si="2"/>
        <v>70628</v>
      </c>
      <c r="L23" s="9">
        <f t="shared" si="3"/>
        <v>61210</v>
      </c>
      <c r="M23" s="25">
        <f t="shared" si="4"/>
        <v>0.8666534518887693</v>
      </c>
    </row>
    <row r="24" spans="1:13" ht="13.5" thickBot="1">
      <c r="A24" s="31" t="s">
        <v>26</v>
      </c>
      <c r="B24" s="37">
        <f>(B21/B23)</f>
        <v>0.3774007833514228</v>
      </c>
      <c r="C24" s="37">
        <f>(C21/C23)</f>
        <v>0.3787610619469027</v>
      </c>
      <c r="D24" s="38"/>
      <c r="E24" s="37">
        <f>(E21/E23)</f>
        <v>0.39092211765617135</v>
      </c>
      <c r="F24" s="37">
        <f>(F21/F23)</f>
        <v>0.3963469096105752</v>
      </c>
      <c r="G24" s="35"/>
      <c r="H24" s="65">
        <f>(H21/H23)</f>
        <v>0.3068041237113402</v>
      </c>
      <c r="I24" s="65">
        <f>(I21/I23)</f>
        <v>0.30817009077878643</v>
      </c>
      <c r="J24" s="66"/>
      <c r="K24" s="36">
        <f>(K21/K23)</f>
        <v>0.37992014498499177</v>
      </c>
      <c r="L24" s="37">
        <f>(L21/L23)</f>
        <v>0.3827805914066329</v>
      </c>
      <c r="M24" s="35"/>
    </row>
    <row r="25" ht="12.75">
      <c r="A25" s="1" t="s">
        <v>35</v>
      </c>
    </row>
  </sheetData>
  <mergeCells count="5">
    <mergeCell ref="B3:D3"/>
    <mergeCell ref="E3:G3"/>
    <mergeCell ref="H3:J3"/>
    <mergeCell ref="A1:M1"/>
    <mergeCell ref="K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M25"/>
  <sheetViews>
    <sheetView workbookViewId="0" topLeftCell="A1">
      <selection activeCell="A22" sqref="A22"/>
    </sheetView>
  </sheetViews>
  <sheetFormatPr defaultColWidth="9.140625" defaultRowHeight="12.75"/>
  <cols>
    <col min="1" max="1" width="16.421875" style="0" bestFit="1" customWidth="1"/>
    <col min="2" max="2" width="11.140625" style="0" bestFit="1" customWidth="1"/>
    <col min="5" max="5" width="11.140625" style="0" bestFit="1" customWidth="1"/>
    <col min="8" max="8" width="11.140625" style="0" bestFit="1" customWidth="1"/>
    <col min="11" max="11" width="11.140625" style="0" bestFit="1" customWidth="1"/>
  </cols>
  <sheetData>
    <row r="1" spans="1:13" ht="12.75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1"/>
      <c r="L1" s="121"/>
      <c r="M1" s="121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  <c r="M2" s="23"/>
    </row>
    <row r="3" spans="1:13" ht="12.75">
      <c r="A3" s="1"/>
      <c r="B3" s="123" t="s">
        <v>19</v>
      </c>
      <c r="C3" s="123"/>
      <c r="D3" s="123"/>
      <c r="E3" s="124" t="s">
        <v>20</v>
      </c>
      <c r="F3" s="125"/>
      <c r="G3" s="126"/>
      <c r="H3" s="130" t="s">
        <v>21</v>
      </c>
      <c r="I3" s="127"/>
      <c r="J3" s="128"/>
      <c r="K3" s="116" t="s">
        <v>33</v>
      </c>
      <c r="L3" s="117"/>
      <c r="M3" s="118"/>
    </row>
    <row r="4" spans="1:13" ht="12.75">
      <c r="A4" s="1" t="s">
        <v>0</v>
      </c>
      <c r="B4" s="4" t="s">
        <v>17</v>
      </c>
      <c r="C4" s="4" t="s">
        <v>18</v>
      </c>
      <c r="D4" s="42" t="s">
        <v>34</v>
      </c>
      <c r="E4" s="13" t="s">
        <v>17</v>
      </c>
      <c r="F4" s="8" t="s">
        <v>18</v>
      </c>
      <c r="G4" s="17" t="s">
        <v>34</v>
      </c>
      <c r="H4" s="46" t="s">
        <v>17</v>
      </c>
      <c r="I4" s="47" t="s">
        <v>18</v>
      </c>
      <c r="J4" s="56" t="s">
        <v>34</v>
      </c>
      <c r="K4" s="27" t="s">
        <v>17</v>
      </c>
      <c r="L4" s="20" t="s">
        <v>18</v>
      </c>
      <c r="M4" s="17" t="s">
        <v>34</v>
      </c>
    </row>
    <row r="5" spans="1:13" ht="12.75">
      <c r="A5" t="s">
        <v>1</v>
      </c>
      <c r="B5" s="3">
        <v>1078</v>
      </c>
      <c r="C5" s="3">
        <v>901</v>
      </c>
      <c r="D5" s="43">
        <f aca="true" t="shared" si="0" ref="D5:D23">C5/B5</f>
        <v>0.8358070500927643</v>
      </c>
      <c r="E5" s="14">
        <v>631</v>
      </c>
      <c r="F5" s="44">
        <v>567</v>
      </c>
      <c r="G5" s="25">
        <f aca="true" t="shared" si="1" ref="G5:G23">F5/E5</f>
        <v>0.8985736925515055</v>
      </c>
      <c r="H5" s="49">
        <v>0</v>
      </c>
      <c r="I5" s="50"/>
      <c r="J5" s="61"/>
      <c r="K5" s="14">
        <v>1720</v>
      </c>
      <c r="L5" s="9">
        <v>1476</v>
      </c>
      <c r="M5" s="25">
        <f aca="true" t="shared" si="2" ref="M5:M23">L5/K5</f>
        <v>0.858139534883721</v>
      </c>
    </row>
    <row r="6" spans="1:13" ht="12.75">
      <c r="A6" t="s">
        <v>2</v>
      </c>
      <c r="B6" s="3">
        <v>449</v>
      </c>
      <c r="C6" s="3">
        <v>395</v>
      </c>
      <c r="D6" s="43">
        <f t="shared" si="0"/>
        <v>0.8797327394209354</v>
      </c>
      <c r="E6" s="14">
        <v>318</v>
      </c>
      <c r="F6" s="44">
        <v>284</v>
      </c>
      <c r="G6" s="25">
        <f t="shared" si="1"/>
        <v>0.8930817610062893</v>
      </c>
      <c r="H6" s="49">
        <v>182</v>
      </c>
      <c r="I6" s="50">
        <v>155</v>
      </c>
      <c r="J6" s="63">
        <f>I6/H6</f>
        <v>0.8516483516483516</v>
      </c>
      <c r="K6" s="14">
        <v>949</v>
      </c>
      <c r="L6" s="44">
        <v>834</v>
      </c>
      <c r="M6" s="25">
        <f t="shared" si="2"/>
        <v>0.8788198103266597</v>
      </c>
    </row>
    <row r="7" spans="1:13" ht="12.75">
      <c r="A7" t="s">
        <v>3</v>
      </c>
      <c r="B7" s="3">
        <v>149</v>
      </c>
      <c r="C7" s="3">
        <v>120</v>
      </c>
      <c r="D7" s="43">
        <f t="shared" si="0"/>
        <v>0.8053691275167785</v>
      </c>
      <c r="E7" s="14">
        <v>138</v>
      </c>
      <c r="F7" s="44">
        <v>108</v>
      </c>
      <c r="G7" s="25">
        <f t="shared" si="1"/>
        <v>0.782608695652174</v>
      </c>
      <c r="H7" s="49">
        <v>15</v>
      </c>
      <c r="I7" s="50">
        <v>15</v>
      </c>
      <c r="J7" s="63">
        <f>I7/H7</f>
        <v>1</v>
      </c>
      <c r="K7" s="14">
        <v>302</v>
      </c>
      <c r="L7" s="44">
        <v>243</v>
      </c>
      <c r="M7" s="25">
        <f t="shared" si="2"/>
        <v>0.804635761589404</v>
      </c>
    </row>
    <row r="8" spans="1:13" ht="12.75">
      <c r="A8" t="s">
        <v>4</v>
      </c>
      <c r="B8" s="3">
        <v>3351</v>
      </c>
      <c r="C8" s="3">
        <v>2729</v>
      </c>
      <c r="D8" s="43">
        <f t="shared" si="0"/>
        <v>0.8143837660399881</v>
      </c>
      <c r="E8" s="14">
        <v>1016</v>
      </c>
      <c r="F8" s="44">
        <v>862</v>
      </c>
      <c r="G8" s="25">
        <f t="shared" si="1"/>
        <v>0.8484251968503937</v>
      </c>
      <c r="H8" s="49">
        <v>0</v>
      </c>
      <c r="I8" s="50"/>
      <c r="J8" s="63"/>
      <c r="K8" s="14">
        <v>4373</v>
      </c>
      <c r="L8" s="44">
        <v>3595</v>
      </c>
      <c r="M8" s="25">
        <f t="shared" si="2"/>
        <v>0.8220900983306655</v>
      </c>
    </row>
    <row r="9" spans="1:13" ht="12.75">
      <c r="A9" t="s">
        <v>5</v>
      </c>
      <c r="B9" s="3">
        <v>744</v>
      </c>
      <c r="C9" s="3">
        <v>670</v>
      </c>
      <c r="D9" s="43">
        <f t="shared" si="0"/>
        <v>0.9005376344086021</v>
      </c>
      <c r="E9" s="14">
        <v>781</v>
      </c>
      <c r="F9" s="44">
        <v>669</v>
      </c>
      <c r="G9" s="25">
        <f t="shared" si="1"/>
        <v>0.8565941101152369</v>
      </c>
      <c r="H9" s="49">
        <v>0</v>
      </c>
      <c r="I9" s="50"/>
      <c r="J9" s="63"/>
      <c r="K9" s="14">
        <v>1526</v>
      </c>
      <c r="L9" s="44">
        <v>1340</v>
      </c>
      <c r="M9" s="25">
        <f t="shared" si="2"/>
        <v>0.8781127129750983</v>
      </c>
    </row>
    <row r="10" spans="1:13" ht="12.75">
      <c r="A10" t="s">
        <v>6</v>
      </c>
      <c r="B10" s="3">
        <v>1075</v>
      </c>
      <c r="C10" s="3">
        <v>987</v>
      </c>
      <c r="D10" s="43">
        <f t="shared" si="0"/>
        <v>0.9181395348837209</v>
      </c>
      <c r="E10" s="14">
        <v>342</v>
      </c>
      <c r="F10" s="44">
        <v>302</v>
      </c>
      <c r="G10" s="25">
        <f t="shared" si="1"/>
        <v>0.8830409356725146</v>
      </c>
      <c r="H10" s="49">
        <v>0</v>
      </c>
      <c r="I10" s="50"/>
      <c r="J10" s="63"/>
      <c r="K10" s="14">
        <v>1418</v>
      </c>
      <c r="L10" s="44">
        <v>1289</v>
      </c>
      <c r="M10" s="25">
        <f t="shared" si="2"/>
        <v>0.9090267983074753</v>
      </c>
    </row>
    <row r="11" spans="1:13" ht="12.75">
      <c r="A11" t="s">
        <v>7</v>
      </c>
      <c r="B11" s="3">
        <v>633</v>
      </c>
      <c r="C11" s="3">
        <v>572</v>
      </c>
      <c r="D11" s="43">
        <f t="shared" si="0"/>
        <v>0.9036334913112164</v>
      </c>
      <c r="E11" s="14">
        <v>692</v>
      </c>
      <c r="F11" s="44">
        <v>619</v>
      </c>
      <c r="G11" s="25">
        <f t="shared" si="1"/>
        <v>0.8945086705202312</v>
      </c>
      <c r="H11" s="49">
        <v>22</v>
      </c>
      <c r="I11" s="50">
        <v>22</v>
      </c>
      <c r="J11" s="63">
        <f>I11/H11</f>
        <v>1</v>
      </c>
      <c r="K11" s="14">
        <v>1347</v>
      </c>
      <c r="L11" s="44">
        <v>1213</v>
      </c>
      <c r="M11" s="25">
        <f t="shared" si="2"/>
        <v>0.9005196733481812</v>
      </c>
    </row>
    <row r="12" spans="1:13" ht="12.75">
      <c r="A12" t="s">
        <v>8</v>
      </c>
      <c r="B12" s="3">
        <v>828</v>
      </c>
      <c r="C12" s="3">
        <v>741</v>
      </c>
      <c r="D12" s="43">
        <f t="shared" si="0"/>
        <v>0.894927536231884</v>
      </c>
      <c r="E12" s="14">
        <v>615</v>
      </c>
      <c r="F12" s="44">
        <v>544</v>
      </c>
      <c r="G12" s="25">
        <f t="shared" si="1"/>
        <v>0.8845528455284553</v>
      </c>
      <c r="H12" s="49">
        <v>0</v>
      </c>
      <c r="I12" s="50"/>
      <c r="J12" s="63"/>
      <c r="K12" s="14">
        <v>1443</v>
      </c>
      <c r="L12" s="44">
        <v>1285</v>
      </c>
      <c r="M12" s="25">
        <f t="shared" si="2"/>
        <v>0.8905058905058905</v>
      </c>
    </row>
    <row r="13" spans="1:13" ht="12.75">
      <c r="A13" t="s">
        <v>9</v>
      </c>
      <c r="B13" s="3">
        <v>783</v>
      </c>
      <c r="C13" s="3">
        <v>679</v>
      </c>
      <c r="D13" s="43">
        <f t="shared" si="0"/>
        <v>0.8671775223499362</v>
      </c>
      <c r="E13" s="14">
        <v>307</v>
      </c>
      <c r="F13" s="44">
        <v>267</v>
      </c>
      <c r="G13" s="25">
        <f t="shared" si="1"/>
        <v>0.8697068403908795</v>
      </c>
      <c r="H13" s="49">
        <v>0</v>
      </c>
      <c r="I13" s="50"/>
      <c r="J13" s="63"/>
      <c r="K13" s="14">
        <v>1092</v>
      </c>
      <c r="L13" s="44">
        <v>946</v>
      </c>
      <c r="M13" s="25">
        <f t="shared" si="2"/>
        <v>0.8663003663003663</v>
      </c>
    </row>
    <row r="14" spans="1:13" ht="12.75">
      <c r="A14" t="s">
        <v>10</v>
      </c>
      <c r="B14" s="3">
        <v>1743</v>
      </c>
      <c r="C14" s="3">
        <v>1586</v>
      </c>
      <c r="D14" s="43">
        <f t="shared" si="0"/>
        <v>0.9099254159495124</v>
      </c>
      <c r="E14" s="14">
        <v>736</v>
      </c>
      <c r="F14" s="44">
        <v>638</v>
      </c>
      <c r="G14" s="25">
        <f t="shared" si="1"/>
        <v>0.8668478260869565</v>
      </c>
      <c r="H14" s="49">
        <v>136</v>
      </c>
      <c r="I14" s="50">
        <v>123</v>
      </c>
      <c r="J14" s="63">
        <f>I14/H14</f>
        <v>0.9044117647058824</v>
      </c>
      <c r="K14" s="14">
        <v>2616</v>
      </c>
      <c r="L14" s="44">
        <v>2348</v>
      </c>
      <c r="M14" s="25">
        <f t="shared" si="2"/>
        <v>0.8975535168195719</v>
      </c>
    </row>
    <row r="15" spans="1:13" ht="12.75">
      <c r="A15" t="s">
        <v>11</v>
      </c>
      <c r="B15" s="3">
        <v>735</v>
      </c>
      <c r="C15" s="3">
        <v>648</v>
      </c>
      <c r="D15" s="43">
        <f t="shared" si="0"/>
        <v>0.8816326530612245</v>
      </c>
      <c r="E15" s="14">
        <v>386</v>
      </c>
      <c r="F15" s="44">
        <v>320</v>
      </c>
      <c r="G15" s="25">
        <f t="shared" si="1"/>
        <v>0.8290155440414507</v>
      </c>
      <c r="H15" s="49">
        <v>0</v>
      </c>
      <c r="I15" s="50"/>
      <c r="J15" s="63"/>
      <c r="K15" s="14">
        <v>1122</v>
      </c>
      <c r="L15" s="44">
        <v>969</v>
      </c>
      <c r="M15" s="25">
        <f t="shared" si="2"/>
        <v>0.8636363636363636</v>
      </c>
    </row>
    <row r="16" spans="1:13" ht="12.75">
      <c r="A16" t="s">
        <v>12</v>
      </c>
      <c r="B16" s="3">
        <v>924</v>
      </c>
      <c r="C16" s="3">
        <v>843</v>
      </c>
      <c r="D16" s="43">
        <f t="shared" si="0"/>
        <v>0.9123376623376623</v>
      </c>
      <c r="E16" s="14">
        <v>380</v>
      </c>
      <c r="F16" s="44">
        <v>327</v>
      </c>
      <c r="G16" s="25">
        <f t="shared" si="1"/>
        <v>0.8605263157894737</v>
      </c>
      <c r="H16" s="49">
        <v>0</v>
      </c>
      <c r="I16" s="50"/>
      <c r="J16" s="63"/>
      <c r="K16" s="14">
        <v>1309</v>
      </c>
      <c r="L16" s="44">
        <v>1173</v>
      </c>
      <c r="M16" s="25">
        <f t="shared" si="2"/>
        <v>0.8961038961038961</v>
      </c>
    </row>
    <row r="17" spans="1:13" ht="12.75">
      <c r="A17" t="s">
        <v>13</v>
      </c>
      <c r="B17" s="3">
        <v>868</v>
      </c>
      <c r="C17" s="3">
        <v>791</v>
      </c>
      <c r="D17" s="43">
        <f t="shared" si="0"/>
        <v>0.9112903225806451</v>
      </c>
      <c r="E17" s="14">
        <v>811</v>
      </c>
      <c r="F17" s="44">
        <v>744</v>
      </c>
      <c r="G17" s="25">
        <f t="shared" si="1"/>
        <v>0.9173859432799013</v>
      </c>
      <c r="H17" s="49">
        <v>30</v>
      </c>
      <c r="I17" s="50">
        <v>30</v>
      </c>
      <c r="J17" s="63">
        <f>I17/H17</f>
        <v>1</v>
      </c>
      <c r="K17" s="14">
        <v>1709</v>
      </c>
      <c r="L17" s="44">
        <v>1565</v>
      </c>
      <c r="M17" s="25">
        <f t="shared" si="2"/>
        <v>0.9157401989467525</v>
      </c>
    </row>
    <row r="18" spans="1:13" ht="12.75">
      <c r="A18" t="s">
        <v>14</v>
      </c>
      <c r="B18" s="3">
        <v>3228</v>
      </c>
      <c r="C18" s="3">
        <v>2900</v>
      </c>
      <c r="D18" s="43">
        <f t="shared" si="0"/>
        <v>0.8983890954151177</v>
      </c>
      <c r="E18" s="14">
        <v>1892</v>
      </c>
      <c r="F18" s="44">
        <v>1732</v>
      </c>
      <c r="G18" s="25">
        <f t="shared" si="1"/>
        <v>0.9154334038054969</v>
      </c>
      <c r="H18" s="49">
        <v>133</v>
      </c>
      <c r="I18" s="50">
        <v>125</v>
      </c>
      <c r="J18" s="63">
        <f>I18/H18</f>
        <v>0.9398496240601504</v>
      </c>
      <c r="K18" s="14">
        <v>5254</v>
      </c>
      <c r="L18" s="44">
        <v>4758</v>
      </c>
      <c r="M18" s="25">
        <f t="shared" si="2"/>
        <v>0.905595736581652</v>
      </c>
    </row>
    <row r="19" spans="1:13" ht="12.75">
      <c r="A19" t="s">
        <v>15</v>
      </c>
      <c r="B19" s="3">
        <v>1015</v>
      </c>
      <c r="C19" s="3">
        <v>874</v>
      </c>
      <c r="D19" s="43">
        <f t="shared" si="0"/>
        <v>0.8610837438423645</v>
      </c>
      <c r="E19" s="14">
        <v>657</v>
      </c>
      <c r="F19" s="44">
        <v>548</v>
      </c>
      <c r="G19" s="25">
        <f t="shared" si="1"/>
        <v>0.8340943683409436</v>
      </c>
      <c r="H19" s="49">
        <v>287</v>
      </c>
      <c r="I19" s="50">
        <v>246</v>
      </c>
      <c r="J19" s="63">
        <f>I19/H19</f>
        <v>0.8571428571428571</v>
      </c>
      <c r="K19" s="14">
        <v>1959</v>
      </c>
      <c r="L19" s="44">
        <v>1668</v>
      </c>
      <c r="M19" s="25">
        <f t="shared" si="2"/>
        <v>0.8514548238897397</v>
      </c>
    </row>
    <row r="20" spans="1:13" ht="12.75">
      <c r="A20" t="s">
        <v>16</v>
      </c>
      <c r="B20" s="3">
        <v>434</v>
      </c>
      <c r="C20" s="3">
        <v>385</v>
      </c>
      <c r="D20" s="43">
        <f t="shared" si="0"/>
        <v>0.8870967741935484</v>
      </c>
      <c r="E20" s="14">
        <v>280</v>
      </c>
      <c r="F20" s="44">
        <v>236</v>
      </c>
      <c r="G20" s="25">
        <f t="shared" si="1"/>
        <v>0.8428571428571429</v>
      </c>
      <c r="H20" s="49">
        <v>0</v>
      </c>
      <c r="I20" s="50"/>
      <c r="J20" s="63"/>
      <c r="K20" s="14">
        <v>716</v>
      </c>
      <c r="L20" s="44">
        <v>622</v>
      </c>
      <c r="M20" s="25">
        <f t="shared" si="2"/>
        <v>0.8687150837988827</v>
      </c>
    </row>
    <row r="21" spans="1:13" ht="12.75">
      <c r="A21" s="1" t="s">
        <v>22</v>
      </c>
      <c r="B21" s="5">
        <f>SUM(B5:B20)</f>
        <v>18037</v>
      </c>
      <c r="C21" s="5">
        <f>SUM(C5:C20)</f>
        <v>15821</v>
      </c>
      <c r="D21" s="41">
        <f t="shared" si="0"/>
        <v>0.8771414315019127</v>
      </c>
      <c r="E21" s="15">
        <f>SUM(E5:E20)</f>
        <v>9982</v>
      </c>
      <c r="F21" s="11">
        <f>SUM(F5:F20)</f>
        <v>8767</v>
      </c>
      <c r="G21" s="26">
        <f t="shared" si="1"/>
        <v>0.8782809056301343</v>
      </c>
      <c r="H21" s="51">
        <f>SUM(H5:H20)</f>
        <v>805</v>
      </c>
      <c r="I21" s="52">
        <f>SUM(I5:I20)</f>
        <v>716</v>
      </c>
      <c r="J21" s="67">
        <f>I21/H21</f>
        <v>0.8894409937888199</v>
      </c>
      <c r="K21" s="15">
        <f>SUM(K5:K20)</f>
        <v>28855</v>
      </c>
      <c r="L21" s="11">
        <f>SUM(L5:L20)</f>
        <v>25324</v>
      </c>
      <c r="M21" s="26">
        <f t="shared" si="2"/>
        <v>0.8776295269450701</v>
      </c>
    </row>
    <row r="22" spans="1:13" ht="12.75">
      <c r="A22" s="1" t="s">
        <v>23</v>
      </c>
      <c r="B22" s="3">
        <f>B23-B21</f>
        <v>29378</v>
      </c>
      <c r="C22" s="3">
        <f>C23-C21</f>
        <v>25423</v>
      </c>
      <c r="D22" s="43">
        <f t="shared" si="0"/>
        <v>0.8653754510177684</v>
      </c>
      <c r="E22" s="14">
        <f>E23-E21</f>
        <v>16650</v>
      </c>
      <c r="F22" s="14">
        <f>F23-F21</f>
        <v>14371</v>
      </c>
      <c r="G22" s="25">
        <f t="shared" si="1"/>
        <v>0.8631231231231231</v>
      </c>
      <c r="H22" s="49">
        <f>H23-H21</f>
        <v>1760</v>
      </c>
      <c r="I22" s="49">
        <f>I23-I21</f>
        <v>1588</v>
      </c>
      <c r="J22" s="63">
        <f>I22/H22</f>
        <v>0.9022727272727272</v>
      </c>
      <c r="K22" s="14">
        <f>K23-K21</f>
        <v>47833</v>
      </c>
      <c r="L22" s="14">
        <f>L23-L21</f>
        <v>41407</v>
      </c>
      <c r="M22" s="25">
        <f t="shared" si="2"/>
        <v>0.8656576004013965</v>
      </c>
    </row>
    <row r="23" spans="1:13" ht="12.75">
      <c r="A23" s="1" t="s">
        <v>24</v>
      </c>
      <c r="B23" s="3">
        <v>47415</v>
      </c>
      <c r="C23" s="3">
        <v>41244</v>
      </c>
      <c r="D23" s="43">
        <f t="shared" si="0"/>
        <v>0.8698513128756723</v>
      </c>
      <c r="E23" s="14">
        <v>26632</v>
      </c>
      <c r="F23" s="44">
        <v>23138</v>
      </c>
      <c r="G23" s="25">
        <f t="shared" si="1"/>
        <v>0.8688044457795133</v>
      </c>
      <c r="H23" s="49">
        <v>2565</v>
      </c>
      <c r="I23" s="50">
        <v>2304</v>
      </c>
      <c r="J23" s="63">
        <f>I23/H23</f>
        <v>0.8982456140350877</v>
      </c>
      <c r="K23" s="14">
        <v>76688</v>
      </c>
      <c r="L23" s="44">
        <v>66731</v>
      </c>
      <c r="M23" s="25">
        <f t="shared" si="2"/>
        <v>0.8701622157312747</v>
      </c>
    </row>
    <row r="24" spans="1:13" ht="13.5" thickBot="1">
      <c r="A24" s="31" t="s">
        <v>26</v>
      </c>
      <c r="B24" s="37">
        <f>B21/B23</f>
        <v>0.38040704418432986</v>
      </c>
      <c r="C24" s="37">
        <f>C21/C23</f>
        <v>0.3835951896033362</v>
      </c>
      <c r="D24" s="38"/>
      <c r="E24" s="37">
        <f>E21/E23</f>
        <v>0.3748122559327125</v>
      </c>
      <c r="F24" s="37">
        <f>F21/F23</f>
        <v>0.3789005099835768</v>
      </c>
      <c r="G24" s="38"/>
      <c r="H24" s="65">
        <f>H21/H23</f>
        <v>0.3138401559454191</v>
      </c>
      <c r="I24" s="65">
        <f>I21/I23</f>
        <v>0.3107638888888889</v>
      </c>
      <c r="J24" s="66"/>
      <c r="K24" s="37">
        <f>K21/K23</f>
        <v>0.37626486542875026</v>
      </c>
      <c r="L24" s="37">
        <f>L21/L23</f>
        <v>0.3794937884941032</v>
      </c>
      <c r="M24" s="38"/>
    </row>
    <row r="25" ht="12.75">
      <c r="A25" s="1" t="s">
        <v>38</v>
      </c>
    </row>
  </sheetData>
  <mergeCells count="5"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workbookViewId="0" topLeftCell="A1">
      <selection activeCell="A22" sqref="A22"/>
    </sheetView>
  </sheetViews>
  <sheetFormatPr defaultColWidth="9.140625" defaultRowHeight="12.75"/>
  <cols>
    <col min="1" max="1" width="16.421875" style="0" bestFit="1" customWidth="1"/>
    <col min="2" max="2" width="11.140625" style="0" bestFit="1" customWidth="1"/>
    <col min="5" max="5" width="11.140625" style="0" bestFit="1" customWidth="1"/>
    <col min="8" max="8" width="11.140625" style="0" bestFit="1" customWidth="1"/>
    <col min="11" max="11" width="11.140625" style="0" bestFit="1" customWidth="1"/>
  </cols>
  <sheetData>
    <row r="1" spans="1:13" ht="12.7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1"/>
      <c r="L1" s="121"/>
      <c r="M1" s="121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  <c r="M2" s="23"/>
    </row>
    <row r="3" spans="1:13" ht="12.75">
      <c r="A3" s="1"/>
      <c r="B3" s="123" t="s">
        <v>19</v>
      </c>
      <c r="C3" s="123"/>
      <c r="D3" s="123"/>
      <c r="E3" s="124" t="s">
        <v>20</v>
      </c>
      <c r="F3" s="125"/>
      <c r="G3" s="126"/>
      <c r="H3" s="130" t="s">
        <v>21</v>
      </c>
      <c r="I3" s="127"/>
      <c r="J3" s="128"/>
      <c r="K3" s="116" t="s">
        <v>33</v>
      </c>
      <c r="L3" s="117"/>
      <c r="M3" s="118"/>
    </row>
    <row r="4" spans="1:13" ht="12.75">
      <c r="A4" s="1" t="s">
        <v>0</v>
      </c>
      <c r="B4" s="4" t="s">
        <v>17</v>
      </c>
      <c r="C4" s="4" t="s">
        <v>18</v>
      </c>
      <c r="D4" s="42" t="s">
        <v>34</v>
      </c>
      <c r="E4" s="13" t="s">
        <v>17</v>
      </c>
      <c r="F4" s="8" t="s">
        <v>18</v>
      </c>
      <c r="G4" s="17" t="s">
        <v>34</v>
      </c>
      <c r="H4" s="46" t="s">
        <v>17</v>
      </c>
      <c r="I4" s="47" t="s">
        <v>18</v>
      </c>
      <c r="J4" s="56" t="s">
        <v>34</v>
      </c>
      <c r="K4" s="27" t="s">
        <v>17</v>
      </c>
      <c r="L4" s="20" t="s">
        <v>18</v>
      </c>
      <c r="M4" s="17" t="s">
        <v>34</v>
      </c>
    </row>
    <row r="5" spans="1:13" ht="12.75">
      <c r="A5" t="s">
        <v>1</v>
      </c>
      <c r="B5" s="3">
        <v>1214</v>
      </c>
      <c r="C5" s="3">
        <v>1041</v>
      </c>
      <c r="D5" s="43">
        <v>0.858</v>
      </c>
      <c r="E5" s="14">
        <v>817</v>
      </c>
      <c r="F5" s="44">
        <v>697</v>
      </c>
      <c r="G5" s="25">
        <v>0.853</v>
      </c>
      <c r="H5" s="49">
        <v>0</v>
      </c>
      <c r="I5" s="50"/>
      <c r="J5" s="61"/>
      <c r="K5" s="14">
        <v>2039</v>
      </c>
      <c r="L5" s="9">
        <v>1743</v>
      </c>
      <c r="M5" s="25">
        <v>0.855</v>
      </c>
    </row>
    <row r="6" spans="1:13" ht="12.75">
      <c r="A6" t="s">
        <v>2</v>
      </c>
      <c r="B6" s="3">
        <v>456</v>
      </c>
      <c r="C6" s="3">
        <v>392</v>
      </c>
      <c r="D6" s="43">
        <v>0.86</v>
      </c>
      <c r="E6" s="14">
        <v>335</v>
      </c>
      <c r="F6" s="44">
        <v>295</v>
      </c>
      <c r="G6" s="25">
        <v>0.831</v>
      </c>
      <c r="H6" s="49">
        <v>224</v>
      </c>
      <c r="I6" s="50">
        <v>188</v>
      </c>
      <c r="J6" s="63">
        <v>0.839</v>
      </c>
      <c r="K6" s="14">
        <v>1035</v>
      </c>
      <c r="L6" s="44">
        <v>875</v>
      </c>
      <c r="M6" s="25">
        <v>0.845</v>
      </c>
    </row>
    <row r="7" spans="1:13" ht="12.75">
      <c r="A7" t="s">
        <v>3</v>
      </c>
      <c r="B7" s="3">
        <v>192</v>
      </c>
      <c r="C7" s="3">
        <v>156</v>
      </c>
      <c r="D7" s="43">
        <v>0.813</v>
      </c>
      <c r="E7" s="14">
        <v>156</v>
      </c>
      <c r="F7" s="44">
        <v>123</v>
      </c>
      <c r="G7" s="25">
        <v>0.788</v>
      </c>
      <c r="H7" s="49">
        <v>26</v>
      </c>
      <c r="I7" s="50">
        <v>23</v>
      </c>
      <c r="J7" s="63">
        <v>0.885</v>
      </c>
      <c r="K7" s="14">
        <v>374</v>
      </c>
      <c r="L7" s="44">
        <v>302</v>
      </c>
      <c r="M7" s="25">
        <v>0.807</v>
      </c>
    </row>
    <row r="8" spans="1:13" ht="12.75">
      <c r="A8" t="s">
        <v>4</v>
      </c>
      <c r="B8" s="3">
        <v>3622</v>
      </c>
      <c r="C8" s="3">
        <v>2957</v>
      </c>
      <c r="D8" s="43">
        <v>0.816</v>
      </c>
      <c r="E8" s="14">
        <v>1279</v>
      </c>
      <c r="F8" s="44">
        <v>1081</v>
      </c>
      <c r="G8" s="25">
        <v>0.845</v>
      </c>
      <c r="H8" s="49">
        <v>0</v>
      </c>
      <c r="I8" s="50"/>
      <c r="J8" s="63"/>
      <c r="K8" s="14">
        <v>4906</v>
      </c>
      <c r="L8" s="44">
        <v>4043</v>
      </c>
      <c r="M8" s="25">
        <v>0.824</v>
      </c>
    </row>
    <row r="9" spans="1:13" ht="12.75">
      <c r="A9" t="s">
        <v>5</v>
      </c>
      <c r="B9" s="3">
        <v>893</v>
      </c>
      <c r="C9" s="3">
        <v>786</v>
      </c>
      <c r="D9" s="43">
        <v>0.88</v>
      </c>
      <c r="E9" s="14">
        <v>985</v>
      </c>
      <c r="F9" s="44">
        <v>851</v>
      </c>
      <c r="G9" s="25">
        <v>0.864</v>
      </c>
      <c r="H9" s="49">
        <v>0</v>
      </c>
      <c r="I9" s="50"/>
      <c r="J9" s="63"/>
      <c r="K9" s="14">
        <v>1811</v>
      </c>
      <c r="L9" s="44">
        <v>1637</v>
      </c>
      <c r="M9" s="25">
        <v>0.87</v>
      </c>
    </row>
    <row r="10" spans="1:13" ht="12.75">
      <c r="A10" t="s">
        <v>6</v>
      </c>
      <c r="B10" s="3">
        <v>1150</v>
      </c>
      <c r="C10" s="3">
        <v>1036</v>
      </c>
      <c r="D10" s="43">
        <v>0.901</v>
      </c>
      <c r="E10" s="14">
        <v>501</v>
      </c>
      <c r="F10" s="44">
        <v>469</v>
      </c>
      <c r="G10" s="25">
        <v>0.936</v>
      </c>
      <c r="H10" s="49">
        <v>0</v>
      </c>
      <c r="I10" s="50"/>
      <c r="J10" s="63"/>
      <c r="K10" s="14">
        <v>1651</v>
      </c>
      <c r="L10" s="44">
        <v>1505</v>
      </c>
      <c r="M10" s="25">
        <v>0.912</v>
      </c>
    </row>
    <row r="11" spans="1:13" ht="12.75">
      <c r="A11" t="s">
        <v>7</v>
      </c>
      <c r="B11" s="3">
        <v>627</v>
      </c>
      <c r="C11" s="3">
        <v>567</v>
      </c>
      <c r="D11" s="43">
        <v>0.904</v>
      </c>
      <c r="E11" s="14">
        <v>914</v>
      </c>
      <c r="F11" s="44">
        <v>830</v>
      </c>
      <c r="G11" s="25">
        <v>0.908</v>
      </c>
      <c r="H11" s="49">
        <v>30</v>
      </c>
      <c r="I11" s="50">
        <v>27</v>
      </c>
      <c r="J11" s="63">
        <v>0.9</v>
      </c>
      <c r="K11" s="14">
        <v>1571</v>
      </c>
      <c r="L11" s="44">
        <v>1424</v>
      </c>
      <c r="M11" s="25">
        <v>0.906</v>
      </c>
    </row>
    <row r="12" spans="1:13" ht="12.75">
      <c r="A12" t="s">
        <v>8</v>
      </c>
      <c r="B12" s="3">
        <v>969</v>
      </c>
      <c r="C12" s="3">
        <v>863</v>
      </c>
      <c r="D12" s="43">
        <v>0.891</v>
      </c>
      <c r="E12" s="14">
        <v>727</v>
      </c>
      <c r="F12" s="44">
        <v>608</v>
      </c>
      <c r="G12" s="25">
        <v>0.836</v>
      </c>
      <c r="H12" s="49">
        <v>0</v>
      </c>
      <c r="I12" s="50"/>
      <c r="J12" s="63"/>
      <c r="K12" s="14">
        <v>1696</v>
      </c>
      <c r="L12" s="44">
        <v>1471</v>
      </c>
      <c r="M12" s="25">
        <v>0.867</v>
      </c>
    </row>
    <row r="13" spans="1:13" ht="12.75">
      <c r="A13" t="s">
        <v>9</v>
      </c>
      <c r="B13" s="3">
        <v>980</v>
      </c>
      <c r="C13" s="3">
        <v>832</v>
      </c>
      <c r="D13" s="43">
        <v>0.849</v>
      </c>
      <c r="E13" s="14">
        <v>319</v>
      </c>
      <c r="F13" s="44">
        <v>269</v>
      </c>
      <c r="G13" s="25">
        <v>0.843</v>
      </c>
      <c r="H13" s="49">
        <v>0</v>
      </c>
      <c r="I13" s="50"/>
      <c r="J13" s="63"/>
      <c r="K13" s="14">
        <v>1299</v>
      </c>
      <c r="L13" s="44">
        <v>1101</v>
      </c>
      <c r="M13" s="25">
        <v>0.848</v>
      </c>
    </row>
    <row r="14" spans="1:13" ht="12.75">
      <c r="A14" t="s">
        <v>10</v>
      </c>
      <c r="B14" s="3">
        <v>1835</v>
      </c>
      <c r="C14" s="3">
        <v>1573</v>
      </c>
      <c r="D14" s="43">
        <v>0.857</v>
      </c>
      <c r="E14" s="14">
        <v>840</v>
      </c>
      <c r="F14" s="44">
        <v>707</v>
      </c>
      <c r="G14" s="25">
        <v>0.842</v>
      </c>
      <c r="H14" s="49">
        <v>155</v>
      </c>
      <c r="I14" s="50">
        <v>150</v>
      </c>
      <c r="J14" s="63">
        <v>0.968</v>
      </c>
      <c r="K14" s="14">
        <v>2830</v>
      </c>
      <c r="L14" s="44">
        <v>2430</v>
      </c>
      <c r="M14" s="25">
        <v>0.859</v>
      </c>
    </row>
    <row r="15" spans="1:13" ht="12.75">
      <c r="A15" t="s">
        <v>11</v>
      </c>
      <c r="B15" s="3">
        <v>84</v>
      </c>
      <c r="C15" s="3">
        <v>712</v>
      </c>
      <c r="D15" s="43">
        <v>0.847</v>
      </c>
      <c r="E15" s="14">
        <v>470</v>
      </c>
      <c r="F15" s="44">
        <v>385</v>
      </c>
      <c r="G15" s="25">
        <v>0.819</v>
      </c>
      <c r="H15" s="49">
        <v>0</v>
      </c>
      <c r="I15" s="50"/>
      <c r="J15" s="63"/>
      <c r="K15" s="14">
        <v>1311</v>
      </c>
      <c r="L15" s="44">
        <v>1097</v>
      </c>
      <c r="M15" s="25">
        <v>0.837</v>
      </c>
    </row>
    <row r="16" spans="1:13" ht="12.75">
      <c r="A16" t="s">
        <v>12</v>
      </c>
      <c r="B16" s="3">
        <v>1103</v>
      </c>
      <c r="C16" s="3">
        <v>945</v>
      </c>
      <c r="D16" s="43">
        <v>0.857</v>
      </c>
      <c r="E16" s="14">
        <v>409</v>
      </c>
      <c r="F16" s="44">
        <v>328</v>
      </c>
      <c r="G16" s="25">
        <v>0.802</v>
      </c>
      <c r="H16" s="49">
        <v>0</v>
      </c>
      <c r="I16" s="50"/>
      <c r="J16" s="63"/>
      <c r="K16" s="14">
        <v>1515</v>
      </c>
      <c r="L16" s="44">
        <v>1276</v>
      </c>
      <c r="M16" s="25">
        <v>0.842</v>
      </c>
    </row>
    <row r="17" spans="1:13" ht="12.75">
      <c r="A17" t="s">
        <v>13</v>
      </c>
      <c r="B17" s="3">
        <v>980</v>
      </c>
      <c r="C17" s="3">
        <v>879</v>
      </c>
      <c r="D17" s="43">
        <v>0.897</v>
      </c>
      <c r="E17" s="14">
        <v>891</v>
      </c>
      <c r="F17" s="44">
        <v>798</v>
      </c>
      <c r="G17" s="25">
        <v>0.896</v>
      </c>
      <c r="H17" s="49">
        <v>57</v>
      </c>
      <c r="I17" s="50">
        <v>56</v>
      </c>
      <c r="J17" s="63">
        <v>0.982</v>
      </c>
      <c r="K17" s="14">
        <v>1928</v>
      </c>
      <c r="L17" s="44">
        <v>1733</v>
      </c>
      <c r="M17" s="25">
        <v>0.899</v>
      </c>
    </row>
    <row r="18" spans="1:13" ht="12.75">
      <c r="A18" t="s">
        <v>14</v>
      </c>
      <c r="B18" s="3">
        <v>3419</v>
      </c>
      <c r="C18" s="3">
        <v>3003</v>
      </c>
      <c r="D18" s="43">
        <v>0.878</v>
      </c>
      <c r="E18" s="14">
        <v>2096</v>
      </c>
      <c r="F18" s="44">
        <v>1838</v>
      </c>
      <c r="G18" s="25">
        <v>0.877</v>
      </c>
      <c r="H18" s="49">
        <v>161</v>
      </c>
      <c r="I18" s="50">
        <v>140</v>
      </c>
      <c r="J18" s="63">
        <v>0.87</v>
      </c>
      <c r="K18" s="14">
        <v>5677</v>
      </c>
      <c r="L18" s="44">
        <v>4982</v>
      </c>
      <c r="M18" s="25">
        <v>0.878</v>
      </c>
    </row>
    <row r="19" spans="1:13" ht="12.75">
      <c r="A19" t="s">
        <v>15</v>
      </c>
      <c r="B19" s="3">
        <v>1311</v>
      </c>
      <c r="C19" s="3">
        <v>1073</v>
      </c>
      <c r="D19" s="43">
        <v>0.818</v>
      </c>
      <c r="E19" s="14">
        <v>798</v>
      </c>
      <c r="F19" s="44">
        <v>653</v>
      </c>
      <c r="G19" s="25">
        <v>0.818</v>
      </c>
      <c r="H19" s="49">
        <v>336</v>
      </c>
      <c r="I19" s="50">
        <v>270</v>
      </c>
      <c r="J19" s="63">
        <v>0.804</v>
      </c>
      <c r="K19" s="14">
        <v>2446</v>
      </c>
      <c r="L19" s="44">
        <v>1997</v>
      </c>
      <c r="M19" s="25">
        <v>0.816</v>
      </c>
    </row>
    <row r="20" spans="1:13" ht="12.75">
      <c r="A20" t="s">
        <v>16</v>
      </c>
      <c r="B20" s="3">
        <v>453</v>
      </c>
      <c r="C20" s="3">
        <v>396</v>
      </c>
      <c r="D20" s="43">
        <v>0.874</v>
      </c>
      <c r="E20" s="14">
        <v>316</v>
      </c>
      <c r="F20" s="44">
        <v>250</v>
      </c>
      <c r="G20" s="25">
        <v>0.791</v>
      </c>
      <c r="H20" s="49">
        <v>0</v>
      </c>
      <c r="I20" s="50"/>
      <c r="J20" s="63"/>
      <c r="K20" s="14">
        <v>769</v>
      </c>
      <c r="L20" s="44">
        <v>646</v>
      </c>
      <c r="M20" s="25">
        <v>0.84</v>
      </c>
    </row>
    <row r="21" spans="1:13" ht="12.75">
      <c r="A21" s="1" t="s">
        <v>22</v>
      </c>
      <c r="B21" s="5">
        <f>SUM(B5:B20)</f>
        <v>19288</v>
      </c>
      <c r="C21" s="5">
        <f>SUM(C5:C20)</f>
        <v>17211</v>
      </c>
      <c r="D21" s="41">
        <f>C21/B21</f>
        <v>0.8923164661965989</v>
      </c>
      <c r="E21" s="15">
        <f>SUM(E5:E20)</f>
        <v>11853</v>
      </c>
      <c r="F21" s="15">
        <f>SUM(F5:F20)</f>
        <v>10182</v>
      </c>
      <c r="G21" s="26">
        <f>F21/E21</f>
        <v>0.8590230321437611</v>
      </c>
      <c r="H21" s="51">
        <f>SUM(H5:H20)</f>
        <v>989</v>
      </c>
      <c r="I21" s="52">
        <f>SUM(I5:I20)</f>
        <v>854</v>
      </c>
      <c r="J21" s="67">
        <f>I21/H21</f>
        <v>0.8634984833164813</v>
      </c>
      <c r="K21" s="15">
        <f>SUM(K5:K20)</f>
        <v>32858</v>
      </c>
      <c r="L21" s="15">
        <f>SUM(L5:L20)</f>
        <v>28262</v>
      </c>
      <c r="M21" s="26">
        <f>L21/K21</f>
        <v>0.8601253880333557</v>
      </c>
    </row>
    <row r="22" spans="1:13" ht="12.75">
      <c r="A22" s="1" t="s">
        <v>23</v>
      </c>
      <c r="B22" s="3">
        <f>B23-B21</f>
        <v>33987</v>
      </c>
      <c r="C22" s="3">
        <f>C23-C21</f>
        <v>28257</v>
      </c>
      <c r="D22" s="43">
        <f>C22/B22</f>
        <v>0.8314061258716569</v>
      </c>
      <c r="E22" s="14">
        <f>E23-E21</f>
        <v>18775</v>
      </c>
      <c r="F22" s="9">
        <f>F23-F21</f>
        <v>15799</v>
      </c>
      <c r="G22" s="25">
        <f>F22/E22</f>
        <v>0.841491344873502</v>
      </c>
      <c r="H22" s="49">
        <f>H23-H21</f>
        <v>2187</v>
      </c>
      <c r="I22" s="50">
        <f>I23-I21</f>
        <v>1952</v>
      </c>
      <c r="J22" s="63">
        <f>I22/H22</f>
        <v>0.8925468678555099</v>
      </c>
      <c r="K22" s="14">
        <f>K23-K21</f>
        <v>54313</v>
      </c>
      <c r="L22" s="9">
        <f>L23-L21</f>
        <v>46065</v>
      </c>
      <c r="M22" s="25">
        <f>L22/K22</f>
        <v>0.8481394877837718</v>
      </c>
    </row>
    <row r="23" spans="1:13" ht="12.75">
      <c r="A23" s="1" t="s">
        <v>24</v>
      </c>
      <c r="B23" s="3">
        <v>53275</v>
      </c>
      <c r="C23" s="3">
        <v>45468</v>
      </c>
      <c r="D23" s="43">
        <v>0.853</v>
      </c>
      <c r="E23" s="14">
        <v>30628</v>
      </c>
      <c r="F23" s="44">
        <v>25981</v>
      </c>
      <c r="G23" s="25">
        <v>0.848</v>
      </c>
      <c r="H23" s="49">
        <v>3176</v>
      </c>
      <c r="I23" s="50">
        <v>2806</v>
      </c>
      <c r="J23" s="63">
        <v>0.884</v>
      </c>
      <c r="K23" s="14">
        <v>87171</v>
      </c>
      <c r="L23" s="44">
        <v>74327</v>
      </c>
      <c r="M23" s="25">
        <v>0.853</v>
      </c>
    </row>
    <row r="24" spans="1:13" ht="13.5" thickBot="1">
      <c r="A24" s="31" t="s">
        <v>26</v>
      </c>
      <c r="B24" s="37">
        <f>B21/B23</f>
        <v>0.3620459877991553</v>
      </c>
      <c r="C24" s="37">
        <f>C21/C23</f>
        <v>0.3785299551332805</v>
      </c>
      <c r="D24" s="37"/>
      <c r="E24" s="37">
        <f>E21/E23</f>
        <v>0.3869988246049367</v>
      </c>
      <c r="F24" s="37">
        <f>F21/F23</f>
        <v>0.3919017743735807</v>
      </c>
      <c r="G24" s="37"/>
      <c r="H24" s="65">
        <f>H21/H23</f>
        <v>0.3113979848866499</v>
      </c>
      <c r="I24" s="65">
        <f>I21/I23</f>
        <v>0.30434782608695654</v>
      </c>
      <c r="J24" s="65"/>
      <c r="K24" s="37">
        <f>K21/K23</f>
        <v>0.37693728418854894</v>
      </c>
      <c r="L24" s="37">
        <f>L21/L23</f>
        <v>0.38023867504406206</v>
      </c>
      <c r="M24" s="37"/>
    </row>
    <row r="25" ht="12.75">
      <c r="A25" s="1" t="s">
        <v>40</v>
      </c>
    </row>
  </sheetData>
  <mergeCells count="5"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25"/>
  <sheetViews>
    <sheetView workbookViewId="0" topLeftCell="A1">
      <selection activeCell="A27" sqref="A27"/>
    </sheetView>
  </sheetViews>
  <sheetFormatPr defaultColWidth="9.140625" defaultRowHeight="12.75"/>
  <cols>
    <col min="1" max="1" width="16.140625" style="0" bestFit="1" customWidth="1"/>
    <col min="2" max="2" width="11.140625" style="0" bestFit="1" customWidth="1"/>
    <col min="5" max="5" width="11.140625" style="0" bestFit="1" customWidth="1"/>
    <col min="8" max="8" width="11.140625" style="0" bestFit="1" customWidth="1"/>
    <col min="11" max="11" width="11.140625" style="0" bestFit="1" customWidth="1"/>
  </cols>
  <sheetData>
    <row r="1" spans="1:13" ht="12.75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3" spans="2:13" ht="12.75">
      <c r="B3" s="1" t="s">
        <v>19</v>
      </c>
      <c r="C3" s="1"/>
      <c r="D3" s="1"/>
      <c r="E3" s="70" t="s">
        <v>20</v>
      </c>
      <c r="F3" s="1"/>
      <c r="G3" s="1"/>
      <c r="H3" s="92" t="s">
        <v>21</v>
      </c>
      <c r="I3" s="93"/>
      <c r="J3" s="93"/>
      <c r="K3" s="70" t="s">
        <v>33</v>
      </c>
      <c r="L3" s="1"/>
      <c r="M3" s="1"/>
    </row>
    <row r="4" spans="1:13" ht="12.75">
      <c r="A4" s="1" t="s">
        <v>0</v>
      </c>
      <c r="B4" s="1" t="s">
        <v>17</v>
      </c>
      <c r="C4" s="1" t="s">
        <v>18</v>
      </c>
      <c r="D4" s="1" t="s">
        <v>34</v>
      </c>
      <c r="E4" s="70" t="s">
        <v>17</v>
      </c>
      <c r="F4" s="1" t="s">
        <v>18</v>
      </c>
      <c r="G4" s="1" t="s">
        <v>34</v>
      </c>
      <c r="H4" s="92" t="s">
        <v>17</v>
      </c>
      <c r="I4" s="93" t="s">
        <v>18</v>
      </c>
      <c r="J4" s="93" t="s">
        <v>34</v>
      </c>
      <c r="K4" s="70" t="s">
        <v>17</v>
      </c>
      <c r="L4" s="1" t="s">
        <v>18</v>
      </c>
      <c r="M4" s="1" t="s">
        <v>34</v>
      </c>
    </row>
    <row r="5" spans="1:13" ht="12.75">
      <c r="A5" t="s">
        <v>1</v>
      </c>
      <c r="B5" s="3">
        <v>1493</v>
      </c>
      <c r="C5" s="3">
        <v>1279</v>
      </c>
      <c r="D5" s="68">
        <v>0.857</v>
      </c>
      <c r="E5" s="71">
        <v>855</v>
      </c>
      <c r="F5">
        <v>765</v>
      </c>
      <c r="G5" s="68">
        <v>0.895</v>
      </c>
      <c r="H5" s="94">
        <v>0</v>
      </c>
      <c r="I5" s="95"/>
      <c r="J5" s="95"/>
      <c r="K5" s="72">
        <v>2356</v>
      </c>
      <c r="L5" s="3">
        <v>2047</v>
      </c>
      <c r="M5" s="68">
        <v>0.869</v>
      </c>
    </row>
    <row r="6" spans="1:13" ht="12.75">
      <c r="A6" t="s">
        <v>2</v>
      </c>
      <c r="B6">
        <v>513</v>
      </c>
      <c r="C6">
        <v>460</v>
      </c>
      <c r="D6" s="68">
        <v>0.897</v>
      </c>
      <c r="E6" s="71">
        <v>407</v>
      </c>
      <c r="F6">
        <v>359</v>
      </c>
      <c r="G6" s="68">
        <v>0.882</v>
      </c>
      <c r="H6" s="94">
        <v>238</v>
      </c>
      <c r="I6" s="95">
        <v>204</v>
      </c>
      <c r="J6" s="96">
        <v>0.857</v>
      </c>
      <c r="K6" s="72">
        <v>1158</v>
      </c>
      <c r="L6" s="3">
        <v>1023</v>
      </c>
      <c r="M6" s="68">
        <v>0.883</v>
      </c>
    </row>
    <row r="7" spans="1:13" ht="12.75">
      <c r="A7" t="s">
        <v>3</v>
      </c>
      <c r="B7">
        <v>178</v>
      </c>
      <c r="C7">
        <v>149</v>
      </c>
      <c r="D7" s="68">
        <v>0.837</v>
      </c>
      <c r="E7" s="71">
        <v>173</v>
      </c>
      <c r="F7">
        <v>151</v>
      </c>
      <c r="G7" s="68">
        <v>0.873</v>
      </c>
      <c r="H7" s="94">
        <v>21</v>
      </c>
      <c r="I7" s="95">
        <v>19</v>
      </c>
      <c r="J7" s="96">
        <v>0.905</v>
      </c>
      <c r="K7" s="71">
        <v>372</v>
      </c>
      <c r="L7">
        <v>319</v>
      </c>
      <c r="M7" s="68">
        <v>0.858</v>
      </c>
    </row>
    <row r="8" spans="1:13" ht="12.75">
      <c r="A8" t="s">
        <v>4</v>
      </c>
      <c r="B8" s="3">
        <v>3996</v>
      </c>
      <c r="C8" s="3">
        <v>3396</v>
      </c>
      <c r="D8" s="68">
        <v>0.85</v>
      </c>
      <c r="E8" s="72">
        <v>1432</v>
      </c>
      <c r="F8" s="3">
        <v>1259</v>
      </c>
      <c r="G8" s="68">
        <v>0.879</v>
      </c>
      <c r="H8" s="94">
        <v>0</v>
      </c>
      <c r="I8" s="95"/>
      <c r="J8" s="95"/>
      <c r="K8" s="72">
        <v>5430</v>
      </c>
      <c r="L8" s="3">
        <v>4655</v>
      </c>
      <c r="M8" s="68">
        <v>0.857</v>
      </c>
    </row>
    <row r="9" spans="1:13" ht="12.75">
      <c r="A9" t="s">
        <v>5</v>
      </c>
      <c r="B9" s="3">
        <v>1062</v>
      </c>
      <c r="C9">
        <v>948</v>
      </c>
      <c r="D9" s="68">
        <v>0.893</v>
      </c>
      <c r="E9" s="72">
        <v>1053</v>
      </c>
      <c r="F9">
        <v>928</v>
      </c>
      <c r="G9" s="68">
        <v>0.881</v>
      </c>
      <c r="H9" s="94">
        <v>0</v>
      </c>
      <c r="I9" s="95"/>
      <c r="J9" s="95"/>
      <c r="K9" s="72">
        <v>2116</v>
      </c>
      <c r="L9" s="3">
        <v>1877</v>
      </c>
      <c r="M9" s="68">
        <v>0.887</v>
      </c>
    </row>
    <row r="10" spans="1:13" ht="12.75">
      <c r="A10" t="s">
        <v>6</v>
      </c>
      <c r="B10" s="3">
        <v>1346</v>
      </c>
      <c r="C10" s="3">
        <v>1212</v>
      </c>
      <c r="D10" s="68">
        <v>0.9</v>
      </c>
      <c r="E10" s="71">
        <v>640</v>
      </c>
      <c r="F10">
        <v>580</v>
      </c>
      <c r="G10" s="68">
        <v>0.906</v>
      </c>
      <c r="H10" s="94">
        <v>0</v>
      </c>
      <c r="I10" s="95"/>
      <c r="J10" s="95"/>
      <c r="K10" s="72">
        <v>1986</v>
      </c>
      <c r="L10" s="3">
        <v>1792</v>
      </c>
      <c r="M10" s="68">
        <v>0.902</v>
      </c>
    </row>
    <row r="11" spans="1:13" ht="12.75">
      <c r="A11" t="s">
        <v>7</v>
      </c>
      <c r="B11">
        <v>801</v>
      </c>
      <c r="C11">
        <v>738</v>
      </c>
      <c r="D11" s="68">
        <v>0.921</v>
      </c>
      <c r="E11" s="71">
        <v>904</v>
      </c>
      <c r="F11">
        <v>776</v>
      </c>
      <c r="G11" s="68">
        <v>0.858</v>
      </c>
      <c r="H11" s="94">
        <v>20</v>
      </c>
      <c r="I11" s="95">
        <v>17</v>
      </c>
      <c r="J11" s="96">
        <v>0.85</v>
      </c>
      <c r="K11" s="72">
        <v>1725</v>
      </c>
      <c r="L11" s="3">
        <v>1531</v>
      </c>
      <c r="M11" s="68">
        <v>0.888</v>
      </c>
    </row>
    <row r="12" spans="1:13" ht="12.75">
      <c r="A12" t="s">
        <v>8</v>
      </c>
      <c r="B12" s="3">
        <v>1073</v>
      </c>
      <c r="C12">
        <v>965</v>
      </c>
      <c r="D12" s="68">
        <v>0.899</v>
      </c>
      <c r="E12" s="71">
        <v>898</v>
      </c>
      <c r="F12">
        <v>751</v>
      </c>
      <c r="G12" s="68">
        <v>0.836</v>
      </c>
      <c r="H12" s="94">
        <v>0</v>
      </c>
      <c r="I12" s="95"/>
      <c r="J12" s="95"/>
      <c r="K12" s="72">
        <v>1971</v>
      </c>
      <c r="L12" s="3">
        <v>1716</v>
      </c>
      <c r="M12" s="68">
        <v>0.871</v>
      </c>
    </row>
    <row r="13" spans="1:13" ht="12.75">
      <c r="A13" t="s">
        <v>9</v>
      </c>
      <c r="B13" s="3">
        <v>1070</v>
      </c>
      <c r="C13">
        <v>942</v>
      </c>
      <c r="D13" s="68">
        <v>0.88</v>
      </c>
      <c r="E13" s="71">
        <v>382</v>
      </c>
      <c r="F13">
        <v>333</v>
      </c>
      <c r="G13" s="68">
        <v>0.872</v>
      </c>
      <c r="H13" s="94">
        <v>0</v>
      </c>
      <c r="I13" s="95"/>
      <c r="J13" s="95"/>
      <c r="K13" s="72">
        <v>1452</v>
      </c>
      <c r="L13" s="3">
        <v>1275</v>
      </c>
      <c r="M13" s="68">
        <v>0.878</v>
      </c>
    </row>
    <row r="14" spans="1:13" ht="12.75">
      <c r="A14" t="s">
        <v>10</v>
      </c>
      <c r="B14" s="3">
        <v>2135</v>
      </c>
      <c r="C14" s="3">
        <v>1907</v>
      </c>
      <c r="D14" s="68">
        <v>0.893</v>
      </c>
      <c r="E14" s="71">
        <v>956</v>
      </c>
      <c r="F14">
        <v>831</v>
      </c>
      <c r="G14" s="68">
        <v>0.869</v>
      </c>
      <c r="H14" s="94">
        <v>110</v>
      </c>
      <c r="I14" s="95">
        <v>109</v>
      </c>
      <c r="J14" s="96">
        <v>0.991</v>
      </c>
      <c r="K14" s="72">
        <v>3201</v>
      </c>
      <c r="L14" s="3">
        <v>2847</v>
      </c>
      <c r="M14" s="68">
        <v>0.889</v>
      </c>
    </row>
    <row r="15" spans="1:13" ht="12.75">
      <c r="A15" t="s">
        <v>11</v>
      </c>
      <c r="B15">
        <v>920</v>
      </c>
      <c r="C15">
        <v>798</v>
      </c>
      <c r="D15" s="68">
        <v>0.867</v>
      </c>
      <c r="E15" s="71">
        <v>524</v>
      </c>
      <c r="F15">
        <v>452</v>
      </c>
      <c r="G15" s="68">
        <v>0.863</v>
      </c>
      <c r="H15" s="94">
        <v>0</v>
      </c>
      <c r="I15" s="95"/>
      <c r="J15" s="95"/>
      <c r="K15" s="72">
        <v>1447</v>
      </c>
      <c r="L15" s="3">
        <v>1250</v>
      </c>
      <c r="M15" s="68">
        <v>0.864</v>
      </c>
    </row>
    <row r="16" spans="1:13" ht="12.75">
      <c r="A16" t="s">
        <v>12</v>
      </c>
      <c r="B16" s="3">
        <v>1087</v>
      </c>
      <c r="C16">
        <v>963</v>
      </c>
      <c r="D16" s="68">
        <v>0.886</v>
      </c>
      <c r="E16" s="71">
        <v>467</v>
      </c>
      <c r="F16">
        <v>412</v>
      </c>
      <c r="G16" s="68">
        <v>0.882</v>
      </c>
      <c r="H16" s="94">
        <v>0</v>
      </c>
      <c r="I16" s="95"/>
      <c r="J16" s="95"/>
      <c r="K16" s="72">
        <v>1556</v>
      </c>
      <c r="L16" s="3">
        <v>1377</v>
      </c>
      <c r="M16" s="68">
        <v>0.885</v>
      </c>
    </row>
    <row r="17" spans="1:13" ht="12.75">
      <c r="A17" t="s">
        <v>13</v>
      </c>
      <c r="B17" s="3">
        <v>1116</v>
      </c>
      <c r="C17" s="3">
        <v>1031</v>
      </c>
      <c r="D17" s="68">
        <v>0.924</v>
      </c>
      <c r="E17" s="72">
        <v>1256</v>
      </c>
      <c r="F17" s="3">
        <v>1145</v>
      </c>
      <c r="G17" s="68">
        <v>0.912</v>
      </c>
      <c r="H17" s="94">
        <v>73</v>
      </c>
      <c r="I17" s="95">
        <v>72</v>
      </c>
      <c r="J17" s="96">
        <v>0.986</v>
      </c>
      <c r="K17" s="72">
        <v>2445</v>
      </c>
      <c r="L17" s="3">
        <v>2248</v>
      </c>
      <c r="M17" s="68">
        <v>0.919</v>
      </c>
    </row>
    <row r="18" spans="1:13" ht="12.75">
      <c r="A18" t="s">
        <v>14</v>
      </c>
      <c r="B18" s="3">
        <v>3630</v>
      </c>
      <c r="C18" s="3">
        <v>3266</v>
      </c>
      <c r="D18" s="68">
        <v>0.9</v>
      </c>
      <c r="E18" s="72">
        <v>2308</v>
      </c>
      <c r="F18" s="3">
        <v>2071</v>
      </c>
      <c r="G18" s="68">
        <v>0.897</v>
      </c>
      <c r="H18" s="94">
        <v>179</v>
      </c>
      <c r="I18" s="95">
        <v>154</v>
      </c>
      <c r="J18" s="96">
        <v>0.89</v>
      </c>
      <c r="K18" s="72">
        <v>6112</v>
      </c>
      <c r="L18" s="3">
        <v>5492</v>
      </c>
      <c r="M18" s="68">
        <v>0.899</v>
      </c>
    </row>
    <row r="19" spans="1:13" ht="12.75">
      <c r="A19" t="s">
        <v>15</v>
      </c>
      <c r="B19" s="3">
        <v>1356</v>
      </c>
      <c r="C19" s="3">
        <v>1183</v>
      </c>
      <c r="D19" s="68">
        <v>0.872</v>
      </c>
      <c r="E19" s="71">
        <v>855</v>
      </c>
      <c r="F19">
        <v>730</v>
      </c>
      <c r="G19" s="68">
        <v>0.854</v>
      </c>
      <c r="H19" s="94">
        <v>383</v>
      </c>
      <c r="I19" s="95">
        <v>336</v>
      </c>
      <c r="J19" s="96">
        <v>0.877</v>
      </c>
      <c r="K19" s="72">
        <v>2595</v>
      </c>
      <c r="L19" s="3">
        <v>2250</v>
      </c>
      <c r="M19" s="68">
        <v>0.867</v>
      </c>
    </row>
    <row r="20" spans="1:13" ht="12.75">
      <c r="A20" t="s">
        <v>16</v>
      </c>
      <c r="B20">
        <v>537</v>
      </c>
      <c r="C20">
        <v>487</v>
      </c>
      <c r="D20" s="68">
        <v>0.907</v>
      </c>
      <c r="E20" s="71">
        <v>371</v>
      </c>
      <c r="F20">
        <v>306</v>
      </c>
      <c r="G20" s="68">
        <v>0.825</v>
      </c>
      <c r="H20" s="94">
        <v>0</v>
      </c>
      <c r="I20" s="95"/>
      <c r="J20" s="95"/>
      <c r="K20" s="71">
        <v>909</v>
      </c>
      <c r="L20">
        <v>793</v>
      </c>
      <c r="M20" s="68">
        <v>0.872</v>
      </c>
    </row>
    <row r="21" spans="1:13" ht="12.75">
      <c r="A21" s="1" t="s">
        <v>22</v>
      </c>
      <c r="B21" s="5">
        <f>SUM(B5:B20)</f>
        <v>22313</v>
      </c>
      <c r="C21" s="5">
        <f>SUM(C5:C20)</f>
        <v>19724</v>
      </c>
      <c r="D21" s="69">
        <v>0.884</v>
      </c>
      <c r="E21" s="73">
        <f>SUM(E5:E20)</f>
        <v>13481</v>
      </c>
      <c r="F21" s="5">
        <f>SUM(F5:F20)</f>
        <v>11849</v>
      </c>
      <c r="G21" s="69">
        <v>0.879</v>
      </c>
      <c r="H21" s="97">
        <v>1024</v>
      </c>
      <c r="I21" s="93">
        <v>911</v>
      </c>
      <c r="J21" s="98">
        <v>0.89</v>
      </c>
      <c r="K21" s="73">
        <v>36831</v>
      </c>
      <c r="L21" s="5">
        <v>32492</v>
      </c>
      <c r="M21" s="69">
        <v>0.882</v>
      </c>
    </row>
    <row r="22" spans="1:13" ht="12.75">
      <c r="A22" s="1" t="s">
        <v>23</v>
      </c>
      <c r="B22" s="5">
        <f>(B23-B21)</f>
        <v>37731</v>
      </c>
      <c r="C22" s="5">
        <f>(C23-C21)</f>
        <v>32792</v>
      </c>
      <c r="D22" s="69">
        <v>0.869</v>
      </c>
      <c r="E22" s="73">
        <v>22015</v>
      </c>
      <c r="F22" s="5">
        <v>18941</v>
      </c>
      <c r="G22" s="69">
        <v>0.86</v>
      </c>
      <c r="H22" s="97">
        <v>2525</v>
      </c>
      <c r="I22" s="99">
        <v>2293</v>
      </c>
      <c r="J22" s="98">
        <v>0.908</v>
      </c>
      <c r="K22" s="73">
        <v>62355</v>
      </c>
      <c r="L22" s="5">
        <v>54083</v>
      </c>
      <c r="M22" s="69">
        <v>0.867</v>
      </c>
    </row>
    <row r="23" spans="1:13" ht="12.75">
      <c r="A23" s="1" t="s">
        <v>24</v>
      </c>
      <c r="B23" s="5">
        <v>60044</v>
      </c>
      <c r="C23" s="5">
        <v>52516</v>
      </c>
      <c r="D23" s="69">
        <v>0.875</v>
      </c>
      <c r="E23" s="73">
        <v>35496</v>
      </c>
      <c r="F23" s="5">
        <v>30790</v>
      </c>
      <c r="G23" s="69">
        <v>0.867</v>
      </c>
      <c r="H23" s="97">
        <v>3549</v>
      </c>
      <c r="I23" s="99">
        <v>3204</v>
      </c>
      <c r="J23" s="98">
        <v>0.903</v>
      </c>
      <c r="K23" s="73">
        <v>99186</v>
      </c>
      <c r="L23" s="5">
        <v>86575</v>
      </c>
      <c r="M23" s="69">
        <v>0.873</v>
      </c>
    </row>
    <row r="24" spans="1:13" ht="12.75">
      <c r="A24" s="1" t="s">
        <v>26</v>
      </c>
      <c r="B24" s="69">
        <v>0.372</v>
      </c>
      <c r="C24" s="69">
        <v>0.376</v>
      </c>
      <c r="D24" s="1"/>
      <c r="E24" s="74">
        <v>0.38</v>
      </c>
      <c r="F24" s="69">
        <v>0.385</v>
      </c>
      <c r="G24" s="1"/>
      <c r="H24" s="100">
        <v>0.289</v>
      </c>
      <c r="I24" s="98">
        <v>0.284</v>
      </c>
      <c r="J24" s="93"/>
      <c r="K24" s="74">
        <v>0.371</v>
      </c>
      <c r="L24" s="69">
        <v>0.375</v>
      </c>
      <c r="M24" s="1"/>
    </row>
    <row r="25" spans="1:13" ht="12.75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">
    <mergeCell ref="A1:M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M25"/>
  <sheetViews>
    <sheetView tabSelected="1" workbookViewId="0" topLeftCell="A1">
      <selection activeCell="A1" sqref="A1:M25"/>
    </sheetView>
  </sheetViews>
  <sheetFormatPr defaultColWidth="9.140625" defaultRowHeight="12.75"/>
  <cols>
    <col min="1" max="1" width="16.421875" style="0" bestFit="1" customWidth="1"/>
    <col min="2" max="2" width="11.28125" style="0" bestFit="1" customWidth="1"/>
    <col min="3" max="3" width="9.28125" style="0" bestFit="1" customWidth="1"/>
    <col min="4" max="4" width="10.8515625" style="0" bestFit="1" customWidth="1"/>
    <col min="5" max="5" width="11.28125" style="0" bestFit="1" customWidth="1"/>
    <col min="6" max="6" width="9.28125" style="0" bestFit="1" customWidth="1"/>
    <col min="7" max="7" width="10.8515625" style="0" bestFit="1" customWidth="1"/>
    <col min="8" max="8" width="11.28125" style="0" bestFit="1" customWidth="1"/>
    <col min="9" max="9" width="9.28125" style="0" bestFit="1" customWidth="1"/>
    <col min="10" max="10" width="10.8515625" style="0" bestFit="1" customWidth="1"/>
    <col min="11" max="11" width="11.28125" style="0" bestFit="1" customWidth="1"/>
    <col min="12" max="12" width="9.28125" style="0" bestFit="1" customWidth="1"/>
    <col min="13" max="13" width="10.8515625" style="0" bestFit="1" customWidth="1"/>
  </cols>
  <sheetData>
    <row r="1" spans="1:13" ht="12.75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1"/>
      <c r="L1" s="121"/>
      <c r="M1" s="121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  <c r="M2" s="23"/>
    </row>
    <row r="3" spans="1:13" ht="12.75">
      <c r="A3" s="1"/>
      <c r="B3" s="123" t="s">
        <v>19</v>
      </c>
      <c r="C3" s="123"/>
      <c r="D3" s="123"/>
      <c r="E3" s="131" t="s">
        <v>20</v>
      </c>
      <c r="F3" s="125"/>
      <c r="G3" s="125"/>
      <c r="H3" s="132" t="s">
        <v>21</v>
      </c>
      <c r="I3" s="127"/>
      <c r="J3" s="133"/>
      <c r="K3" s="134" t="s">
        <v>33</v>
      </c>
      <c r="L3" s="117"/>
      <c r="M3" s="135"/>
    </row>
    <row r="4" spans="1:13" ht="12.75">
      <c r="A4" s="1" t="s">
        <v>0</v>
      </c>
      <c r="B4" s="4" t="s">
        <v>17</v>
      </c>
      <c r="C4" s="4" t="s">
        <v>18</v>
      </c>
      <c r="D4" s="42" t="s">
        <v>34</v>
      </c>
      <c r="E4" s="76" t="s">
        <v>17</v>
      </c>
      <c r="F4" s="8" t="s">
        <v>18</v>
      </c>
      <c r="G4" s="42" t="s">
        <v>34</v>
      </c>
      <c r="H4" s="78" t="s">
        <v>17</v>
      </c>
      <c r="I4" s="47" t="s">
        <v>18</v>
      </c>
      <c r="J4" s="79" t="s">
        <v>34</v>
      </c>
      <c r="K4" s="89" t="s">
        <v>17</v>
      </c>
      <c r="L4" s="20" t="s">
        <v>18</v>
      </c>
      <c r="M4" s="90" t="s">
        <v>34</v>
      </c>
    </row>
    <row r="5" spans="1:13" ht="12.75">
      <c r="A5" t="s">
        <v>1</v>
      </c>
      <c r="B5" s="3">
        <v>1551</v>
      </c>
      <c r="C5" s="3">
        <v>1363</v>
      </c>
      <c r="D5" s="43">
        <f>C5/B5</f>
        <v>0.8787878787878788</v>
      </c>
      <c r="E5" s="72">
        <v>1002</v>
      </c>
      <c r="F5" s="44">
        <v>925</v>
      </c>
      <c r="G5" s="28">
        <f>F5/E5</f>
        <v>0.9231536926147704</v>
      </c>
      <c r="H5" s="80">
        <v>0</v>
      </c>
      <c r="I5" s="50">
        <v>0</v>
      </c>
      <c r="J5" s="81"/>
      <c r="K5" s="72">
        <f>SUM(B5+E5+H5)</f>
        <v>2553</v>
      </c>
      <c r="L5" s="9">
        <v>2288</v>
      </c>
      <c r="M5" s="86">
        <f>L5/K5</f>
        <v>0.8962005483744614</v>
      </c>
    </row>
    <row r="6" spans="1:13" ht="12.75">
      <c r="A6" t="s">
        <v>2</v>
      </c>
      <c r="B6" s="3">
        <v>573</v>
      </c>
      <c r="C6" s="3">
        <v>524</v>
      </c>
      <c r="D6" s="43">
        <f aca="true" t="shared" si="0" ref="D6:D20">C6/B6</f>
        <v>0.9144851657940664</v>
      </c>
      <c r="E6" s="72">
        <v>449</v>
      </c>
      <c r="F6" s="44">
        <v>393</v>
      </c>
      <c r="G6" s="28">
        <f aca="true" t="shared" si="1" ref="G6:G20">F6/E6</f>
        <v>0.8752783964365256</v>
      </c>
      <c r="H6" s="80">
        <v>319</v>
      </c>
      <c r="I6" s="50">
        <v>277</v>
      </c>
      <c r="J6" s="81">
        <f aca="true" t="shared" si="2" ref="J6:J19">I6/H6</f>
        <v>0.8683385579937304</v>
      </c>
      <c r="K6" s="72">
        <f aca="true" t="shared" si="3" ref="K6:K20">SUM(B6+E6+H6)</f>
        <v>1341</v>
      </c>
      <c r="L6" s="44">
        <v>1194</v>
      </c>
      <c r="M6" s="86">
        <f aca="true" t="shared" si="4" ref="M6:M20">L6/K6</f>
        <v>0.8903803131991052</v>
      </c>
    </row>
    <row r="7" spans="1:13" ht="12.75">
      <c r="A7" t="s">
        <v>3</v>
      </c>
      <c r="B7" s="3">
        <v>199</v>
      </c>
      <c r="C7" s="3">
        <v>176</v>
      </c>
      <c r="D7" s="43">
        <f t="shared" si="0"/>
        <v>0.8844221105527639</v>
      </c>
      <c r="E7" s="72">
        <v>179</v>
      </c>
      <c r="F7" s="44">
        <v>152</v>
      </c>
      <c r="G7" s="28">
        <f t="shared" si="1"/>
        <v>0.8491620111731844</v>
      </c>
      <c r="H7" s="80">
        <v>25</v>
      </c>
      <c r="I7" s="50">
        <v>24</v>
      </c>
      <c r="J7" s="81">
        <f t="shared" si="2"/>
        <v>0.96</v>
      </c>
      <c r="K7" s="72">
        <f t="shared" si="3"/>
        <v>403</v>
      </c>
      <c r="L7" s="44">
        <v>352</v>
      </c>
      <c r="M7" s="86">
        <f t="shared" si="4"/>
        <v>0.8734491315136477</v>
      </c>
    </row>
    <row r="8" spans="1:13" ht="12.75">
      <c r="A8" t="s">
        <v>4</v>
      </c>
      <c r="B8" s="3">
        <v>4548</v>
      </c>
      <c r="C8" s="3">
        <v>3861</v>
      </c>
      <c r="D8" s="43">
        <f t="shared" si="0"/>
        <v>0.8489445910290238</v>
      </c>
      <c r="E8" s="72">
        <v>1667</v>
      </c>
      <c r="F8" s="44">
        <v>1466</v>
      </c>
      <c r="G8" s="28">
        <f t="shared" si="1"/>
        <v>0.8794241151769646</v>
      </c>
      <c r="H8" s="80">
        <v>0</v>
      </c>
      <c r="I8" s="50">
        <v>0</v>
      </c>
      <c r="J8" s="81"/>
      <c r="K8" s="72">
        <f t="shared" si="3"/>
        <v>6215</v>
      </c>
      <c r="L8" s="44">
        <v>5327</v>
      </c>
      <c r="M8" s="86">
        <f t="shared" si="4"/>
        <v>0.8571198712791633</v>
      </c>
    </row>
    <row r="9" spans="1:13" ht="12.75">
      <c r="A9" t="s">
        <v>5</v>
      </c>
      <c r="B9" s="3">
        <v>1076</v>
      </c>
      <c r="C9" s="3">
        <v>961</v>
      </c>
      <c r="D9" s="43">
        <f t="shared" si="0"/>
        <v>0.8931226765799256</v>
      </c>
      <c r="E9" s="72">
        <v>1199</v>
      </c>
      <c r="F9" s="44">
        <v>1094</v>
      </c>
      <c r="G9" s="28">
        <f t="shared" si="1"/>
        <v>0.9124270225187656</v>
      </c>
      <c r="H9" s="80">
        <v>0</v>
      </c>
      <c r="I9" s="50">
        <v>0</v>
      </c>
      <c r="J9" s="81"/>
      <c r="K9" s="72">
        <f t="shared" si="3"/>
        <v>2275</v>
      </c>
      <c r="L9" s="44">
        <v>2055</v>
      </c>
      <c r="M9" s="86">
        <f t="shared" si="4"/>
        <v>0.9032967032967033</v>
      </c>
    </row>
    <row r="10" spans="1:13" ht="12.75">
      <c r="A10" t="s">
        <v>6</v>
      </c>
      <c r="B10" s="3">
        <v>1493</v>
      </c>
      <c r="C10" s="3">
        <v>1311</v>
      </c>
      <c r="D10" s="43">
        <f t="shared" si="0"/>
        <v>0.8780977896851976</v>
      </c>
      <c r="E10" s="72">
        <v>621</v>
      </c>
      <c r="F10" s="44">
        <v>557</v>
      </c>
      <c r="G10" s="28">
        <f t="shared" si="1"/>
        <v>0.8969404186795491</v>
      </c>
      <c r="H10" s="80">
        <v>0</v>
      </c>
      <c r="I10" s="50">
        <v>0</v>
      </c>
      <c r="J10" s="81"/>
      <c r="K10" s="72">
        <f t="shared" si="3"/>
        <v>2114</v>
      </c>
      <c r="L10" s="44">
        <v>1868</v>
      </c>
      <c r="M10" s="86">
        <f t="shared" si="4"/>
        <v>0.8836329233680227</v>
      </c>
    </row>
    <row r="11" spans="1:13" ht="12.75">
      <c r="A11" t="s">
        <v>7</v>
      </c>
      <c r="B11" s="3">
        <v>899</v>
      </c>
      <c r="C11" s="3">
        <v>808</v>
      </c>
      <c r="D11" s="43">
        <f t="shared" si="0"/>
        <v>0.8987764182424917</v>
      </c>
      <c r="E11" s="72">
        <v>910</v>
      </c>
      <c r="F11" s="44">
        <v>784</v>
      </c>
      <c r="G11" s="28">
        <f t="shared" si="1"/>
        <v>0.8615384615384616</v>
      </c>
      <c r="H11" s="80">
        <v>22</v>
      </c>
      <c r="I11" s="50">
        <v>21</v>
      </c>
      <c r="J11" s="81">
        <f t="shared" si="2"/>
        <v>0.9545454545454546</v>
      </c>
      <c r="K11" s="72">
        <f t="shared" si="3"/>
        <v>1831</v>
      </c>
      <c r="L11" s="44">
        <v>1613</v>
      </c>
      <c r="M11" s="86">
        <f t="shared" si="4"/>
        <v>0.8809393773894046</v>
      </c>
    </row>
    <row r="12" spans="1:13" ht="12.75">
      <c r="A12" t="s">
        <v>8</v>
      </c>
      <c r="B12" s="3">
        <v>1118</v>
      </c>
      <c r="C12" s="3">
        <v>1029</v>
      </c>
      <c r="D12" s="43">
        <f t="shared" si="0"/>
        <v>0.9203935599284436</v>
      </c>
      <c r="E12" s="72">
        <v>996</v>
      </c>
      <c r="F12" s="44">
        <v>879</v>
      </c>
      <c r="G12" s="28">
        <f t="shared" si="1"/>
        <v>0.8825301204819277</v>
      </c>
      <c r="H12" s="80">
        <v>0</v>
      </c>
      <c r="I12" s="50">
        <v>0</v>
      </c>
      <c r="J12" s="81"/>
      <c r="K12" s="72">
        <f t="shared" si="3"/>
        <v>2114</v>
      </c>
      <c r="L12" s="44">
        <v>1908</v>
      </c>
      <c r="M12" s="86">
        <f t="shared" si="4"/>
        <v>0.902554399243141</v>
      </c>
    </row>
    <row r="13" spans="1:13" ht="12.75">
      <c r="A13" t="s">
        <v>9</v>
      </c>
      <c r="B13" s="3">
        <v>1106</v>
      </c>
      <c r="C13" s="3">
        <v>980</v>
      </c>
      <c r="D13" s="43">
        <v>0.886</v>
      </c>
      <c r="E13" s="72">
        <v>405</v>
      </c>
      <c r="F13" s="44">
        <v>354</v>
      </c>
      <c r="G13" s="28">
        <f t="shared" si="1"/>
        <v>0.8740740740740741</v>
      </c>
      <c r="H13" s="80">
        <v>0</v>
      </c>
      <c r="I13" s="50">
        <v>0</v>
      </c>
      <c r="J13" s="81"/>
      <c r="K13" s="72">
        <f t="shared" si="3"/>
        <v>1511</v>
      </c>
      <c r="L13" s="44">
        <v>1334</v>
      </c>
      <c r="M13" s="86">
        <f t="shared" si="4"/>
        <v>0.8828590337524818</v>
      </c>
    </row>
    <row r="14" spans="1:13" ht="12.75">
      <c r="A14" t="s">
        <v>10</v>
      </c>
      <c r="B14" s="3">
        <v>2271</v>
      </c>
      <c r="C14" s="3">
        <v>2022</v>
      </c>
      <c r="D14" s="43">
        <f t="shared" si="0"/>
        <v>0.8903566710700133</v>
      </c>
      <c r="E14" s="72">
        <v>993</v>
      </c>
      <c r="F14" s="44">
        <v>914</v>
      </c>
      <c r="G14" s="28">
        <f t="shared" si="1"/>
        <v>0.9204431017119838</v>
      </c>
      <c r="H14" s="80">
        <v>97</v>
      </c>
      <c r="I14" s="50">
        <v>95</v>
      </c>
      <c r="J14" s="81">
        <f t="shared" si="2"/>
        <v>0.979381443298969</v>
      </c>
      <c r="K14" s="72">
        <f t="shared" si="3"/>
        <v>3361</v>
      </c>
      <c r="L14" s="44">
        <v>3031</v>
      </c>
      <c r="M14" s="86">
        <f t="shared" si="4"/>
        <v>0.9018149360309432</v>
      </c>
    </row>
    <row r="15" spans="1:13" ht="12.75">
      <c r="A15" t="s">
        <v>11</v>
      </c>
      <c r="B15" s="3">
        <v>1121</v>
      </c>
      <c r="C15" s="3">
        <v>997</v>
      </c>
      <c r="D15" s="43">
        <f t="shared" si="0"/>
        <v>0.8893844781445138</v>
      </c>
      <c r="E15" s="72">
        <v>648</v>
      </c>
      <c r="F15" s="44">
        <v>575</v>
      </c>
      <c r="G15" s="28">
        <f t="shared" si="1"/>
        <v>0.8873456790123457</v>
      </c>
      <c r="H15" s="80">
        <v>0</v>
      </c>
      <c r="I15" s="50">
        <v>0</v>
      </c>
      <c r="J15" s="81"/>
      <c r="K15" s="72">
        <f t="shared" si="3"/>
        <v>1769</v>
      </c>
      <c r="L15" s="44">
        <v>1572</v>
      </c>
      <c r="M15" s="86">
        <f t="shared" si="4"/>
        <v>0.8886376483889203</v>
      </c>
    </row>
    <row r="16" spans="1:13" ht="12.75">
      <c r="A16" t="s">
        <v>12</v>
      </c>
      <c r="B16" s="3">
        <v>1084</v>
      </c>
      <c r="C16" s="3">
        <v>955</v>
      </c>
      <c r="D16" s="43">
        <f t="shared" si="0"/>
        <v>0.8809963099630996</v>
      </c>
      <c r="E16" s="72">
        <v>559</v>
      </c>
      <c r="F16" s="44">
        <v>504</v>
      </c>
      <c r="G16" s="28">
        <f t="shared" si="1"/>
        <v>0.9016100178890877</v>
      </c>
      <c r="H16" s="80">
        <v>0</v>
      </c>
      <c r="I16" s="50">
        <v>0</v>
      </c>
      <c r="J16" s="81"/>
      <c r="K16" s="72">
        <f t="shared" si="3"/>
        <v>1643</v>
      </c>
      <c r="L16" s="44">
        <v>1459</v>
      </c>
      <c r="M16" s="86">
        <f t="shared" si="4"/>
        <v>0.8880097382836275</v>
      </c>
    </row>
    <row r="17" spans="1:13" ht="12.75">
      <c r="A17" t="s">
        <v>13</v>
      </c>
      <c r="B17" s="3">
        <v>1191</v>
      </c>
      <c r="C17" s="3">
        <v>1101</v>
      </c>
      <c r="D17" s="43">
        <f t="shared" si="0"/>
        <v>0.924433249370277</v>
      </c>
      <c r="E17" s="72">
        <v>1367</v>
      </c>
      <c r="F17" s="44">
        <v>1249</v>
      </c>
      <c r="G17" s="28">
        <f t="shared" si="1"/>
        <v>0.9136795903438186</v>
      </c>
      <c r="H17" s="80">
        <v>14</v>
      </c>
      <c r="I17" s="50">
        <v>12</v>
      </c>
      <c r="J17" s="81">
        <f t="shared" si="2"/>
        <v>0.8571428571428571</v>
      </c>
      <c r="K17" s="72">
        <f t="shared" si="3"/>
        <v>2572</v>
      </c>
      <c r="L17" s="44">
        <v>2362</v>
      </c>
      <c r="M17" s="86">
        <f t="shared" si="4"/>
        <v>0.9183514774494557</v>
      </c>
    </row>
    <row r="18" spans="1:13" ht="12.75">
      <c r="A18" t="s">
        <v>14</v>
      </c>
      <c r="B18" s="3">
        <v>4020</v>
      </c>
      <c r="C18" s="3">
        <v>3610</v>
      </c>
      <c r="D18" s="43">
        <f t="shared" si="0"/>
        <v>0.8980099502487562</v>
      </c>
      <c r="E18" s="72">
        <v>2499</v>
      </c>
      <c r="F18" s="44">
        <v>2330</v>
      </c>
      <c r="G18" s="28">
        <f t="shared" si="1"/>
        <v>0.9323729491796718</v>
      </c>
      <c r="H18" s="80">
        <v>185</v>
      </c>
      <c r="I18" s="50">
        <v>160</v>
      </c>
      <c r="J18" s="81">
        <f t="shared" si="2"/>
        <v>0.8648648648648649</v>
      </c>
      <c r="K18" s="72">
        <f t="shared" si="3"/>
        <v>6704</v>
      </c>
      <c r="L18" s="44">
        <v>6100</v>
      </c>
      <c r="M18" s="86">
        <f t="shared" si="4"/>
        <v>0.9099045346062052</v>
      </c>
    </row>
    <row r="19" spans="1:13" ht="12.75">
      <c r="A19" t="s">
        <v>15</v>
      </c>
      <c r="B19" s="3">
        <v>1593</v>
      </c>
      <c r="C19" s="3">
        <v>1341</v>
      </c>
      <c r="D19" s="43">
        <f t="shared" si="0"/>
        <v>0.8418079096045198</v>
      </c>
      <c r="E19" s="72">
        <v>995</v>
      </c>
      <c r="F19" s="44">
        <v>841</v>
      </c>
      <c r="G19" s="28">
        <f t="shared" si="1"/>
        <v>0.8452261306532663</v>
      </c>
      <c r="H19" s="80">
        <v>391</v>
      </c>
      <c r="I19" s="50">
        <v>333</v>
      </c>
      <c r="J19" s="81">
        <f t="shared" si="2"/>
        <v>0.8516624040920716</v>
      </c>
      <c r="K19" s="72">
        <f t="shared" si="3"/>
        <v>2979</v>
      </c>
      <c r="L19" s="44">
        <v>2515</v>
      </c>
      <c r="M19" s="86">
        <f t="shared" si="4"/>
        <v>0.8442430345753609</v>
      </c>
    </row>
    <row r="20" spans="1:13" ht="12.75">
      <c r="A20" t="s">
        <v>16</v>
      </c>
      <c r="B20" s="3">
        <v>455</v>
      </c>
      <c r="C20" s="3">
        <v>403</v>
      </c>
      <c r="D20" s="43">
        <f t="shared" si="0"/>
        <v>0.8857142857142857</v>
      </c>
      <c r="E20" s="72">
        <v>571</v>
      </c>
      <c r="F20" s="44">
        <v>479</v>
      </c>
      <c r="G20" s="28">
        <f t="shared" si="1"/>
        <v>0.8388791593695272</v>
      </c>
      <c r="H20" s="80">
        <v>0</v>
      </c>
      <c r="I20" s="50">
        <v>0</v>
      </c>
      <c r="J20" s="81"/>
      <c r="K20" s="72">
        <f t="shared" si="3"/>
        <v>1026</v>
      </c>
      <c r="L20" s="44">
        <v>882</v>
      </c>
      <c r="M20" s="86">
        <f t="shared" si="4"/>
        <v>0.8596491228070176</v>
      </c>
    </row>
    <row r="21" spans="1:13" ht="12.75">
      <c r="A21" s="1" t="s">
        <v>22</v>
      </c>
      <c r="B21" s="5">
        <f>SUM(B5:B20)</f>
        <v>24298</v>
      </c>
      <c r="C21" s="5">
        <f>SUM(C5:C20)</f>
        <v>21442</v>
      </c>
      <c r="D21" s="41">
        <f>C21/B21</f>
        <v>0.8824594616840892</v>
      </c>
      <c r="E21" s="73">
        <f>SUM(E5:E20)</f>
        <v>15060</v>
      </c>
      <c r="F21" s="11">
        <f>SUM(F5:F20)</f>
        <v>13496</v>
      </c>
      <c r="G21" s="77">
        <f>F21/E21</f>
        <v>0.8961487383798141</v>
      </c>
      <c r="H21" s="75">
        <f>SUM(H5:H20)</f>
        <v>1053</v>
      </c>
      <c r="I21" s="52">
        <f>SUM(I5:I20)</f>
        <v>922</v>
      </c>
      <c r="J21" s="82">
        <f>I21/H21</f>
        <v>0.8755935422602089</v>
      </c>
      <c r="K21" s="73">
        <f>SUM(K5:K20)</f>
        <v>40411</v>
      </c>
      <c r="L21" s="11">
        <f>SUM(L5:L20)</f>
        <v>35860</v>
      </c>
      <c r="M21" s="91">
        <f>L21/K21</f>
        <v>0.8873821484249338</v>
      </c>
    </row>
    <row r="22" spans="1:13" ht="12.75">
      <c r="A22" s="1" t="s">
        <v>23</v>
      </c>
      <c r="B22" s="5">
        <f>(B23-B21)</f>
        <v>41094</v>
      </c>
      <c r="C22" s="5">
        <f>(C23-C21)</f>
        <v>36072</v>
      </c>
      <c r="D22" s="103">
        <f>C22/B22</f>
        <v>0.8777923784494087</v>
      </c>
      <c r="E22" s="5">
        <f>(E23-E21)</f>
        <v>26286</v>
      </c>
      <c r="F22" s="5">
        <f>(F23-F21)</f>
        <v>23009</v>
      </c>
      <c r="G22" s="103">
        <f>F22/E22</f>
        <v>0.8753328768165564</v>
      </c>
      <c r="H22" s="52">
        <f>(H23-H21)</f>
        <v>2758</v>
      </c>
      <c r="I22" s="104">
        <f>(I23-I21)</f>
        <v>2490</v>
      </c>
      <c r="J22" s="82">
        <f>I22/H22</f>
        <v>0.9028281363306744</v>
      </c>
      <c r="K22" s="105">
        <f>(K23-K21)</f>
        <v>70138</v>
      </c>
      <c r="L22" s="106">
        <f>(L23-L21)</f>
        <v>61571</v>
      </c>
      <c r="M22" s="91">
        <v>0.878</v>
      </c>
    </row>
    <row r="23" spans="1:13" ht="12.75">
      <c r="A23" s="1" t="s">
        <v>24</v>
      </c>
      <c r="B23" s="107">
        <v>65392</v>
      </c>
      <c r="C23" s="107">
        <v>57514</v>
      </c>
      <c r="D23" s="108">
        <f>C23/B23</f>
        <v>0.8795265475899192</v>
      </c>
      <c r="E23" s="109">
        <v>41346</v>
      </c>
      <c r="F23" s="110">
        <v>36505</v>
      </c>
      <c r="G23" s="111">
        <f>F23/E23</f>
        <v>0.88291491317177</v>
      </c>
      <c r="H23" s="112">
        <v>3811</v>
      </c>
      <c r="I23" s="113">
        <v>3412</v>
      </c>
      <c r="J23" s="114">
        <f>I23/H23</f>
        <v>0.8953030700603516</v>
      </c>
      <c r="K23" s="109">
        <f>B23+E23+H23</f>
        <v>110549</v>
      </c>
      <c r="L23" s="110">
        <f>C23+F23+I23</f>
        <v>97431</v>
      </c>
      <c r="M23" s="115">
        <f>L23/K23</f>
        <v>0.881337687360356</v>
      </c>
    </row>
    <row r="24" spans="1:13" ht="13.5" thickBot="1">
      <c r="A24" s="31" t="s">
        <v>26</v>
      </c>
      <c r="B24" s="37">
        <f>B21/B23</f>
        <v>0.3715745045265476</v>
      </c>
      <c r="C24" s="37">
        <f>C21/C23</f>
        <v>0.3728135758250165</v>
      </c>
      <c r="D24" s="37"/>
      <c r="E24" s="87">
        <f>E21/E23</f>
        <v>0.3642432157887099</v>
      </c>
      <c r="F24" s="85">
        <f>F21/F23</f>
        <v>0.3697027804410355</v>
      </c>
      <c r="G24" s="88"/>
      <c r="H24" s="83">
        <f>H21/H23</f>
        <v>0.27630543164523746</v>
      </c>
      <c r="I24" s="83">
        <f>I21/I23</f>
        <v>0.2702227432590856</v>
      </c>
      <c r="J24" s="84"/>
      <c r="K24" s="87">
        <f>K21/K23</f>
        <v>0.3655483088946983</v>
      </c>
      <c r="L24" s="85">
        <f>L21/L23</f>
        <v>0.3680553417290185</v>
      </c>
      <c r="M24" s="88"/>
    </row>
    <row r="25" ht="12.75">
      <c r="A25" s="1" t="s">
        <v>43</v>
      </c>
    </row>
  </sheetData>
  <mergeCells count="5">
    <mergeCell ref="A1:M1"/>
    <mergeCell ref="B3:D3"/>
    <mergeCell ref="E3:G3"/>
    <mergeCell ref="H3:J3"/>
    <mergeCell ref="K3:M3"/>
  </mergeCells>
  <printOptions horizontalCentered="1" verticalCentered="1"/>
  <pageMargins left="0.5" right="0.5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eaiken</dc:creator>
  <cp:keywords/>
  <dc:description/>
  <cp:lastModifiedBy>Eula Aiken</cp:lastModifiedBy>
  <cp:lastPrinted>2008-02-25T21:22:15Z</cp:lastPrinted>
  <dcterms:created xsi:type="dcterms:W3CDTF">2003-04-08T11:43:33Z</dcterms:created>
  <dcterms:modified xsi:type="dcterms:W3CDTF">2008-02-25T21:29:43Z</dcterms:modified>
  <cp:category/>
  <cp:version/>
  <cp:contentType/>
  <cp:contentStatus/>
</cp:coreProperties>
</file>