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Database " sheetId="1" r:id="rId1"/>
    <sheet name="Grouped Summary" sheetId="2" r:id="rId2"/>
    <sheet name="Rationale" sheetId="3" r:id="rId3"/>
    <sheet name="Combined Sals" sheetId="4" r:id="rId4"/>
    <sheet name="Unranked Tables" sheetId="5" r:id="rId5"/>
    <sheet name="Graph Data" sheetId="6" r:id="rId6"/>
    <sheet name="Graph 1" sheetId="7" r:id="rId7"/>
    <sheet name="Macros" sheetId="8" r:id="rId8"/>
  </sheets>
  <definedNames>
    <definedName name="\E">'Macros'!$B$3</definedName>
    <definedName name="\F">'Macros'!$F$17:$F$26</definedName>
    <definedName name="\L">'Macros'!$F$5:$F$14</definedName>
    <definedName name="_Fill" hidden="1">'Unranked Tables'!$O$313:$O$327</definedName>
    <definedName name="_Key1" hidden="1">'Database '!$A$5</definedName>
    <definedName name="_Key2" hidden="1">'Database '!$D$599</definedName>
    <definedName name="_Order1" hidden="1">255</definedName>
    <definedName name="_Order2" hidden="1">255</definedName>
    <definedName name="_Sort" hidden="1">'Database '!$A$5:$AC$631</definedName>
    <definedName name="ARBAC">'Unranked Tables'!$N$280:$N$296</definedName>
    <definedName name="ARDI">'Unranked Tables'!$N$125:$N$141</definedName>
    <definedName name="ARDII">'Unranked Tables'!$N$156:$N$172</definedName>
    <definedName name="ARDIII">'Unranked Tables'!$N$187:$N$203</definedName>
    <definedName name="ARMI">'Unranked Tables'!$N$218:$N$234</definedName>
    <definedName name="ARMII">'Unranked Tables'!$N$249:$N$265</definedName>
    <definedName name="ARTI">'Unranked Tables'!$N$311:$N$327</definedName>
    <definedName name="ARTII">'Unranked Tables'!$N$342:$N$358</definedName>
    <definedName name="BAC">'Unranked Tables'!$L$31:$L$47</definedName>
    <definedName name="BOB">'Unranked Tables'!$L$127:$L$141</definedName>
    <definedName name="BOB10">'Unranked Tables'!$L$282:$L$296</definedName>
    <definedName name="BOB11">'Unranked Tables'!$N$282:$N$296</definedName>
    <definedName name="BOB12">'Unranked Tables'!$L$313:$L$327</definedName>
    <definedName name="BOB13">'Unranked Tables'!$N$313:$N$327</definedName>
    <definedName name="BOB14">'Unranked Tables'!$L$344:$L$358</definedName>
    <definedName name="BOB15">'Unranked Tables'!$N$344:$N$358</definedName>
    <definedName name="BOB2">'Unranked Tables'!$L$158:$L$171</definedName>
    <definedName name="BOB3">'Unranked Tables'!$N$158:$N$172</definedName>
    <definedName name="BOB4">'Unranked Tables'!$L$189:$L$203</definedName>
    <definedName name="BOB5">'Unranked Tables'!$N$189:$N$203</definedName>
    <definedName name="BOB6">'Unranked Tables'!$L$220:$L$234</definedName>
    <definedName name="BOB7">'Unranked Tables'!$N$220:$N$234</definedName>
    <definedName name="BOB8">'Unranked Tables'!$L$251:$L$265</definedName>
    <definedName name="BOB9">'Unranked Tables'!$N$251:$N$265</definedName>
    <definedName name="COMBSALS">'Combined Sals'!$B$1:$V$600</definedName>
    <definedName name="DOCI">'Unranked Tables'!$B$31:$B$47</definedName>
    <definedName name="DOCII">'Unranked Tables'!$D$31:$D$47</definedName>
    <definedName name="DOCIII">'Unranked Tables'!$F$31:$F$47</definedName>
    <definedName name="G_1">'Graph 1'!$A$2:$C$52</definedName>
    <definedName name="MASTI">'Unranked Tables'!$H$31:$H$47</definedName>
    <definedName name="MASTII">'Unranked Tables'!$J$31:$J$47</definedName>
    <definedName name="N_19">'Unranked Tables'!$B$10:$O$19</definedName>
    <definedName name="N_20">'Unranked Tables'!$B$31:$M$47</definedName>
    <definedName name="N_21">'Unranked Tables'!$B$62:$G$78</definedName>
    <definedName name="N_22">'Unranked Tables'!$B$94:$O$110</definedName>
    <definedName name="N_23">'Unranked Tables'!$B$125:$O$141</definedName>
    <definedName name="N_24">'Unranked Tables'!$B$156:$O$172</definedName>
    <definedName name="N_25">'Unranked Tables'!$B$187:$O$203</definedName>
    <definedName name="N_26">'Unranked Tables'!$B$218:$O$234</definedName>
    <definedName name="N_27">'Unranked Tables'!$B$249:$O$265</definedName>
    <definedName name="N_28">'Unranked Tables'!$B$280:$O$296</definedName>
    <definedName name="N_29">'Unranked Tables'!$B$311:$O$327</definedName>
    <definedName name="N_30">'Unranked Tables'!$B$342:$O$358</definedName>
    <definedName name="PETE1">'Unranked Tables'!$B$127:$B$141</definedName>
    <definedName name="PETE10">'Unranked Tables'!$H$158:$H$172</definedName>
    <definedName name="PETE11">'Unranked Tables'!$L$158:$L$172</definedName>
    <definedName name="PETE12">'Unranked Tables'!$N$158:$N$172</definedName>
    <definedName name="PETE13">'Unranked Tables'!$B$189:$B$203</definedName>
    <definedName name="PETE14">'Unranked Tables'!$D$189:$D$203</definedName>
    <definedName name="PETE15">'Unranked Tables'!$F$189:$F$203</definedName>
    <definedName name="PETE16">'Unranked Tables'!$H$189:$H$203</definedName>
    <definedName name="PETE17">'Unranked Tables'!$L$189:$L$203</definedName>
    <definedName name="PETE18">'Unranked Tables'!$H$189:$H$203</definedName>
    <definedName name="PETE19">'Unranked Tables'!$L$189:$L$203</definedName>
    <definedName name="PETE2">'Unranked Tables'!$D$127:$D$141</definedName>
    <definedName name="PETE20">'Unranked Tables'!$N$189:$N$203</definedName>
    <definedName name="PETE21">'Unranked Tables'!$B$220:$B$234</definedName>
    <definedName name="PETE22">'Unranked Tables'!$D$220:$D$234</definedName>
    <definedName name="PETE23">'Unranked Tables'!$F$220:$F$234</definedName>
    <definedName name="PETE24">'Unranked Tables'!$H$220:$H$234</definedName>
    <definedName name="PETE25">'Unranked Tables'!$L$220:$L$234</definedName>
    <definedName name="PETE26">'Unranked Tables'!$B$251:$B$265</definedName>
    <definedName name="PETE27">'Unranked Tables'!$D$251:$D$265</definedName>
    <definedName name="PETE3">'Unranked Tables'!$F$127:$F$141</definedName>
    <definedName name="PETE4">'Unranked Tables'!$H$127:$H$141</definedName>
    <definedName name="PETE5">'Unranked Tables'!$L$127:$L$141</definedName>
    <definedName name="PETE6">'Unranked Tables'!$N$127:$N$141</definedName>
    <definedName name="PETE7">'Unranked Tables'!$B$158:$B$172</definedName>
    <definedName name="PETE8">'Unranked Tables'!$D$158:$D$172</definedName>
    <definedName name="PETE9">'Unranked Tables'!$F$158:$F$172</definedName>
    <definedName name="_xlnm.Print_Area" localSheetId="3">'Combined Sals'!$A$22:$M$52</definedName>
    <definedName name="_xlnm.Print_Area" localSheetId="4">'Unranked Tables'!$A$46:$O$332</definedName>
    <definedName name="Print_Area_MI" localSheetId="3">'Combined Sals'!$A$22:$M$52</definedName>
    <definedName name="TAB_19">'Combined Sals:Unranked Tables'!$B$25:$O$612</definedName>
    <definedName name="TAB_20">'Unranked Tables'!$A$22:$M$52</definedName>
    <definedName name="TAB_21">'Combined Sals:Unranked Tables'!$B$52:$IT$8148</definedName>
    <definedName name="TAB_25">'Combined Sals:Unranked Tables'!$B$71:$IT$8148</definedName>
    <definedName name="TAB_27">'Unranked Tables'!$A$116:$O$142</definedName>
    <definedName name="TAB_28">'Combined Sals:Unranked Tables'!$B$115:$IT$8148</definedName>
    <definedName name="TAB_29">'Combined Sals:Unranked Tables'!$B$133:$IT$8148</definedName>
    <definedName name="TAB_30">'Combined Sals:Unranked Tables'!$B$151:$IT$8148</definedName>
    <definedName name="TAB_31">'Combined Sals:Unranked Tables'!$B$178:$IT$8148</definedName>
    <definedName name="TAB_32">'Combined Sals:Unranked Tables'!$B$209:$IT$8148</definedName>
    <definedName name="TAB_33">'Combined Sals:Unranked Tables'!$B$238:$IT$8148</definedName>
    <definedName name="TAB_34">'Combined Sals:Unranked Tables'!$B$268:$O$1031</definedName>
    <definedName name="TABLES">'Combined Sals:Unranked Tables'!$B$1:$O$1031</definedName>
    <definedName name="TI">'Unranked Tables'!$B$62:$B$78</definedName>
    <definedName name="TII">'Unranked Tables'!$F$62:$F$78</definedName>
  </definedNames>
  <calcPr calcMode="manual" fullCalcOnLoad="1" calcCompleted="0" calcOnSave="0" iterate="1" iterateCount="1" iterateDelta="0.00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D5" authorId="0">
      <text>
        <r>
          <rPr>
            <sz val="8"/>
            <rFont val="Tahoma"/>
            <family val="0"/>
          </rPr>
          <t>Formula failed to convert</t>
        </r>
      </text>
    </comment>
    <comment ref="F5" authorId="0">
      <text>
        <r>
          <rPr>
            <sz val="8"/>
            <rFont val="Tahoma"/>
            <family val="0"/>
          </rPr>
          <t>Formula failed to convert</t>
        </r>
      </text>
    </comment>
    <comment ref="H5" authorId="0">
      <text>
        <r>
          <rPr>
            <sz val="8"/>
            <rFont val="Tahoma"/>
            <family val="0"/>
          </rPr>
          <t>Formula failed to convert</t>
        </r>
      </text>
    </comment>
    <comment ref="J5" authorId="0">
      <text>
        <r>
          <rPr>
            <sz val="8"/>
            <rFont val="Tahoma"/>
            <family val="0"/>
          </rPr>
          <t>Formula failed to convert</t>
        </r>
      </text>
    </comment>
    <comment ref="L5" authorId="0">
      <text>
        <r>
          <rPr>
            <sz val="8"/>
            <rFont val="Tahoma"/>
            <family val="0"/>
          </rPr>
          <t>Formula failed to convert</t>
        </r>
      </text>
    </comment>
    <comment ref="D7" authorId="0">
      <text>
        <r>
          <rPr>
            <sz val="8"/>
            <rFont val="Tahoma"/>
            <family val="0"/>
          </rPr>
          <t>Formula failed to convert</t>
        </r>
      </text>
    </comment>
    <comment ref="F7" authorId="0">
      <text>
        <r>
          <rPr>
            <sz val="8"/>
            <rFont val="Tahoma"/>
            <family val="0"/>
          </rPr>
          <t>Formula failed to convert</t>
        </r>
      </text>
    </comment>
    <comment ref="H7" authorId="0">
      <text>
        <r>
          <rPr>
            <sz val="8"/>
            <rFont val="Tahoma"/>
            <family val="0"/>
          </rPr>
          <t>Formula failed to convert</t>
        </r>
      </text>
    </comment>
    <comment ref="J7" authorId="0">
      <text>
        <r>
          <rPr>
            <sz val="8"/>
            <rFont val="Tahoma"/>
            <family val="0"/>
          </rPr>
          <t>Formula failed to convert</t>
        </r>
      </text>
    </comment>
    <comment ref="L7" authorId="0">
      <text>
        <r>
          <rPr>
            <sz val="8"/>
            <rFont val="Tahoma"/>
            <family val="0"/>
          </rPr>
          <t>Formula failed to convert</t>
        </r>
      </text>
    </comment>
    <comment ref="D8" authorId="0">
      <text>
        <r>
          <rPr>
            <sz val="8"/>
            <rFont val="Tahoma"/>
            <family val="0"/>
          </rPr>
          <t>Formula failed to convert</t>
        </r>
      </text>
    </comment>
    <comment ref="F8" authorId="0">
      <text>
        <r>
          <rPr>
            <sz val="8"/>
            <rFont val="Tahoma"/>
            <family val="0"/>
          </rPr>
          <t>Formula failed to convert</t>
        </r>
      </text>
    </comment>
    <comment ref="H8" authorId="0">
      <text>
        <r>
          <rPr>
            <sz val="8"/>
            <rFont val="Tahoma"/>
            <family val="0"/>
          </rPr>
          <t>Formula failed to convert</t>
        </r>
      </text>
    </comment>
    <comment ref="J8" authorId="0">
      <text>
        <r>
          <rPr>
            <sz val="8"/>
            <rFont val="Tahoma"/>
            <family val="0"/>
          </rPr>
          <t>Formula failed to convert</t>
        </r>
      </text>
    </comment>
    <comment ref="D9" authorId="0">
      <text>
        <r>
          <rPr>
            <sz val="8"/>
            <rFont val="Tahoma"/>
            <family val="0"/>
          </rPr>
          <t>Formula failed to convert</t>
        </r>
      </text>
    </comment>
    <comment ref="F9" authorId="0">
      <text>
        <r>
          <rPr>
            <sz val="8"/>
            <rFont val="Tahoma"/>
            <family val="0"/>
          </rPr>
          <t>Formula failed to convert</t>
        </r>
      </text>
    </comment>
    <comment ref="H9" authorId="0">
      <text>
        <r>
          <rPr>
            <sz val="8"/>
            <rFont val="Tahoma"/>
            <family val="0"/>
          </rPr>
          <t>Formula failed to convert</t>
        </r>
      </text>
    </comment>
    <comment ref="J9" authorId="0">
      <text>
        <r>
          <rPr>
            <sz val="8"/>
            <rFont val="Tahoma"/>
            <family val="0"/>
          </rPr>
          <t>Formula failed to convert</t>
        </r>
      </text>
    </comment>
    <comment ref="L9" authorId="0">
      <text>
        <r>
          <rPr>
            <sz val="8"/>
            <rFont val="Tahoma"/>
            <family val="0"/>
          </rPr>
          <t>Formula failed to convert</t>
        </r>
      </text>
    </comment>
    <comment ref="N11" authorId="0">
      <text>
        <r>
          <rPr>
            <sz val="8"/>
            <rFont val="Tahoma"/>
            <family val="0"/>
          </rPr>
          <t>Formula failed to convert</t>
        </r>
      </text>
    </comment>
    <comment ref="N12" authorId="0">
      <text>
        <r>
          <rPr>
            <sz val="8"/>
            <rFont val="Tahoma"/>
            <family val="0"/>
          </rPr>
          <t>Formula failed to convert</t>
        </r>
      </text>
    </comment>
    <comment ref="D13" authorId="0">
      <text>
        <r>
          <rPr>
            <sz val="8"/>
            <rFont val="Tahoma"/>
            <family val="0"/>
          </rPr>
          <t>Formula failed to convert</t>
        </r>
      </text>
    </comment>
    <comment ref="F13" authorId="0">
      <text>
        <r>
          <rPr>
            <sz val="8"/>
            <rFont val="Tahoma"/>
            <family val="0"/>
          </rPr>
          <t>Formula failed to convert</t>
        </r>
      </text>
    </comment>
    <comment ref="H13" authorId="0">
      <text>
        <r>
          <rPr>
            <sz val="8"/>
            <rFont val="Tahoma"/>
            <family val="0"/>
          </rPr>
          <t>Formula failed to convert</t>
        </r>
      </text>
    </comment>
    <comment ref="J13" authorId="0">
      <text>
        <r>
          <rPr>
            <sz val="8"/>
            <rFont val="Tahoma"/>
            <family val="0"/>
          </rPr>
          <t>Formula failed to convert</t>
        </r>
      </text>
    </comment>
    <comment ref="L13" authorId="0">
      <text>
        <r>
          <rPr>
            <sz val="8"/>
            <rFont val="Tahoma"/>
            <family val="0"/>
          </rPr>
          <t>Formula failed to convert</t>
        </r>
      </text>
    </comment>
    <comment ref="D15" authorId="0">
      <text>
        <r>
          <rPr>
            <sz val="8"/>
            <rFont val="Tahoma"/>
            <family val="0"/>
          </rPr>
          <t>Formula failed to convert</t>
        </r>
      </text>
    </comment>
    <comment ref="F15" authorId="0">
      <text>
        <r>
          <rPr>
            <sz val="8"/>
            <rFont val="Tahoma"/>
            <family val="0"/>
          </rPr>
          <t>Formula failed to convert</t>
        </r>
      </text>
    </comment>
    <comment ref="H15" authorId="0">
      <text>
        <r>
          <rPr>
            <sz val="8"/>
            <rFont val="Tahoma"/>
            <family val="0"/>
          </rPr>
          <t>Formula failed to convert</t>
        </r>
      </text>
    </comment>
    <comment ref="J15" authorId="0">
      <text>
        <r>
          <rPr>
            <sz val="8"/>
            <rFont val="Tahoma"/>
            <family val="0"/>
          </rPr>
          <t>Formula failed to convert</t>
        </r>
      </text>
    </comment>
    <comment ref="L15" authorId="0">
      <text>
        <r>
          <rPr>
            <sz val="8"/>
            <rFont val="Tahoma"/>
            <family val="0"/>
          </rPr>
          <t>Formula failed to convert</t>
        </r>
      </text>
    </comment>
    <comment ref="D16" authorId="0">
      <text>
        <r>
          <rPr>
            <sz val="8"/>
            <rFont val="Tahoma"/>
            <family val="0"/>
          </rPr>
          <t>Formula failed to convert</t>
        </r>
      </text>
    </comment>
    <comment ref="F16" authorId="0">
      <text>
        <r>
          <rPr>
            <sz val="8"/>
            <rFont val="Tahoma"/>
            <family val="0"/>
          </rPr>
          <t>Formula failed to convert</t>
        </r>
      </text>
    </comment>
    <comment ref="H16" authorId="0">
      <text>
        <r>
          <rPr>
            <sz val="8"/>
            <rFont val="Tahoma"/>
            <family val="0"/>
          </rPr>
          <t>Formula failed to convert</t>
        </r>
      </text>
    </comment>
    <comment ref="J16" authorId="0">
      <text>
        <r>
          <rPr>
            <sz val="8"/>
            <rFont val="Tahoma"/>
            <family val="0"/>
          </rPr>
          <t>Formula failed to convert</t>
        </r>
      </text>
    </comment>
    <comment ref="D17" authorId="0">
      <text>
        <r>
          <rPr>
            <sz val="8"/>
            <rFont val="Tahoma"/>
            <family val="0"/>
          </rPr>
          <t>Formula failed to convert</t>
        </r>
      </text>
    </comment>
    <comment ref="F17" authorId="0">
      <text>
        <r>
          <rPr>
            <sz val="8"/>
            <rFont val="Tahoma"/>
            <family val="0"/>
          </rPr>
          <t>Formula failed to convert</t>
        </r>
      </text>
    </comment>
    <comment ref="H17" authorId="0">
      <text>
        <r>
          <rPr>
            <sz val="8"/>
            <rFont val="Tahoma"/>
            <family val="0"/>
          </rPr>
          <t>Formula failed to convert</t>
        </r>
      </text>
    </comment>
    <comment ref="J17" authorId="0">
      <text>
        <r>
          <rPr>
            <sz val="8"/>
            <rFont val="Tahoma"/>
            <family val="0"/>
          </rPr>
          <t>Formula failed to convert</t>
        </r>
      </text>
    </comment>
    <comment ref="N19" authorId="0">
      <text>
        <r>
          <rPr>
            <sz val="8"/>
            <rFont val="Tahoma"/>
            <family val="0"/>
          </rPr>
          <t>Formula failed to convert</t>
        </r>
      </text>
    </comment>
    <comment ref="N20" authorId="0">
      <text>
        <r>
          <rPr>
            <sz val="8"/>
            <rFont val="Tahoma"/>
            <family val="0"/>
          </rPr>
          <t>Formula failed to convert</t>
        </r>
      </text>
    </comment>
    <comment ref="D23" authorId="0">
      <text>
        <r>
          <rPr>
            <sz val="8"/>
            <rFont val="Tahoma"/>
            <family val="0"/>
          </rPr>
          <t>Formula failed to convert</t>
        </r>
      </text>
    </comment>
    <comment ref="F23" authorId="0">
      <text>
        <r>
          <rPr>
            <sz val="8"/>
            <rFont val="Tahoma"/>
            <family val="0"/>
          </rPr>
          <t>Formula failed to convert</t>
        </r>
      </text>
    </comment>
    <comment ref="H23" authorId="0">
      <text>
        <r>
          <rPr>
            <sz val="8"/>
            <rFont val="Tahoma"/>
            <family val="0"/>
          </rPr>
          <t>Formula failed to convert</t>
        </r>
      </text>
    </comment>
    <comment ref="J23" authorId="0">
      <text>
        <r>
          <rPr>
            <sz val="8"/>
            <rFont val="Tahoma"/>
            <family val="0"/>
          </rPr>
          <t>Formula failed to convert</t>
        </r>
      </text>
    </comment>
    <comment ref="L23" authorId="0">
      <text>
        <r>
          <rPr>
            <sz val="8"/>
            <rFont val="Tahoma"/>
            <family val="0"/>
          </rPr>
          <t>Formula failed to convert</t>
        </r>
      </text>
    </comment>
    <comment ref="D25" authorId="0">
      <text>
        <r>
          <rPr>
            <sz val="8"/>
            <rFont val="Tahoma"/>
            <family val="0"/>
          </rPr>
          <t>Formula failed to convert</t>
        </r>
      </text>
    </comment>
    <comment ref="F25" authorId="0">
      <text>
        <r>
          <rPr>
            <sz val="8"/>
            <rFont val="Tahoma"/>
            <family val="0"/>
          </rPr>
          <t>Formula failed to convert</t>
        </r>
      </text>
    </comment>
    <comment ref="H25" authorId="0">
      <text>
        <r>
          <rPr>
            <sz val="8"/>
            <rFont val="Tahoma"/>
            <family val="0"/>
          </rPr>
          <t>Formula failed to convert</t>
        </r>
      </text>
    </comment>
    <comment ref="J25" authorId="0">
      <text>
        <r>
          <rPr>
            <sz val="8"/>
            <rFont val="Tahoma"/>
            <family val="0"/>
          </rPr>
          <t>Formula failed to convert</t>
        </r>
      </text>
    </comment>
    <comment ref="D26" authorId="0">
      <text>
        <r>
          <rPr>
            <sz val="8"/>
            <rFont val="Tahoma"/>
            <family val="0"/>
          </rPr>
          <t>Formula failed to convert</t>
        </r>
      </text>
    </comment>
    <comment ref="F26" authorId="0">
      <text>
        <r>
          <rPr>
            <sz val="8"/>
            <rFont val="Tahoma"/>
            <family val="0"/>
          </rPr>
          <t>Formula failed to convert</t>
        </r>
      </text>
    </comment>
    <comment ref="H26" authorId="0">
      <text>
        <r>
          <rPr>
            <sz val="8"/>
            <rFont val="Tahoma"/>
            <family val="0"/>
          </rPr>
          <t>Formula failed to convert</t>
        </r>
      </text>
    </comment>
    <comment ref="J26" authorId="0">
      <text>
        <r>
          <rPr>
            <sz val="8"/>
            <rFont val="Tahoma"/>
            <family val="0"/>
          </rPr>
          <t>Formula failed to convert</t>
        </r>
      </text>
    </comment>
    <comment ref="L26" authorId="0">
      <text>
        <r>
          <rPr>
            <sz val="8"/>
            <rFont val="Tahoma"/>
            <family val="0"/>
          </rPr>
          <t>Formula failed to convert</t>
        </r>
      </text>
    </comment>
    <comment ref="N27" authorId="0">
      <text>
        <r>
          <rPr>
            <sz val="8"/>
            <rFont val="Tahoma"/>
            <family val="0"/>
          </rPr>
          <t>Formula failed to convert</t>
        </r>
      </text>
    </comment>
    <comment ref="D31" authorId="0">
      <text>
        <r>
          <rPr>
            <sz val="8"/>
            <rFont val="Tahoma"/>
            <family val="0"/>
          </rPr>
          <t>Formula failed to convert</t>
        </r>
      </text>
    </comment>
    <comment ref="F31" authorId="0">
      <text>
        <r>
          <rPr>
            <sz val="8"/>
            <rFont val="Tahoma"/>
            <family val="0"/>
          </rPr>
          <t>Formula failed to convert</t>
        </r>
      </text>
    </comment>
    <comment ref="H31" authorId="0">
      <text>
        <r>
          <rPr>
            <sz val="8"/>
            <rFont val="Tahoma"/>
            <family val="0"/>
          </rPr>
          <t>Formula failed to convert</t>
        </r>
      </text>
    </comment>
    <comment ref="J31" authorId="0">
      <text>
        <r>
          <rPr>
            <sz val="8"/>
            <rFont val="Tahoma"/>
            <family val="0"/>
          </rPr>
          <t>Formula failed to convert</t>
        </r>
      </text>
    </comment>
    <comment ref="L31" authorId="0">
      <text>
        <r>
          <rPr>
            <sz val="8"/>
            <rFont val="Tahoma"/>
            <family val="0"/>
          </rPr>
          <t>Formula failed to convert</t>
        </r>
      </text>
    </comment>
    <comment ref="D33" authorId="0">
      <text>
        <r>
          <rPr>
            <sz val="8"/>
            <rFont val="Tahoma"/>
            <family val="0"/>
          </rPr>
          <t>Formula failed to convert</t>
        </r>
      </text>
    </comment>
    <comment ref="F33" authorId="0">
      <text>
        <r>
          <rPr>
            <sz val="8"/>
            <rFont val="Tahoma"/>
            <family val="0"/>
          </rPr>
          <t>Formula failed to convert</t>
        </r>
      </text>
    </comment>
    <comment ref="H33" authorId="0">
      <text>
        <r>
          <rPr>
            <sz val="8"/>
            <rFont val="Tahoma"/>
            <family val="0"/>
          </rPr>
          <t>Formula failed to convert</t>
        </r>
      </text>
    </comment>
    <comment ref="J33" authorId="0">
      <text>
        <r>
          <rPr>
            <sz val="8"/>
            <rFont val="Tahoma"/>
            <family val="0"/>
          </rPr>
          <t>Formula failed to convert</t>
        </r>
      </text>
    </comment>
    <comment ref="D34" authorId="0">
      <text>
        <r>
          <rPr>
            <sz val="8"/>
            <rFont val="Tahoma"/>
            <family val="0"/>
          </rPr>
          <t>Formula failed to convert</t>
        </r>
      </text>
    </comment>
    <comment ref="F34" authorId="0">
      <text>
        <r>
          <rPr>
            <sz val="8"/>
            <rFont val="Tahoma"/>
            <family val="0"/>
          </rPr>
          <t>Formula failed to convert</t>
        </r>
      </text>
    </comment>
    <comment ref="H34" authorId="0">
      <text>
        <r>
          <rPr>
            <sz val="8"/>
            <rFont val="Tahoma"/>
            <family val="0"/>
          </rPr>
          <t>Formula failed to convert</t>
        </r>
      </text>
    </comment>
    <comment ref="J34" authorId="0">
      <text>
        <r>
          <rPr>
            <sz val="8"/>
            <rFont val="Tahoma"/>
            <family val="0"/>
          </rPr>
          <t>Formula failed to convert</t>
        </r>
      </text>
    </comment>
    <comment ref="L34" authorId="0">
      <text>
        <r>
          <rPr>
            <sz val="8"/>
            <rFont val="Tahoma"/>
            <family val="0"/>
          </rPr>
          <t>Formula failed to convert</t>
        </r>
      </text>
    </comment>
    <comment ref="N35" authorId="0">
      <text>
        <r>
          <rPr>
            <sz val="8"/>
            <rFont val="Tahoma"/>
            <family val="0"/>
          </rPr>
          <t>Formula failed to convert</t>
        </r>
      </text>
    </comment>
    <comment ref="D37" authorId="0">
      <text>
        <r>
          <rPr>
            <sz val="8"/>
            <rFont val="Tahoma"/>
            <family val="0"/>
          </rPr>
          <t>Formula failed to convert</t>
        </r>
      </text>
    </comment>
    <comment ref="F37" authorId="0">
      <text>
        <r>
          <rPr>
            <sz val="8"/>
            <rFont val="Tahoma"/>
            <family val="0"/>
          </rPr>
          <t>Formula failed to convert</t>
        </r>
      </text>
    </comment>
    <comment ref="H37" authorId="0">
      <text>
        <r>
          <rPr>
            <sz val="8"/>
            <rFont val="Tahoma"/>
            <family val="0"/>
          </rPr>
          <t>Formula failed to convert</t>
        </r>
      </text>
    </comment>
    <comment ref="J37" authorId="0">
      <text>
        <r>
          <rPr>
            <sz val="8"/>
            <rFont val="Tahoma"/>
            <family val="0"/>
          </rPr>
          <t>Formula failed to convert</t>
        </r>
      </text>
    </comment>
    <comment ref="L37" authorId="0">
      <text>
        <r>
          <rPr>
            <sz val="8"/>
            <rFont val="Tahoma"/>
            <family val="0"/>
          </rPr>
          <t>Formula failed to convert</t>
        </r>
      </text>
    </comment>
    <comment ref="D38" authorId="0">
      <text>
        <r>
          <rPr>
            <sz val="8"/>
            <rFont val="Tahoma"/>
            <family val="0"/>
          </rPr>
          <t>Formula failed to convert</t>
        </r>
      </text>
    </comment>
    <comment ref="F38" authorId="0">
      <text>
        <r>
          <rPr>
            <sz val="8"/>
            <rFont val="Tahoma"/>
            <family val="0"/>
          </rPr>
          <t>Formula failed to convert</t>
        </r>
      </text>
    </comment>
    <comment ref="H38" authorId="0">
      <text>
        <r>
          <rPr>
            <sz val="8"/>
            <rFont val="Tahoma"/>
            <family val="0"/>
          </rPr>
          <t>Formula failed to convert</t>
        </r>
      </text>
    </comment>
    <comment ref="J38" authorId="0">
      <text>
        <r>
          <rPr>
            <sz val="8"/>
            <rFont val="Tahoma"/>
            <family val="0"/>
          </rPr>
          <t>Formula failed to convert</t>
        </r>
      </text>
    </comment>
    <comment ref="L38" authorId="0">
      <text>
        <r>
          <rPr>
            <sz val="8"/>
            <rFont val="Tahoma"/>
            <family val="0"/>
          </rPr>
          <t>Formula failed to convert</t>
        </r>
      </text>
    </comment>
    <comment ref="D39" authorId="0">
      <text>
        <r>
          <rPr>
            <sz val="8"/>
            <rFont val="Tahoma"/>
            <family val="0"/>
          </rPr>
          <t>Formula failed to convert</t>
        </r>
      </text>
    </comment>
    <comment ref="F39" authorId="0">
      <text>
        <r>
          <rPr>
            <sz val="8"/>
            <rFont val="Tahoma"/>
            <family val="0"/>
          </rPr>
          <t>Formula failed to convert</t>
        </r>
      </text>
    </comment>
    <comment ref="H39" authorId="0">
      <text>
        <r>
          <rPr>
            <sz val="8"/>
            <rFont val="Tahoma"/>
            <family val="0"/>
          </rPr>
          <t>Formula failed to convert</t>
        </r>
      </text>
    </comment>
    <comment ref="J39" authorId="0">
      <text>
        <r>
          <rPr>
            <sz val="8"/>
            <rFont val="Tahoma"/>
            <family val="0"/>
          </rPr>
          <t>Formula failed to convert</t>
        </r>
      </text>
    </comment>
    <comment ref="L39" authorId="0">
      <text>
        <r>
          <rPr>
            <sz val="8"/>
            <rFont val="Tahoma"/>
            <family val="0"/>
          </rPr>
          <t>Formula failed to convert</t>
        </r>
      </text>
    </comment>
    <comment ref="N43" authorId="0">
      <text>
        <r>
          <rPr>
            <sz val="8"/>
            <rFont val="Tahoma"/>
            <family val="0"/>
          </rPr>
          <t>Formula failed to convert</t>
        </r>
      </text>
    </comment>
    <comment ref="D53" authorId="0">
      <text>
        <r>
          <rPr>
            <sz val="8"/>
            <rFont val="Tahoma"/>
            <family val="0"/>
          </rPr>
          <t>Formula failed to convert</t>
        </r>
      </text>
    </comment>
    <comment ref="F53" authorId="0">
      <text>
        <r>
          <rPr>
            <sz val="8"/>
            <rFont val="Tahoma"/>
            <family val="0"/>
          </rPr>
          <t>Formula failed to convert</t>
        </r>
      </text>
    </comment>
    <comment ref="H53" authorId="0">
      <text>
        <r>
          <rPr>
            <sz val="8"/>
            <rFont val="Tahoma"/>
            <family val="0"/>
          </rPr>
          <t>Formula failed to convert</t>
        </r>
      </text>
    </comment>
    <comment ref="J53" authorId="0">
      <text>
        <r>
          <rPr>
            <sz val="8"/>
            <rFont val="Tahoma"/>
            <family val="0"/>
          </rPr>
          <t>Formula failed to convert</t>
        </r>
      </text>
    </comment>
    <comment ref="L53" authorId="0">
      <text>
        <r>
          <rPr>
            <sz val="8"/>
            <rFont val="Tahoma"/>
            <family val="0"/>
          </rPr>
          <t>Formula failed to convert</t>
        </r>
      </text>
    </comment>
    <comment ref="D56" authorId="0">
      <text>
        <r>
          <rPr>
            <sz val="8"/>
            <rFont val="Tahoma"/>
            <family val="0"/>
          </rPr>
          <t>Formula failed to convert</t>
        </r>
      </text>
    </comment>
    <comment ref="F56" authorId="0">
      <text>
        <r>
          <rPr>
            <sz val="8"/>
            <rFont val="Tahoma"/>
            <family val="0"/>
          </rPr>
          <t>Formula failed to convert</t>
        </r>
      </text>
    </comment>
    <comment ref="H56" authorId="0">
      <text>
        <r>
          <rPr>
            <sz val="8"/>
            <rFont val="Tahoma"/>
            <family val="0"/>
          </rPr>
          <t>Formula failed to convert</t>
        </r>
      </text>
    </comment>
    <comment ref="J56" authorId="0">
      <text>
        <r>
          <rPr>
            <sz val="8"/>
            <rFont val="Tahoma"/>
            <family val="0"/>
          </rPr>
          <t>Formula failed to convert</t>
        </r>
      </text>
    </comment>
    <comment ref="D57" authorId="0">
      <text>
        <r>
          <rPr>
            <sz val="8"/>
            <rFont val="Tahoma"/>
            <family val="0"/>
          </rPr>
          <t>Formula failed to convert</t>
        </r>
      </text>
    </comment>
    <comment ref="F57" authorId="0">
      <text>
        <r>
          <rPr>
            <sz val="8"/>
            <rFont val="Tahoma"/>
            <family val="0"/>
          </rPr>
          <t>Formula failed to convert</t>
        </r>
      </text>
    </comment>
    <comment ref="H57" authorId="0">
      <text>
        <r>
          <rPr>
            <sz val="8"/>
            <rFont val="Tahoma"/>
            <family val="0"/>
          </rPr>
          <t>Formula failed to convert</t>
        </r>
      </text>
    </comment>
    <comment ref="J57" authorId="0">
      <text>
        <r>
          <rPr>
            <sz val="8"/>
            <rFont val="Tahoma"/>
            <family val="0"/>
          </rPr>
          <t>Formula failed to convert</t>
        </r>
      </text>
    </comment>
    <comment ref="D58" authorId="0">
      <text>
        <r>
          <rPr>
            <sz val="8"/>
            <rFont val="Tahoma"/>
            <family val="0"/>
          </rPr>
          <t>Formula failed to convert</t>
        </r>
      </text>
    </comment>
    <comment ref="F58" authorId="0">
      <text>
        <r>
          <rPr>
            <sz val="8"/>
            <rFont val="Tahoma"/>
            <family val="0"/>
          </rPr>
          <t>Formula failed to convert</t>
        </r>
      </text>
    </comment>
    <comment ref="H58" authorId="0">
      <text>
        <r>
          <rPr>
            <sz val="8"/>
            <rFont val="Tahoma"/>
            <family val="0"/>
          </rPr>
          <t>Formula failed to convert</t>
        </r>
      </text>
    </comment>
    <comment ref="J58" authorId="0">
      <text>
        <r>
          <rPr>
            <sz val="8"/>
            <rFont val="Tahoma"/>
            <family val="0"/>
          </rPr>
          <t>Formula failed to convert</t>
        </r>
      </text>
    </comment>
    <comment ref="D59" authorId="0">
      <text>
        <r>
          <rPr>
            <sz val="8"/>
            <rFont val="Tahoma"/>
            <family val="0"/>
          </rPr>
          <t>Formula failed to convert</t>
        </r>
      </text>
    </comment>
    <comment ref="F59" authorId="0">
      <text>
        <r>
          <rPr>
            <sz val="8"/>
            <rFont val="Tahoma"/>
            <family val="0"/>
          </rPr>
          <t>Formula failed to convert</t>
        </r>
      </text>
    </comment>
    <comment ref="H59" authorId="0">
      <text>
        <r>
          <rPr>
            <sz val="8"/>
            <rFont val="Tahoma"/>
            <family val="0"/>
          </rPr>
          <t>Formula failed to convert</t>
        </r>
      </text>
    </comment>
    <comment ref="J59" authorId="0">
      <text>
        <r>
          <rPr>
            <sz val="8"/>
            <rFont val="Tahoma"/>
            <family val="0"/>
          </rPr>
          <t>Formula failed to convert</t>
        </r>
      </text>
    </comment>
    <comment ref="N60" authorId="0">
      <text>
        <r>
          <rPr>
            <sz val="8"/>
            <rFont val="Tahoma"/>
            <family val="0"/>
          </rPr>
          <t>Formula failed to convert</t>
        </r>
      </text>
    </comment>
    <comment ref="N68" authorId="0">
      <text>
        <r>
          <rPr>
            <sz val="8"/>
            <rFont val="Tahoma"/>
            <family val="0"/>
          </rPr>
          <t>Formula failed to convert</t>
        </r>
      </text>
    </comment>
    <comment ref="D71" authorId="0">
      <text>
        <r>
          <rPr>
            <sz val="8"/>
            <rFont val="Tahoma"/>
            <family val="0"/>
          </rPr>
          <t>Formula failed to convert</t>
        </r>
      </text>
    </comment>
    <comment ref="F71" authorId="0">
      <text>
        <r>
          <rPr>
            <sz val="8"/>
            <rFont val="Tahoma"/>
            <family val="0"/>
          </rPr>
          <t>Formula failed to convert</t>
        </r>
      </text>
    </comment>
    <comment ref="H71" authorId="0">
      <text>
        <r>
          <rPr>
            <sz val="8"/>
            <rFont val="Tahoma"/>
            <family val="0"/>
          </rPr>
          <t>Formula failed to convert</t>
        </r>
      </text>
    </comment>
    <comment ref="J71" authorId="0">
      <text>
        <r>
          <rPr>
            <sz val="8"/>
            <rFont val="Tahoma"/>
            <family val="0"/>
          </rPr>
          <t>Formula failed to convert</t>
        </r>
      </text>
    </comment>
    <comment ref="L71" authorId="0">
      <text>
        <r>
          <rPr>
            <sz val="8"/>
            <rFont val="Tahoma"/>
            <family val="0"/>
          </rPr>
          <t>Formula failed to convert</t>
        </r>
      </text>
    </comment>
    <comment ref="D79" authorId="0">
      <text>
        <r>
          <rPr>
            <sz val="8"/>
            <rFont val="Tahoma"/>
            <family val="0"/>
          </rPr>
          <t>Formula failed to convert</t>
        </r>
      </text>
    </comment>
    <comment ref="F79" authorId="0">
      <text>
        <r>
          <rPr>
            <sz val="8"/>
            <rFont val="Tahoma"/>
            <family val="0"/>
          </rPr>
          <t>Formula failed to convert</t>
        </r>
      </text>
    </comment>
    <comment ref="H79" authorId="0">
      <text>
        <r>
          <rPr>
            <sz val="8"/>
            <rFont val="Tahoma"/>
            <family val="0"/>
          </rPr>
          <t>Formula failed to convert</t>
        </r>
      </text>
    </comment>
    <comment ref="D86" authorId="0">
      <text>
        <r>
          <rPr>
            <sz val="8"/>
            <rFont val="Tahoma"/>
            <family val="0"/>
          </rPr>
          <t>Formula failed to convert</t>
        </r>
      </text>
    </comment>
    <comment ref="F86" authorId="0">
      <text>
        <r>
          <rPr>
            <sz val="8"/>
            <rFont val="Tahoma"/>
            <family val="0"/>
          </rPr>
          <t>Formula failed to convert</t>
        </r>
      </text>
    </comment>
    <comment ref="H86" authorId="0">
      <text>
        <r>
          <rPr>
            <sz val="8"/>
            <rFont val="Tahoma"/>
            <family val="0"/>
          </rPr>
          <t>Formula failed to convert</t>
        </r>
      </text>
    </comment>
    <comment ref="J86" authorId="0">
      <text>
        <r>
          <rPr>
            <sz val="8"/>
            <rFont val="Tahoma"/>
            <family val="0"/>
          </rPr>
          <t>Formula failed to convert</t>
        </r>
      </text>
    </comment>
    <comment ref="D87" authorId="0">
      <text>
        <r>
          <rPr>
            <sz val="8"/>
            <rFont val="Tahoma"/>
            <family val="0"/>
          </rPr>
          <t>Formula failed to convert</t>
        </r>
      </text>
    </comment>
    <comment ref="F87" authorId="0">
      <text>
        <r>
          <rPr>
            <sz val="8"/>
            <rFont val="Tahoma"/>
            <family val="0"/>
          </rPr>
          <t>Formula failed to convert</t>
        </r>
      </text>
    </comment>
    <comment ref="H87" authorId="0">
      <text>
        <r>
          <rPr>
            <sz val="8"/>
            <rFont val="Tahoma"/>
            <family val="0"/>
          </rPr>
          <t>Formula failed to convert</t>
        </r>
      </text>
    </comment>
    <comment ref="J87" authorId="0">
      <text>
        <r>
          <rPr>
            <sz val="8"/>
            <rFont val="Tahoma"/>
            <family val="0"/>
          </rPr>
          <t>Formula failed to convert</t>
        </r>
      </text>
    </comment>
    <comment ref="D88" authorId="0">
      <text>
        <r>
          <rPr>
            <sz val="8"/>
            <rFont val="Tahoma"/>
            <family val="0"/>
          </rPr>
          <t>Formula failed to convert</t>
        </r>
      </text>
    </comment>
    <comment ref="F88" authorId="0">
      <text>
        <r>
          <rPr>
            <sz val="8"/>
            <rFont val="Tahoma"/>
            <family val="0"/>
          </rPr>
          <t>Formula failed to convert</t>
        </r>
      </text>
    </comment>
    <comment ref="H88" authorId="0">
      <text>
        <r>
          <rPr>
            <sz val="8"/>
            <rFont val="Tahoma"/>
            <family val="0"/>
          </rPr>
          <t>Formula failed to convert</t>
        </r>
      </text>
    </comment>
    <comment ref="J88" authorId="0">
      <text>
        <r>
          <rPr>
            <sz val="8"/>
            <rFont val="Tahoma"/>
            <family val="0"/>
          </rPr>
          <t>Formula failed to convert</t>
        </r>
      </text>
    </comment>
    <comment ref="D89" authorId="0">
      <text>
        <r>
          <rPr>
            <sz val="8"/>
            <rFont val="Tahoma"/>
            <family val="0"/>
          </rPr>
          <t>Formula failed to convert</t>
        </r>
      </text>
    </comment>
    <comment ref="F89" authorId="0">
      <text>
        <r>
          <rPr>
            <sz val="8"/>
            <rFont val="Tahoma"/>
            <family val="0"/>
          </rPr>
          <t>Formula failed to convert</t>
        </r>
      </text>
    </comment>
    <comment ref="H89" authorId="0">
      <text>
        <r>
          <rPr>
            <sz val="8"/>
            <rFont val="Tahoma"/>
            <family val="0"/>
          </rPr>
          <t>Formula failed to convert</t>
        </r>
      </text>
    </comment>
    <comment ref="J89" authorId="0">
      <text>
        <r>
          <rPr>
            <sz val="8"/>
            <rFont val="Tahoma"/>
            <family val="0"/>
          </rPr>
          <t>Formula failed to convert</t>
        </r>
      </text>
    </comment>
    <comment ref="D91" authorId="0">
      <text>
        <r>
          <rPr>
            <sz val="8"/>
            <rFont val="Tahoma"/>
            <family val="0"/>
          </rPr>
          <t>Formula failed to convert</t>
        </r>
      </text>
    </comment>
    <comment ref="F91" authorId="0">
      <text>
        <r>
          <rPr>
            <sz val="8"/>
            <rFont val="Tahoma"/>
            <family val="0"/>
          </rPr>
          <t>Formula failed to convert</t>
        </r>
      </text>
    </comment>
    <comment ref="H91" authorId="0">
      <text>
        <r>
          <rPr>
            <sz val="8"/>
            <rFont val="Tahoma"/>
            <family val="0"/>
          </rPr>
          <t>Formula failed to convert</t>
        </r>
      </text>
    </comment>
    <comment ref="J91" authorId="0">
      <text>
        <r>
          <rPr>
            <sz val="8"/>
            <rFont val="Tahoma"/>
            <family val="0"/>
          </rPr>
          <t>Formula failed to convert</t>
        </r>
      </text>
    </comment>
    <comment ref="N92" authorId="0">
      <text>
        <r>
          <rPr>
            <sz val="8"/>
            <rFont val="Tahoma"/>
            <family val="0"/>
          </rPr>
          <t>Formula failed to convert</t>
        </r>
      </text>
    </comment>
    <comment ref="D104" authorId="0">
      <text>
        <r>
          <rPr>
            <sz val="8"/>
            <rFont val="Tahoma"/>
            <family val="0"/>
          </rPr>
          <t>Formula failed to convert</t>
        </r>
      </text>
    </comment>
    <comment ref="F104" authorId="0">
      <text>
        <r>
          <rPr>
            <sz val="8"/>
            <rFont val="Tahoma"/>
            <family val="0"/>
          </rPr>
          <t>Formula failed to convert</t>
        </r>
      </text>
    </comment>
    <comment ref="H104" authorId="0">
      <text>
        <r>
          <rPr>
            <sz val="8"/>
            <rFont val="Tahoma"/>
            <family val="0"/>
          </rPr>
          <t>Formula failed to convert</t>
        </r>
      </text>
    </comment>
    <comment ref="J104" authorId="0">
      <text>
        <r>
          <rPr>
            <sz val="8"/>
            <rFont val="Tahoma"/>
            <family val="0"/>
          </rPr>
          <t>Formula failed to convert</t>
        </r>
      </text>
    </comment>
    <comment ref="L104" authorId="0">
      <text>
        <r>
          <rPr>
            <sz val="8"/>
            <rFont val="Tahoma"/>
            <family val="0"/>
          </rPr>
          <t>Formula failed to convert</t>
        </r>
      </text>
    </comment>
    <comment ref="D105" authorId="0">
      <text>
        <r>
          <rPr>
            <sz val="8"/>
            <rFont val="Tahoma"/>
            <family val="0"/>
          </rPr>
          <t>Formula failed to convert</t>
        </r>
      </text>
    </comment>
    <comment ref="F105" authorId="0">
      <text>
        <r>
          <rPr>
            <sz val="8"/>
            <rFont val="Tahoma"/>
            <family val="0"/>
          </rPr>
          <t>Formula failed to convert</t>
        </r>
      </text>
    </comment>
    <comment ref="H105" authorId="0">
      <text>
        <r>
          <rPr>
            <sz val="8"/>
            <rFont val="Tahoma"/>
            <family val="0"/>
          </rPr>
          <t>Formula failed to convert</t>
        </r>
      </text>
    </comment>
    <comment ref="J105" authorId="0">
      <text>
        <r>
          <rPr>
            <sz val="8"/>
            <rFont val="Tahoma"/>
            <family val="0"/>
          </rPr>
          <t>Formula failed to convert</t>
        </r>
      </text>
    </comment>
    <comment ref="L105" authorId="0">
      <text>
        <r>
          <rPr>
            <sz val="8"/>
            <rFont val="Tahoma"/>
            <family val="0"/>
          </rPr>
          <t>Formula failed to convert</t>
        </r>
      </text>
    </comment>
    <comment ref="D107" authorId="0">
      <text>
        <r>
          <rPr>
            <sz val="8"/>
            <rFont val="Tahoma"/>
            <family val="0"/>
          </rPr>
          <t>Formula failed to convert</t>
        </r>
      </text>
    </comment>
    <comment ref="F107" authorId="0">
      <text>
        <r>
          <rPr>
            <sz val="8"/>
            <rFont val="Tahoma"/>
            <family val="0"/>
          </rPr>
          <t>Formula failed to convert</t>
        </r>
      </text>
    </comment>
    <comment ref="H107" authorId="0">
      <text>
        <r>
          <rPr>
            <sz val="8"/>
            <rFont val="Tahoma"/>
            <family val="0"/>
          </rPr>
          <t>Formula failed to convert</t>
        </r>
      </text>
    </comment>
    <comment ref="J107" authorId="0">
      <text>
        <r>
          <rPr>
            <sz val="8"/>
            <rFont val="Tahoma"/>
            <family val="0"/>
          </rPr>
          <t>Formula failed to convert</t>
        </r>
      </text>
    </comment>
    <comment ref="L107" authorId="0">
      <text>
        <r>
          <rPr>
            <sz val="8"/>
            <rFont val="Tahoma"/>
            <family val="0"/>
          </rPr>
          <t>Formula failed to convert</t>
        </r>
      </text>
    </comment>
    <comment ref="D112" authorId="0">
      <text>
        <r>
          <rPr>
            <sz val="8"/>
            <rFont val="Tahoma"/>
            <family val="0"/>
          </rPr>
          <t>Formula failed to convert</t>
        </r>
      </text>
    </comment>
    <comment ref="F112" authorId="0">
      <text>
        <r>
          <rPr>
            <sz val="8"/>
            <rFont val="Tahoma"/>
            <family val="0"/>
          </rPr>
          <t>Formula failed to convert</t>
        </r>
      </text>
    </comment>
    <comment ref="H112" authorId="0">
      <text>
        <r>
          <rPr>
            <sz val="8"/>
            <rFont val="Tahoma"/>
            <family val="0"/>
          </rPr>
          <t>Formula failed to convert</t>
        </r>
      </text>
    </comment>
    <comment ref="D113" authorId="0">
      <text>
        <r>
          <rPr>
            <sz val="8"/>
            <rFont val="Tahoma"/>
            <family val="0"/>
          </rPr>
          <t>Formula failed to convert</t>
        </r>
      </text>
    </comment>
    <comment ref="F113" authorId="0">
      <text>
        <r>
          <rPr>
            <sz val="8"/>
            <rFont val="Tahoma"/>
            <family val="0"/>
          </rPr>
          <t>Formula failed to convert</t>
        </r>
      </text>
    </comment>
    <comment ref="J113" authorId="0">
      <text>
        <r>
          <rPr>
            <sz val="8"/>
            <rFont val="Tahoma"/>
            <family val="0"/>
          </rPr>
          <t>Formula failed to convert</t>
        </r>
      </text>
    </comment>
    <comment ref="D115" authorId="0">
      <text>
        <r>
          <rPr>
            <sz val="8"/>
            <rFont val="Tahoma"/>
            <family val="0"/>
          </rPr>
          <t>Formula failed to convert</t>
        </r>
      </text>
    </comment>
    <comment ref="F115" authorId="0">
      <text>
        <r>
          <rPr>
            <sz val="8"/>
            <rFont val="Tahoma"/>
            <family val="0"/>
          </rPr>
          <t>Formula failed to convert</t>
        </r>
      </text>
    </comment>
    <comment ref="H115" authorId="0">
      <text>
        <r>
          <rPr>
            <sz val="8"/>
            <rFont val="Tahoma"/>
            <family val="0"/>
          </rPr>
          <t>Formula failed to convert</t>
        </r>
      </text>
    </comment>
    <comment ref="J115" authorId="0">
      <text>
        <r>
          <rPr>
            <sz val="8"/>
            <rFont val="Tahoma"/>
            <family val="0"/>
          </rPr>
          <t>Formula failed to convert</t>
        </r>
      </text>
    </comment>
    <comment ref="D118" authorId="0">
      <text>
        <r>
          <rPr>
            <sz val="8"/>
            <rFont val="Tahoma"/>
            <family val="0"/>
          </rPr>
          <t>Formula failed to convert</t>
        </r>
      </text>
    </comment>
    <comment ref="F118" authorId="0">
      <text>
        <r>
          <rPr>
            <sz val="8"/>
            <rFont val="Tahoma"/>
            <family val="0"/>
          </rPr>
          <t>Formula failed to convert</t>
        </r>
      </text>
    </comment>
    <comment ref="H118" authorId="0">
      <text>
        <r>
          <rPr>
            <sz val="8"/>
            <rFont val="Tahoma"/>
            <family val="0"/>
          </rPr>
          <t>Formula failed to convert</t>
        </r>
      </text>
    </comment>
    <comment ref="J118" authorId="0">
      <text>
        <r>
          <rPr>
            <sz val="8"/>
            <rFont val="Tahoma"/>
            <family val="0"/>
          </rPr>
          <t>Formula failed to convert</t>
        </r>
      </text>
    </comment>
    <comment ref="D121" authorId="0">
      <text>
        <r>
          <rPr>
            <sz val="8"/>
            <rFont val="Tahoma"/>
            <family val="0"/>
          </rPr>
          <t>Formula failed to convert</t>
        </r>
      </text>
    </comment>
    <comment ref="F121" authorId="0">
      <text>
        <r>
          <rPr>
            <sz val="8"/>
            <rFont val="Tahoma"/>
            <family val="0"/>
          </rPr>
          <t>Formula failed to convert</t>
        </r>
      </text>
    </comment>
    <comment ref="H121" authorId="0">
      <text>
        <r>
          <rPr>
            <sz val="8"/>
            <rFont val="Tahoma"/>
            <family val="0"/>
          </rPr>
          <t>Formula failed to convert</t>
        </r>
      </text>
    </comment>
    <comment ref="J121" authorId="0">
      <text>
        <r>
          <rPr>
            <sz val="8"/>
            <rFont val="Tahoma"/>
            <family val="0"/>
          </rPr>
          <t>Formula failed to convert</t>
        </r>
      </text>
    </comment>
    <comment ref="D122" authorId="0">
      <text>
        <r>
          <rPr>
            <sz val="8"/>
            <rFont val="Tahoma"/>
            <family val="0"/>
          </rPr>
          <t>Formula failed to convert</t>
        </r>
      </text>
    </comment>
    <comment ref="F122" authorId="0">
      <text>
        <r>
          <rPr>
            <sz val="8"/>
            <rFont val="Tahoma"/>
            <family val="0"/>
          </rPr>
          <t>Formula failed to convert</t>
        </r>
      </text>
    </comment>
    <comment ref="H122" authorId="0">
      <text>
        <r>
          <rPr>
            <sz val="8"/>
            <rFont val="Tahoma"/>
            <family val="0"/>
          </rPr>
          <t>Formula failed to convert</t>
        </r>
      </text>
    </comment>
    <comment ref="J122" authorId="0">
      <text>
        <r>
          <rPr>
            <sz val="8"/>
            <rFont val="Tahoma"/>
            <family val="0"/>
          </rPr>
          <t>Formula failed to convert</t>
        </r>
      </text>
    </comment>
    <comment ref="N123" authorId="0">
      <text>
        <r>
          <rPr>
            <sz val="8"/>
            <rFont val="Tahoma"/>
            <family val="0"/>
          </rPr>
          <t>Formula failed to convert</t>
        </r>
      </text>
    </comment>
    <comment ref="D126" authorId="0">
      <text>
        <r>
          <rPr>
            <sz val="8"/>
            <rFont val="Tahoma"/>
            <family val="0"/>
          </rPr>
          <t>Formula failed to convert</t>
        </r>
      </text>
    </comment>
    <comment ref="F126" authorId="0">
      <text>
        <r>
          <rPr>
            <sz val="8"/>
            <rFont val="Tahoma"/>
            <family val="0"/>
          </rPr>
          <t>Formula failed to convert</t>
        </r>
      </text>
    </comment>
    <comment ref="H126" authorId="0">
      <text>
        <r>
          <rPr>
            <sz val="8"/>
            <rFont val="Tahoma"/>
            <family val="0"/>
          </rPr>
          <t>Formula failed to convert</t>
        </r>
      </text>
    </comment>
    <comment ref="J126" authorId="0">
      <text>
        <r>
          <rPr>
            <sz val="8"/>
            <rFont val="Tahoma"/>
            <family val="0"/>
          </rPr>
          <t>Formula failed to convert</t>
        </r>
      </text>
    </comment>
    <comment ref="D129" authorId="0">
      <text>
        <r>
          <rPr>
            <sz val="8"/>
            <rFont val="Tahoma"/>
            <family val="0"/>
          </rPr>
          <t>Formula failed to convert</t>
        </r>
      </text>
    </comment>
    <comment ref="F129" authorId="0">
      <text>
        <r>
          <rPr>
            <sz val="8"/>
            <rFont val="Tahoma"/>
            <family val="0"/>
          </rPr>
          <t>Formula failed to convert</t>
        </r>
      </text>
    </comment>
    <comment ref="H129" authorId="0">
      <text>
        <r>
          <rPr>
            <sz val="8"/>
            <rFont val="Tahoma"/>
            <family val="0"/>
          </rPr>
          <t>Formula failed to convert</t>
        </r>
      </text>
    </comment>
    <comment ref="J129" authorId="0">
      <text>
        <r>
          <rPr>
            <sz val="8"/>
            <rFont val="Tahoma"/>
            <family val="0"/>
          </rPr>
          <t>Formula failed to convert</t>
        </r>
      </text>
    </comment>
    <comment ref="H130" authorId="0">
      <text>
        <r>
          <rPr>
            <sz val="8"/>
            <rFont val="Tahoma"/>
            <family val="0"/>
          </rPr>
          <t>Formula failed to convert</t>
        </r>
      </text>
    </comment>
    <comment ref="N131" authorId="0">
      <text>
        <r>
          <rPr>
            <sz val="8"/>
            <rFont val="Tahoma"/>
            <family val="0"/>
          </rPr>
          <t>Formula failed to convert</t>
        </r>
      </text>
    </comment>
    <comment ref="D133" authorId="0">
      <text>
        <r>
          <rPr>
            <sz val="8"/>
            <rFont val="Tahoma"/>
            <family val="0"/>
          </rPr>
          <t>Formula failed to convert</t>
        </r>
      </text>
    </comment>
    <comment ref="F133" authorId="0">
      <text>
        <r>
          <rPr>
            <sz val="8"/>
            <rFont val="Tahoma"/>
            <family val="0"/>
          </rPr>
          <t>Formula failed to convert</t>
        </r>
      </text>
    </comment>
    <comment ref="H133" authorId="0">
      <text>
        <r>
          <rPr>
            <sz val="8"/>
            <rFont val="Tahoma"/>
            <family val="0"/>
          </rPr>
          <t>Formula failed to convert</t>
        </r>
      </text>
    </comment>
    <comment ref="J133" authorId="0">
      <text>
        <r>
          <rPr>
            <sz val="8"/>
            <rFont val="Tahoma"/>
            <family val="0"/>
          </rPr>
          <t>Formula failed to convert</t>
        </r>
      </text>
    </comment>
    <comment ref="L133" authorId="0">
      <text>
        <r>
          <rPr>
            <sz val="8"/>
            <rFont val="Tahoma"/>
            <family val="0"/>
          </rPr>
          <t>Formula failed to convert</t>
        </r>
      </text>
    </comment>
    <comment ref="D135" authorId="0">
      <text>
        <r>
          <rPr>
            <sz val="8"/>
            <rFont val="Tahoma"/>
            <family val="0"/>
          </rPr>
          <t>Formula failed to convert</t>
        </r>
      </text>
    </comment>
    <comment ref="F135" authorId="0">
      <text>
        <r>
          <rPr>
            <sz val="8"/>
            <rFont val="Tahoma"/>
            <family val="0"/>
          </rPr>
          <t>Formula failed to convert</t>
        </r>
      </text>
    </comment>
    <comment ref="H135" authorId="0">
      <text>
        <r>
          <rPr>
            <sz val="8"/>
            <rFont val="Tahoma"/>
            <family val="0"/>
          </rPr>
          <t>Formula failed to convert</t>
        </r>
      </text>
    </comment>
    <comment ref="J135" authorId="0">
      <text>
        <r>
          <rPr>
            <sz val="8"/>
            <rFont val="Tahoma"/>
            <family val="0"/>
          </rPr>
          <t>Formula failed to convert</t>
        </r>
      </text>
    </comment>
    <comment ref="L135" authorId="0">
      <text>
        <r>
          <rPr>
            <sz val="8"/>
            <rFont val="Tahoma"/>
            <family val="0"/>
          </rPr>
          <t>Formula failed to convert</t>
        </r>
      </text>
    </comment>
    <comment ref="D136" authorId="0">
      <text>
        <r>
          <rPr>
            <sz val="8"/>
            <rFont val="Tahoma"/>
            <family val="0"/>
          </rPr>
          <t>Formula failed to convert</t>
        </r>
      </text>
    </comment>
    <comment ref="F136" authorId="0">
      <text>
        <r>
          <rPr>
            <sz val="8"/>
            <rFont val="Tahoma"/>
            <family val="0"/>
          </rPr>
          <t>Formula failed to convert</t>
        </r>
      </text>
    </comment>
    <comment ref="H136" authorId="0">
      <text>
        <r>
          <rPr>
            <sz val="8"/>
            <rFont val="Tahoma"/>
            <family val="0"/>
          </rPr>
          <t>Formula failed to convert</t>
        </r>
      </text>
    </comment>
    <comment ref="J136" authorId="0">
      <text>
        <r>
          <rPr>
            <sz val="8"/>
            <rFont val="Tahoma"/>
            <family val="0"/>
          </rPr>
          <t>Formula failed to convert</t>
        </r>
      </text>
    </comment>
    <comment ref="L136" authorId="0">
      <text>
        <r>
          <rPr>
            <sz val="8"/>
            <rFont val="Tahoma"/>
            <family val="0"/>
          </rPr>
          <t>Formula failed to convert</t>
        </r>
      </text>
    </comment>
    <comment ref="D138" authorId="0">
      <text>
        <r>
          <rPr>
            <sz val="8"/>
            <rFont val="Tahoma"/>
            <family val="0"/>
          </rPr>
          <t>Formula failed to convert</t>
        </r>
      </text>
    </comment>
    <comment ref="F138" authorId="0">
      <text>
        <r>
          <rPr>
            <sz val="8"/>
            <rFont val="Tahoma"/>
            <family val="0"/>
          </rPr>
          <t>Formula failed to convert</t>
        </r>
      </text>
    </comment>
    <comment ref="H138" authorId="0">
      <text>
        <r>
          <rPr>
            <sz val="8"/>
            <rFont val="Tahoma"/>
            <family val="0"/>
          </rPr>
          <t>Formula failed to convert</t>
        </r>
      </text>
    </comment>
    <comment ref="J138" authorId="0">
      <text>
        <r>
          <rPr>
            <sz val="8"/>
            <rFont val="Tahoma"/>
            <family val="0"/>
          </rPr>
          <t>Formula failed to convert</t>
        </r>
      </text>
    </comment>
    <comment ref="L138" authorId="0">
      <text>
        <r>
          <rPr>
            <sz val="8"/>
            <rFont val="Tahoma"/>
            <family val="0"/>
          </rPr>
          <t>Formula failed to convert</t>
        </r>
      </text>
    </comment>
    <comment ref="N139" authorId="0">
      <text>
        <r>
          <rPr>
            <sz val="8"/>
            <rFont val="Tahoma"/>
            <family val="0"/>
          </rPr>
          <t>Formula failed to convert</t>
        </r>
      </text>
    </comment>
    <comment ref="D141" authorId="0">
      <text>
        <r>
          <rPr>
            <sz val="8"/>
            <rFont val="Tahoma"/>
            <family val="0"/>
          </rPr>
          <t>Formula failed to convert</t>
        </r>
      </text>
    </comment>
    <comment ref="F141" authorId="0">
      <text>
        <r>
          <rPr>
            <sz val="8"/>
            <rFont val="Tahoma"/>
            <family val="0"/>
          </rPr>
          <t>Formula failed to convert</t>
        </r>
      </text>
    </comment>
    <comment ref="H141" authorId="0">
      <text>
        <r>
          <rPr>
            <sz val="8"/>
            <rFont val="Tahoma"/>
            <family val="0"/>
          </rPr>
          <t>Formula failed to convert</t>
        </r>
      </text>
    </comment>
    <comment ref="J141" authorId="0">
      <text>
        <r>
          <rPr>
            <sz val="8"/>
            <rFont val="Tahoma"/>
            <family val="0"/>
          </rPr>
          <t>Formula failed to convert</t>
        </r>
      </text>
    </comment>
    <comment ref="L141" authorId="0">
      <text>
        <r>
          <rPr>
            <sz val="8"/>
            <rFont val="Tahoma"/>
            <family val="0"/>
          </rPr>
          <t>Formula failed to convert</t>
        </r>
      </text>
    </comment>
    <comment ref="D143" authorId="0">
      <text>
        <r>
          <rPr>
            <sz val="8"/>
            <rFont val="Tahoma"/>
            <family val="0"/>
          </rPr>
          <t>Formula failed to convert</t>
        </r>
      </text>
    </comment>
    <comment ref="F143" authorId="0">
      <text>
        <r>
          <rPr>
            <sz val="8"/>
            <rFont val="Tahoma"/>
            <family val="0"/>
          </rPr>
          <t>Formula failed to convert</t>
        </r>
      </text>
    </comment>
    <comment ref="H143" authorId="0">
      <text>
        <r>
          <rPr>
            <sz val="8"/>
            <rFont val="Tahoma"/>
            <family val="0"/>
          </rPr>
          <t>Formula failed to convert</t>
        </r>
      </text>
    </comment>
    <comment ref="J143" authorId="0">
      <text>
        <r>
          <rPr>
            <sz val="8"/>
            <rFont val="Tahoma"/>
            <family val="0"/>
          </rPr>
          <t>Formula failed to convert</t>
        </r>
      </text>
    </comment>
    <comment ref="L143" authorId="0">
      <text>
        <r>
          <rPr>
            <sz val="8"/>
            <rFont val="Tahoma"/>
            <family val="0"/>
          </rPr>
          <t>Formula failed to convert</t>
        </r>
      </text>
    </comment>
    <comment ref="D144" authorId="0">
      <text>
        <r>
          <rPr>
            <sz val="8"/>
            <rFont val="Tahoma"/>
            <family val="0"/>
          </rPr>
          <t>Formula failed to convert</t>
        </r>
      </text>
    </comment>
    <comment ref="F144" authorId="0">
      <text>
        <r>
          <rPr>
            <sz val="8"/>
            <rFont val="Tahoma"/>
            <family val="0"/>
          </rPr>
          <t>Formula failed to convert</t>
        </r>
      </text>
    </comment>
    <comment ref="H144" authorId="0">
      <text>
        <r>
          <rPr>
            <sz val="8"/>
            <rFont val="Tahoma"/>
            <family val="0"/>
          </rPr>
          <t>Formula failed to convert</t>
        </r>
      </text>
    </comment>
    <comment ref="L144" authorId="0">
      <text>
        <r>
          <rPr>
            <sz val="8"/>
            <rFont val="Tahoma"/>
            <family val="0"/>
          </rPr>
          <t>Formula failed to convert</t>
        </r>
      </text>
    </comment>
    <comment ref="D146" authorId="0">
      <text>
        <r>
          <rPr>
            <sz val="8"/>
            <rFont val="Tahoma"/>
            <family val="0"/>
          </rPr>
          <t>Formula failed to convert</t>
        </r>
      </text>
    </comment>
    <comment ref="F146" authorId="0">
      <text>
        <r>
          <rPr>
            <sz val="8"/>
            <rFont val="Tahoma"/>
            <family val="0"/>
          </rPr>
          <t>Formula failed to convert</t>
        </r>
      </text>
    </comment>
    <comment ref="L146" authorId="0">
      <text>
        <r>
          <rPr>
            <sz val="8"/>
            <rFont val="Tahoma"/>
            <family val="0"/>
          </rPr>
          <t>Formula failed to convert</t>
        </r>
      </text>
    </comment>
    <comment ref="D149" authorId="0">
      <text>
        <r>
          <rPr>
            <sz val="8"/>
            <rFont val="Tahoma"/>
            <family val="0"/>
          </rPr>
          <t>Formula failed to convert</t>
        </r>
      </text>
    </comment>
    <comment ref="F149" authorId="0">
      <text>
        <r>
          <rPr>
            <sz val="8"/>
            <rFont val="Tahoma"/>
            <family val="0"/>
          </rPr>
          <t>Formula failed to convert</t>
        </r>
      </text>
    </comment>
    <comment ref="H149" authorId="0">
      <text>
        <r>
          <rPr>
            <sz val="8"/>
            <rFont val="Tahoma"/>
            <family val="0"/>
          </rPr>
          <t>Formula failed to convert</t>
        </r>
      </text>
    </comment>
    <comment ref="J149" authorId="0">
      <text>
        <r>
          <rPr>
            <sz val="8"/>
            <rFont val="Tahoma"/>
            <family val="0"/>
          </rPr>
          <t>Formula failed to convert</t>
        </r>
      </text>
    </comment>
    <comment ref="D152" authorId="0">
      <text>
        <r>
          <rPr>
            <sz val="8"/>
            <rFont val="Tahoma"/>
            <family val="0"/>
          </rPr>
          <t>Formula failed to convert</t>
        </r>
      </text>
    </comment>
    <comment ref="F152" authorId="0">
      <text>
        <r>
          <rPr>
            <sz val="8"/>
            <rFont val="Tahoma"/>
            <family val="0"/>
          </rPr>
          <t>Formula failed to convert</t>
        </r>
      </text>
    </comment>
    <comment ref="H152" authorId="0">
      <text>
        <r>
          <rPr>
            <sz val="8"/>
            <rFont val="Tahoma"/>
            <family val="0"/>
          </rPr>
          <t>Formula failed to convert</t>
        </r>
      </text>
    </comment>
    <comment ref="J152" authorId="0">
      <text>
        <r>
          <rPr>
            <sz val="8"/>
            <rFont val="Tahoma"/>
            <family val="0"/>
          </rPr>
          <t>Formula failed to convert</t>
        </r>
      </text>
    </comment>
    <comment ref="D153" authorId="0">
      <text>
        <r>
          <rPr>
            <sz val="8"/>
            <rFont val="Tahoma"/>
            <family val="0"/>
          </rPr>
          <t>Formula failed to convert</t>
        </r>
      </text>
    </comment>
    <comment ref="F153" authorId="0">
      <text>
        <r>
          <rPr>
            <sz val="8"/>
            <rFont val="Tahoma"/>
            <family val="0"/>
          </rPr>
          <t>Formula failed to convert</t>
        </r>
      </text>
    </comment>
    <comment ref="H153" authorId="0">
      <text>
        <r>
          <rPr>
            <sz val="8"/>
            <rFont val="Tahoma"/>
            <family val="0"/>
          </rPr>
          <t>Formula failed to convert</t>
        </r>
      </text>
    </comment>
    <comment ref="J153" authorId="0">
      <text>
        <r>
          <rPr>
            <sz val="8"/>
            <rFont val="Tahoma"/>
            <family val="0"/>
          </rPr>
          <t>Formula failed to convert</t>
        </r>
      </text>
    </comment>
    <comment ref="D154" authorId="0">
      <text>
        <r>
          <rPr>
            <sz val="8"/>
            <rFont val="Tahoma"/>
            <family val="0"/>
          </rPr>
          <t>Formula failed to convert</t>
        </r>
      </text>
    </comment>
    <comment ref="F154" authorId="0">
      <text>
        <r>
          <rPr>
            <sz val="8"/>
            <rFont val="Tahoma"/>
            <family val="0"/>
          </rPr>
          <t>Formula failed to convert</t>
        </r>
      </text>
    </comment>
    <comment ref="H154" authorId="0">
      <text>
        <r>
          <rPr>
            <sz val="8"/>
            <rFont val="Tahoma"/>
            <family val="0"/>
          </rPr>
          <t>Formula failed to convert</t>
        </r>
      </text>
    </comment>
    <comment ref="J154" authorId="0">
      <text>
        <r>
          <rPr>
            <sz val="8"/>
            <rFont val="Tahoma"/>
            <family val="0"/>
          </rPr>
          <t>Formula failed to convert</t>
        </r>
      </text>
    </comment>
    <comment ref="N155" authorId="0">
      <text>
        <r>
          <rPr>
            <sz val="8"/>
            <rFont val="Tahoma"/>
            <family val="0"/>
          </rPr>
          <t>Formula failed to convert</t>
        </r>
      </text>
    </comment>
    <comment ref="D157" authorId="0">
      <text>
        <r>
          <rPr>
            <sz val="8"/>
            <rFont val="Tahoma"/>
            <family val="0"/>
          </rPr>
          <t>Formula failed to convert</t>
        </r>
      </text>
    </comment>
    <comment ref="F157" authorId="0">
      <text>
        <r>
          <rPr>
            <sz val="8"/>
            <rFont val="Tahoma"/>
            <family val="0"/>
          </rPr>
          <t>Formula failed to convert</t>
        </r>
      </text>
    </comment>
    <comment ref="H157" authorId="0">
      <text>
        <r>
          <rPr>
            <sz val="8"/>
            <rFont val="Tahoma"/>
            <family val="0"/>
          </rPr>
          <t>Formula failed to convert</t>
        </r>
      </text>
    </comment>
    <comment ref="J157" authorId="0">
      <text>
        <r>
          <rPr>
            <sz val="8"/>
            <rFont val="Tahoma"/>
            <family val="0"/>
          </rPr>
          <t>Formula failed to convert</t>
        </r>
      </text>
    </comment>
    <comment ref="D160" authorId="0">
      <text>
        <r>
          <rPr>
            <sz val="8"/>
            <rFont val="Tahoma"/>
            <family val="0"/>
          </rPr>
          <t>Formula failed to convert</t>
        </r>
      </text>
    </comment>
    <comment ref="F160" authorId="0">
      <text>
        <r>
          <rPr>
            <sz val="8"/>
            <rFont val="Tahoma"/>
            <family val="0"/>
          </rPr>
          <t>Formula failed to convert</t>
        </r>
      </text>
    </comment>
    <comment ref="H160" authorId="0">
      <text>
        <r>
          <rPr>
            <sz val="8"/>
            <rFont val="Tahoma"/>
            <family val="0"/>
          </rPr>
          <t>Formula failed to convert</t>
        </r>
      </text>
    </comment>
    <comment ref="J160" authorId="0">
      <text>
        <r>
          <rPr>
            <sz val="8"/>
            <rFont val="Tahoma"/>
            <family val="0"/>
          </rPr>
          <t>Formula failed to convert</t>
        </r>
      </text>
    </comment>
    <comment ref="J161" authorId="0">
      <text>
        <r>
          <rPr>
            <sz val="8"/>
            <rFont val="Tahoma"/>
            <family val="0"/>
          </rPr>
          <t>Formula failed to convert</t>
        </r>
      </text>
    </comment>
    <comment ref="D162" authorId="0">
      <text>
        <r>
          <rPr>
            <sz val="8"/>
            <rFont val="Tahoma"/>
            <family val="0"/>
          </rPr>
          <t>Formula failed to convert</t>
        </r>
      </text>
    </comment>
    <comment ref="F162" authorId="0">
      <text>
        <r>
          <rPr>
            <sz val="8"/>
            <rFont val="Tahoma"/>
            <family val="0"/>
          </rPr>
          <t>Formula failed to convert</t>
        </r>
      </text>
    </comment>
    <comment ref="H162" authorId="0">
      <text>
        <r>
          <rPr>
            <sz val="8"/>
            <rFont val="Tahoma"/>
            <family val="0"/>
          </rPr>
          <t>Formula failed to convert</t>
        </r>
      </text>
    </comment>
    <comment ref="J162" authorId="0">
      <text>
        <r>
          <rPr>
            <sz val="8"/>
            <rFont val="Tahoma"/>
            <family val="0"/>
          </rPr>
          <t>Formula failed to convert</t>
        </r>
      </text>
    </comment>
    <comment ref="N163" authorId="0">
      <text>
        <r>
          <rPr>
            <sz val="8"/>
            <rFont val="Tahoma"/>
            <family val="0"/>
          </rPr>
          <t>Formula failed to convert</t>
        </r>
      </text>
    </comment>
    <comment ref="D168" authorId="0">
      <text>
        <r>
          <rPr>
            <sz val="8"/>
            <rFont val="Tahoma"/>
            <family val="0"/>
          </rPr>
          <t>Formula failed to convert</t>
        </r>
      </text>
    </comment>
    <comment ref="F168" authorId="0">
      <text>
        <r>
          <rPr>
            <sz val="8"/>
            <rFont val="Tahoma"/>
            <family val="0"/>
          </rPr>
          <t>Formula failed to convert</t>
        </r>
      </text>
    </comment>
    <comment ref="H168" authorId="0">
      <text>
        <r>
          <rPr>
            <sz val="8"/>
            <rFont val="Tahoma"/>
            <family val="0"/>
          </rPr>
          <t>Formula failed to convert</t>
        </r>
      </text>
    </comment>
    <comment ref="J168" authorId="0">
      <text>
        <r>
          <rPr>
            <sz val="8"/>
            <rFont val="Tahoma"/>
            <family val="0"/>
          </rPr>
          <t>Formula failed to convert</t>
        </r>
      </text>
    </comment>
    <comment ref="D169" authorId="0">
      <text>
        <r>
          <rPr>
            <sz val="8"/>
            <rFont val="Tahoma"/>
            <family val="0"/>
          </rPr>
          <t>Formula failed to convert</t>
        </r>
      </text>
    </comment>
    <comment ref="F169" authorId="0">
      <text>
        <r>
          <rPr>
            <sz val="8"/>
            <rFont val="Tahoma"/>
            <family val="0"/>
          </rPr>
          <t>Formula failed to convert</t>
        </r>
      </text>
    </comment>
    <comment ref="H169" authorId="0">
      <text>
        <r>
          <rPr>
            <sz val="8"/>
            <rFont val="Tahoma"/>
            <family val="0"/>
          </rPr>
          <t>Formula failed to convert</t>
        </r>
      </text>
    </comment>
    <comment ref="J169" authorId="0">
      <text>
        <r>
          <rPr>
            <sz val="8"/>
            <rFont val="Tahoma"/>
            <family val="0"/>
          </rPr>
          <t>Formula failed to convert</t>
        </r>
      </text>
    </comment>
    <comment ref="D170" authorId="0">
      <text>
        <r>
          <rPr>
            <sz val="8"/>
            <rFont val="Tahoma"/>
            <family val="0"/>
          </rPr>
          <t>Formula failed to convert</t>
        </r>
      </text>
    </comment>
    <comment ref="F170" authorId="0">
      <text>
        <r>
          <rPr>
            <sz val="8"/>
            <rFont val="Tahoma"/>
            <family val="0"/>
          </rPr>
          <t>Formula failed to convert</t>
        </r>
      </text>
    </comment>
    <comment ref="H170" authorId="0">
      <text>
        <r>
          <rPr>
            <sz val="8"/>
            <rFont val="Tahoma"/>
            <family val="0"/>
          </rPr>
          <t>Formula failed to convert</t>
        </r>
      </text>
    </comment>
    <comment ref="J170" authorId="0">
      <text>
        <r>
          <rPr>
            <sz val="8"/>
            <rFont val="Tahoma"/>
            <family val="0"/>
          </rPr>
          <t>Formula failed to convert</t>
        </r>
      </text>
    </comment>
    <comment ref="L170" authorId="0">
      <text>
        <r>
          <rPr>
            <sz val="8"/>
            <rFont val="Tahoma"/>
            <family val="0"/>
          </rPr>
          <t>Formula failed to convert</t>
        </r>
      </text>
    </comment>
    <comment ref="D171" authorId="0">
      <text>
        <r>
          <rPr>
            <sz val="8"/>
            <rFont val="Tahoma"/>
            <family val="0"/>
          </rPr>
          <t>Formula failed to convert</t>
        </r>
      </text>
    </comment>
    <comment ref="F171" authorId="0">
      <text>
        <r>
          <rPr>
            <sz val="8"/>
            <rFont val="Tahoma"/>
            <family val="0"/>
          </rPr>
          <t>Formula failed to convert</t>
        </r>
      </text>
    </comment>
    <comment ref="H171" authorId="0">
      <text>
        <r>
          <rPr>
            <sz val="8"/>
            <rFont val="Tahoma"/>
            <family val="0"/>
          </rPr>
          <t>Formula failed to convert</t>
        </r>
      </text>
    </comment>
    <comment ref="J171" authorId="0">
      <text>
        <r>
          <rPr>
            <sz val="8"/>
            <rFont val="Tahoma"/>
            <family val="0"/>
          </rPr>
          <t>Formula failed to convert</t>
        </r>
      </text>
    </comment>
    <comment ref="L171" authorId="0">
      <text>
        <r>
          <rPr>
            <sz val="8"/>
            <rFont val="Tahoma"/>
            <family val="0"/>
          </rPr>
          <t>Formula failed to convert</t>
        </r>
      </text>
    </comment>
    <comment ref="D176" authorId="0">
      <text>
        <r>
          <rPr>
            <sz val="8"/>
            <rFont val="Tahoma"/>
            <family val="0"/>
          </rPr>
          <t>Formula failed to convert</t>
        </r>
      </text>
    </comment>
    <comment ref="F176" authorId="0">
      <text>
        <r>
          <rPr>
            <sz val="8"/>
            <rFont val="Tahoma"/>
            <family val="0"/>
          </rPr>
          <t>Formula failed to convert</t>
        </r>
      </text>
    </comment>
    <comment ref="H176" authorId="0">
      <text>
        <r>
          <rPr>
            <sz val="8"/>
            <rFont val="Tahoma"/>
            <family val="0"/>
          </rPr>
          <t>Formula failed to convert</t>
        </r>
      </text>
    </comment>
    <comment ref="D177" authorId="0">
      <text>
        <r>
          <rPr>
            <sz val="8"/>
            <rFont val="Tahoma"/>
            <family val="0"/>
          </rPr>
          <t>Formula failed to convert</t>
        </r>
      </text>
    </comment>
    <comment ref="F177" authorId="0">
      <text>
        <r>
          <rPr>
            <sz val="8"/>
            <rFont val="Tahoma"/>
            <family val="0"/>
          </rPr>
          <t>Formula failed to convert</t>
        </r>
      </text>
    </comment>
    <comment ref="H177" authorId="0">
      <text>
        <r>
          <rPr>
            <sz val="8"/>
            <rFont val="Tahoma"/>
            <family val="0"/>
          </rPr>
          <t>Formula failed to convert</t>
        </r>
      </text>
    </comment>
    <comment ref="J177" authorId="0">
      <text>
        <r>
          <rPr>
            <sz val="8"/>
            <rFont val="Tahoma"/>
            <family val="0"/>
          </rPr>
          <t>Formula failed to convert</t>
        </r>
      </text>
    </comment>
    <comment ref="D178" authorId="0">
      <text>
        <r>
          <rPr>
            <sz val="8"/>
            <rFont val="Tahoma"/>
            <family val="0"/>
          </rPr>
          <t>Formula failed to convert</t>
        </r>
      </text>
    </comment>
    <comment ref="F178" authorId="0">
      <text>
        <r>
          <rPr>
            <sz val="8"/>
            <rFont val="Tahoma"/>
            <family val="0"/>
          </rPr>
          <t>Formula failed to convert</t>
        </r>
      </text>
    </comment>
    <comment ref="H178" authorId="0">
      <text>
        <r>
          <rPr>
            <sz val="8"/>
            <rFont val="Tahoma"/>
            <family val="0"/>
          </rPr>
          <t>Formula failed to convert</t>
        </r>
      </text>
    </comment>
    <comment ref="J178" authorId="0">
      <text>
        <r>
          <rPr>
            <sz val="8"/>
            <rFont val="Tahoma"/>
            <family val="0"/>
          </rPr>
          <t>Formula failed to convert</t>
        </r>
      </text>
    </comment>
    <comment ref="L178" authorId="0">
      <text>
        <r>
          <rPr>
            <sz val="8"/>
            <rFont val="Tahoma"/>
            <family val="0"/>
          </rPr>
          <t>Formula failed to convert</t>
        </r>
      </text>
    </comment>
    <comment ref="D179" authorId="0">
      <text>
        <r>
          <rPr>
            <sz val="8"/>
            <rFont val="Tahoma"/>
            <family val="0"/>
          </rPr>
          <t>Formula failed to convert</t>
        </r>
      </text>
    </comment>
    <comment ref="F179" authorId="0">
      <text>
        <r>
          <rPr>
            <sz val="8"/>
            <rFont val="Tahoma"/>
            <family val="0"/>
          </rPr>
          <t>Formula failed to convert</t>
        </r>
      </text>
    </comment>
    <comment ref="H179" authorId="0">
      <text>
        <r>
          <rPr>
            <sz val="8"/>
            <rFont val="Tahoma"/>
            <family val="0"/>
          </rPr>
          <t>Formula failed to convert</t>
        </r>
      </text>
    </comment>
    <comment ref="J179" authorId="0">
      <text>
        <r>
          <rPr>
            <sz val="8"/>
            <rFont val="Tahoma"/>
            <family val="0"/>
          </rPr>
          <t>Formula failed to convert</t>
        </r>
      </text>
    </comment>
    <comment ref="L179" authorId="0">
      <text>
        <r>
          <rPr>
            <sz val="8"/>
            <rFont val="Tahoma"/>
            <family val="0"/>
          </rPr>
          <t>Formula failed to convert</t>
        </r>
      </text>
    </comment>
    <comment ref="D183" authorId="0">
      <text>
        <r>
          <rPr>
            <sz val="8"/>
            <rFont val="Tahoma"/>
            <family val="0"/>
          </rPr>
          <t>Formula failed to convert</t>
        </r>
      </text>
    </comment>
    <comment ref="F183" authorId="0">
      <text>
        <r>
          <rPr>
            <sz val="8"/>
            <rFont val="Tahoma"/>
            <family val="0"/>
          </rPr>
          <t>Formula failed to convert</t>
        </r>
      </text>
    </comment>
    <comment ref="H183" authorId="0">
      <text>
        <r>
          <rPr>
            <sz val="8"/>
            <rFont val="Tahoma"/>
            <family val="0"/>
          </rPr>
          <t>Formula failed to convert</t>
        </r>
      </text>
    </comment>
    <comment ref="J183" authorId="0">
      <text>
        <r>
          <rPr>
            <sz val="8"/>
            <rFont val="Tahoma"/>
            <family val="0"/>
          </rPr>
          <t>Formula failed to convert</t>
        </r>
      </text>
    </comment>
    <comment ref="D184" authorId="0">
      <text>
        <r>
          <rPr>
            <sz val="8"/>
            <rFont val="Tahoma"/>
            <family val="0"/>
          </rPr>
          <t>Formula failed to convert</t>
        </r>
      </text>
    </comment>
    <comment ref="F184" authorId="0">
      <text>
        <r>
          <rPr>
            <sz val="8"/>
            <rFont val="Tahoma"/>
            <family val="0"/>
          </rPr>
          <t>Formula failed to convert</t>
        </r>
      </text>
    </comment>
    <comment ref="H184" authorId="0">
      <text>
        <r>
          <rPr>
            <sz val="8"/>
            <rFont val="Tahoma"/>
            <family val="0"/>
          </rPr>
          <t>Formula failed to convert</t>
        </r>
      </text>
    </comment>
    <comment ref="J184" authorId="0">
      <text>
        <r>
          <rPr>
            <sz val="8"/>
            <rFont val="Tahoma"/>
            <family val="0"/>
          </rPr>
          <t>Formula failed to convert</t>
        </r>
      </text>
    </comment>
    <comment ref="D187" authorId="0">
      <text>
        <r>
          <rPr>
            <sz val="8"/>
            <rFont val="Tahoma"/>
            <family val="0"/>
          </rPr>
          <t>Formula failed to convert</t>
        </r>
      </text>
    </comment>
    <comment ref="F187" authorId="0">
      <text>
        <r>
          <rPr>
            <sz val="8"/>
            <rFont val="Tahoma"/>
            <family val="0"/>
          </rPr>
          <t>Formula failed to convert</t>
        </r>
      </text>
    </comment>
    <comment ref="H187" authorId="0">
      <text>
        <r>
          <rPr>
            <sz val="8"/>
            <rFont val="Tahoma"/>
            <family val="0"/>
          </rPr>
          <t>Formula failed to convert</t>
        </r>
      </text>
    </comment>
    <comment ref="J187" authorId="0">
      <text>
        <r>
          <rPr>
            <sz val="8"/>
            <rFont val="Tahoma"/>
            <family val="0"/>
          </rPr>
          <t>Formula failed to convert</t>
        </r>
      </text>
    </comment>
    <comment ref="N187" authorId="0">
      <text>
        <r>
          <rPr>
            <sz val="8"/>
            <rFont val="Tahoma"/>
            <family val="0"/>
          </rPr>
          <t>Formula failed to convert</t>
        </r>
      </text>
    </comment>
    <comment ref="D191" authorId="0">
      <text>
        <r>
          <rPr>
            <sz val="8"/>
            <rFont val="Tahoma"/>
            <family val="0"/>
          </rPr>
          <t>Formula failed to convert</t>
        </r>
      </text>
    </comment>
    <comment ref="F191" authorId="0">
      <text>
        <r>
          <rPr>
            <sz val="8"/>
            <rFont val="Tahoma"/>
            <family val="0"/>
          </rPr>
          <t>Formula failed to convert</t>
        </r>
      </text>
    </comment>
    <comment ref="H191" authorId="0">
      <text>
        <r>
          <rPr>
            <sz val="8"/>
            <rFont val="Tahoma"/>
            <family val="0"/>
          </rPr>
          <t>Formula failed to convert</t>
        </r>
      </text>
    </comment>
    <comment ref="J191" authorId="0">
      <text>
        <r>
          <rPr>
            <sz val="8"/>
            <rFont val="Tahoma"/>
            <family val="0"/>
          </rPr>
          <t>Formula failed to convert</t>
        </r>
      </text>
    </comment>
    <comment ref="D192" authorId="0">
      <text>
        <r>
          <rPr>
            <sz val="8"/>
            <rFont val="Tahoma"/>
            <family val="0"/>
          </rPr>
          <t>Formula failed to convert</t>
        </r>
      </text>
    </comment>
    <comment ref="F192" authorId="0">
      <text>
        <r>
          <rPr>
            <sz val="8"/>
            <rFont val="Tahoma"/>
            <family val="0"/>
          </rPr>
          <t>Formula failed to convert</t>
        </r>
      </text>
    </comment>
    <comment ref="H192" authorId="0">
      <text>
        <r>
          <rPr>
            <sz val="8"/>
            <rFont val="Tahoma"/>
            <family val="0"/>
          </rPr>
          <t>Formula failed to convert</t>
        </r>
      </text>
    </comment>
    <comment ref="J192" authorId="0">
      <text>
        <r>
          <rPr>
            <sz val="8"/>
            <rFont val="Tahoma"/>
            <family val="0"/>
          </rPr>
          <t>Formula failed to convert</t>
        </r>
      </text>
    </comment>
    <comment ref="D195" authorId="0">
      <text>
        <r>
          <rPr>
            <sz val="8"/>
            <rFont val="Tahoma"/>
            <family val="0"/>
          </rPr>
          <t>Formula failed to convert</t>
        </r>
      </text>
    </comment>
    <comment ref="F195" authorId="0">
      <text>
        <r>
          <rPr>
            <sz val="8"/>
            <rFont val="Tahoma"/>
            <family val="0"/>
          </rPr>
          <t>Formula failed to convert</t>
        </r>
      </text>
    </comment>
    <comment ref="H195" authorId="0">
      <text>
        <r>
          <rPr>
            <sz val="8"/>
            <rFont val="Tahoma"/>
            <family val="0"/>
          </rPr>
          <t>Formula failed to convert</t>
        </r>
      </text>
    </comment>
    <comment ref="J195" authorId="0">
      <text>
        <r>
          <rPr>
            <sz val="8"/>
            <rFont val="Tahoma"/>
            <family val="0"/>
          </rPr>
          <t>Formula failed to convert</t>
        </r>
      </text>
    </comment>
    <comment ref="N196" authorId="0">
      <text>
        <r>
          <rPr>
            <sz val="8"/>
            <rFont val="Tahoma"/>
            <family val="0"/>
          </rPr>
          <t>Formula failed to convert</t>
        </r>
      </text>
    </comment>
    <comment ref="D197" authorId="0">
      <text>
        <r>
          <rPr>
            <sz val="8"/>
            <rFont val="Tahoma"/>
            <family val="0"/>
          </rPr>
          <t>Formula failed to convert</t>
        </r>
      </text>
    </comment>
    <comment ref="F197" authorId="0">
      <text>
        <r>
          <rPr>
            <sz val="8"/>
            <rFont val="Tahoma"/>
            <family val="0"/>
          </rPr>
          <t>Formula failed to convert</t>
        </r>
      </text>
    </comment>
    <comment ref="H197" authorId="0">
      <text>
        <r>
          <rPr>
            <sz val="8"/>
            <rFont val="Tahoma"/>
            <family val="0"/>
          </rPr>
          <t>Formula failed to convert</t>
        </r>
      </text>
    </comment>
    <comment ref="J197" authorId="0">
      <text>
        <r>
          <rPr>
            <sz val="8"/>
            <rFont val="Tahoma"/>
            <family val="0"/>
          </rPr>
          <t>Formula failed to convert</t>
        </r>
      </text>
    </comment>
    <comment ref="L197" authorId="0">
      <text>
        <r>
          <rPr>
            <sz val="8"/>
            <rFont val="Tahoma"/>
            <family val="0"/>
          </rPr>
          <t>Formula failed to convert</t>
        </r>
      </text>
    </comment>
    <comment ref="D198" authorId="0">
      <text>
        <r>
          <rPr>
            <sz val="8"/>
            <rFont val="Tahoma"/>
            <family val="0"/>
          </rPr>
          <t>Formula failed to convert</t>
        </r>
      </text>
    </comment>
    <comment ref="F198" authorId="0">
      <text>
        <r>
          <rPr>
            <sz val="8"/>
            <rFont val="Tahoma"/>
            <family val="0"/>
          </rPr>
          <t>Formula failed to convert</t>
        </r>
      </text>
    </comment>
    <comment ref="H198" authorId="0">
      <text>
        <r>
          <rPr>
            <sz val="8"/>
            <rFont val="Tahoma"/>
            <family val="0"/>
          </rPr>
          <t>Formula failed to convert</t>
        </r>
      </text>
    </comment>
    <comment ref="J198" authorId="0">
      <text>
        <r>
          <rPr>
            <sz val="8"/>
            <rFont val="Tahoma"/>
            <family val="0"/>
          </rPr>
          <t>Formula failed to convert</t>
        </r>
      </text>
    </comment>
    <comment ref="L198" authorId="0">
      <text>
        <r>
          <rPr>
            <sz val="8"/>
            <rFont val="Tahoma"/>
            <family val="0"/>
          </rPr>
          <t>Formula failed to convert</t>
        </r>
      </text>
    </comment>
    <comment ref="D199" authorId="0">
      <text>
        <r>
          <rPr>
            <sz val="8"/>
            <rFont val="Tahoma"/>
            <family val="0"/>
          </rPr>
          <t>Formula failed to convert</t>
        </r>
      </text>
    </comment>
    <comment ref="F199" authorId="0">
      <text>
        <r>
          <rPr>
            <sz val="8"/>
            <rFont val="Tahoma"/>
            <family val="0"/>
          </rPr>
          <t>Formula failed to convert</t>
        </r>
      </text>
    </comment>
    <comment ref="H199" authorId="0">
      <text>
        <r>
          <rPr>
            <sz val="8"/>
            <rFont val="Tahoma"/>
            <family val="0"/>
          </rPr>
          <t>Formula failed to convert</t>
        </r>
      </text>
    </comment>
    <comment ref="J199" authorId="0">
      <text>
        <r>
          <rPr>
            <sz val="8"/>
            <rFont val="Tahoma"/>
            <family val="0"/>
          </rPr>
          <t>Formula failed to convert</t>
        </r>
      </text>
    </comment>
    <comment ref="L199" authorId="0">
      <text>
        <r>
          <rPr>
            <sz val="8"/>
            <rFont val="Tahoma"/>
            <family val="0"/>
          </rPr>
          <t>Formula failed to convert</t>
        </r>
      </text>
    </comment>
    <comment ref="D200" authorId="0">
      <text>
        <r>
          <rPr>
            <sz val="8"/>
            <rFont val="Tahoma"/>
            <family val="0"/>
          </rPr>
          <t>Formula failed to convert</t>
        </r>
      </text>
    </comment>
    <comment ref="F200" authorId="0">
      <text>
        <r>
          <rPr>
            <sz val="8"/>
            <rFont val="Tahoma"/>
            <family val="0"/>
          </rPr>
          <t>Formula failed to convert</t>
        </r>
      </text>
    </comment>
    <comment ref="H200" authorId="0">
      <text>
        <r>
          <rPr>
            <sz val="8"/>
            <rFont val="Tahoma"/>
            <family val="0"/>
          </rPr>
          <t>Formula failed to convert</t>
        </r>
      </text>
    </comment>
    <comment ref="J200" authorId="0">
      <text>
        <r>
          <rPr>
            <sz val="8"/>
            <rFont val="Tahoma"/>
            <family val="0"/>
          </rPr>
          <t>Formula failed to convert</t>
        </r>
      </text>
    </comment>
    <comment ref="L200" authorId="0">
      <text>
        <r>
          <rPr>
            <sz val="8"/>
            <rFont val="Tahoma"/>
            <family val="0"/>
          </rPr>
          <t>Formula failed to convert</t>
        </r>
      </text>
    </comment>
    <comment ref="D201" authorId="0">
      <text>
        <r>
          <rPr>
            <sz val="8"/>
            <rFont val="Tahoma"/>
            <family val="0"/>
          </rPr>
          <t>Formula failed to convert</t>
        </r>
      </text>
    </comment>
    <comment ref="F201" authorId="0">
      <text>
        <r>
          <rPr>
            <sz val="8"/>
            <rFont val="Tahoma"/>
            <family val="0"/>
          </rPr>
          <t>Formula failed to convert</t>
        </r>
      </text>
    </comment>
    <comment ref="H201" authorId="0">
      <text>
        <r>
          <rPr>
            <sz val="8"/>
            <rFont val="Tahoma"/>
            <family val="0"/>
          </rPr>
          <t>Formula failed to convert</t>
        </r>
      </text>
    </comment>
    <comment ref="J201" authorId="0">
      <text>
        <r>
          <rPr>
            <sz val="8"/>
            <rFont val="Tahoma"/>
            <family val="0"/>
          </rPr>
          <t>Formula failed to convert</t>
        </r>
      </text>
    </comment>
    <comment ref="L201" authorId="0">
      <text>
        <r>
          <rPr>
            <sz val="8"/>
            <rFont val="Tahoma"/>
            <family val="0"/>
          </rPr>
          <t>Formula failed to convert</t>
        </r>
      </text>
    </comment>
    <comment ref="D202" authorId="0">
      <text>
        <r>
          <rPr>
            <sz val="8"/>
            <rFont val="Tahoma"/>
            <family val="0"/>
          </rPr>
          <t>Formula failed to convert</t>
        </r>
      </text>
    </comment>
    <comment ref="F202" authorId="0">
      <text>
        <r>
          <rPr>
            <sz val="8"/>
            <rFont val="Tahoma"/>
            <family val="0"/>
          </rPr>
          <t>Formula failed to convert</t>
        </r>
      </text>
    </comment>
    <comment ref="H202" authorId="0">
      <text>
        <r>
          <rPr>
            <sz val="8"/>
            <rFont val="Tahoma"/>
            <family val="0"/>
          </rPr>
          <t>Formula failed to convert</t>
        </r>
      </text>
    </comment>
    <comment ref="J202" authorId="0">
      <text>
        <r>
          <rPr>
            <sz val="8"/>
            <rFont val="Tahoma"/>
            <family val="0"/>
          </rPr>
          <t>Formula failed to convert</t>
        </r>
      </text>
    </comment>
    <comment ref="L202" authorId="0">
      <text>
        <r>
          <rPr>
            <sz val="8"/>
            <rFont val="Tahoma"/>
            <family val="0"/>
          </rPr>
          <t>Formula failed to convert</t>
        </r>
      </text>
    </comment>
    <comment ref="N203" authorId="0">
      <text>
        <r>
          <rPr>
            <sz val="8"/>
            <rFont val="Tahoma"/>
            <family val="0"/>
          </rPr>
          <t>Formula failed to convert</t>
        </r>
      </text>
    </comment>
    <comment ref="D213" authorId="0">
      <text>
        <r>
          <rPr>
            <sz val="8"/>
            <rFont val="Tahoma"/>
            <family val="0"/>
          </rPr>
          <t>Formula failed to convert</t>
        </r>
      </text>
    </comment>
    <comment ref="F213" authorId="0">
      <text>
        <r>
          <rPr>
            <sz val="8"/>
            <rFont val="Tahoma"/>
            <family val="0"/>
          </rPr>
          <t>Formula failed to convert</t>
        </r>
      </text>
    </comment>
    <comment ref="H213" authorId="0">
      <text>
        <r>
          <rPr>
            <sz val="8"/>
            <rFont val="Tahoma"/>
            <family val="0"/>
          </rPr>
          <t>Formula failed to convert</t>
        </r>
      </text>
    </comment>
    <comment ref="J213" authorId="0">
      <text>
        <r>
          <rPr>
            <sz val="8"/>
            <rFont val="Tahoma"/>
            <family val="0"/>
          </rPr>
          <t>Formula failed to convert</t>
        </r>
      </text>
    </comment>
    <comment ref="L213" authorId="0">
      <text>
        <r>
          <rPr>
            <sz val="8"/>
            <rFont val="Tahoma"/>
            <family val="0"/>
          </rPr>
          <t>Formula failed to convert</t>
        </r>
      </text>
    </comment>
    <comment ref="D214" authorId="0">
      <text>
        <r>
          <rPr>
            <sz val="8"/>
            <rFont val="Tahoma"/>
            <family val="0"/>
          </rPr>
          <t>Formula failed to convert</t>
        </r>
      </text>
    </comment>
    <comment ref="F214" authorId="0">
      <text>
        <r>
          <rPr>
            <sz val="8"/>
            <rFont val="Tahoma"/>
            <family val="0"/>
          </rPr>
          <t>Formula failed to convert</t>
        </r>
      </text>
    </comment>
    <comment ref="H214" authorId="0">
      <text>
        <r>
          <rPr>
            <sz val="8"/>
            <rFont val="Tahoma"/>
            <family val="0"/>
          </rPr>
          <t>Formula failed to convert</t>
        </r>
      </text>
    </comment>
    <comment ref="J214" authorId="0">
      <text>
        <r>
          <rPr>
            <sz val="8"/>
            <rFont val="Tahoma"/>
            <family val="0"/>
          </rPr>
          <t>Formula failed to convert</t>
        </r>
      </text>
    </comment>
    <comment ref="L214" authorId="0">
      <text>
        <r>
          <rPr>
            <sz val="8"/>
            <rFont val="Tahoma"/>
            <family val="0"/>
          </rPr>
          <t>Formula failed to convert</t>
        </r>
      </text>
    </comment>
    <comment ref="D215" authorId="0">
      <text>
        <r>
          <rPr>
            <sz val="8"/>
            <rFont val="Tahoma"/>
            <family val="0"/>
          </rPr>
          <t>Formula failed to convert</t>
        </r>
      </text>
    </comment>
    <comment ref="F215" authorId="0">
      <text>
        <r>
          <rPr>
            <sz val="8"/>
            <rFont val="Tahoma"/>
            <family val="0"/>
          </rPr>
          <t>Formula failed to convert</t>
        </r>
      </text>
    </comment>
    <comment ref="H215" authorId="0">
      <text>
        <r>
          <rPr>
            <sz val="8"/>
            <rFont val="Tahoma"/>
            <family val="0"/>
          </rPr>
          <t>Formula failed to convert</t>
        </r>
      </text>
    </comment>
    <comment ref="J215" authorId="0">
      <text>
        <r>
          <rPr>
            <sz val="8"/>
            <rFont val="Tahoma"/>
            <family val="0"/>
          </rPr>
          <t>Formula failed to convert</t>
        </r>
      </text>
    </comment>
    <comment ref="D216" authorId="0">
      <text>
        <r>
          <rPr>
            <sz val="8"/>
            <rFont val="Tahoma"/>
            <family val="0"/>
          </rPr>
          <t>Formula failed to convert</t>
        </r>
      </text>
    </comment>
    <comment ref="F216" authorId="0">
      <text>
        <r>
          <rPr>
            <sz val="8"/>
            <rFont val="Tahoma"/>
            <family val="0"/>
          </rPr>
          <t>Formula failed to convert</t>
        </r>
      </text>
    </comment>
    <comment ref="H216" authorId="0">
      <text>
        <r>
          <rPr>
            <sz val="8"/>
            <rFont val="Tahoma"/>
            <family val="0"/>
          </rPr>
          <t>Formula failed to convert</t>
        </r>
      </text>
    </comment>
    <comment ref="J216" authorId="0">
      <text>
        <r>
          <rPr>
            <sz val="8"/>
            <rFont val="Tahoma"/>
            <family val="0"/>
          </rPr>
          <t>Formula failed to convert</t>
        </r>
      </text>
    </comment>
    <comment ref="L216" authorId="0">
      <text>
        <r>
          <rPr>
            <sz val="8"/>
            <rFont val="Tahoma"/>
            <family val="0"/>
          </rPr>
          <t>Formula failed to convert</t>
        </r>
      </text>
    </comment>
    <comment ref="D218" authorId="0">
      <text>
        <r>
          <rPr>
            <sz val="8"/>
            <rFont val="Tahoma"/>
            <family val="0"/>
          </rPr>
          <t>Formula failed to convert</t>
        </r>
      </text>
    </comment>
    <comment ref="F218" authorId="0">
      <text>
        <r>
          <rPr>
            <sz val="8"/>
            <rFont val="Tahoma"/>
            <family val="0"/>
          </rPr>
          <t>Formula failed to convert</t>
        </r>
      </text>
    </comment>
    <comment ref="H218" authorId="0">
      <text>
        <r>
          <rPr>
            <sz val="8"/>
            <rFont val="Tahoma"/>
            <family val="0"/>
          </rPr>
          <t>Formula failed to convert</t>
        </r>
      </text>
    </comment>
    <comment ref="J218" authorId="0">
      <text>
        <r>
          <rPr>
            <sz val="8"/>
            <rFont val="Tahoma"/>
            <family val="0"/>
          </rPr>
          <t>Formula failed to convert</t>
        </r>
      </text>
    </comment>
    <comment ref="L218" authorId="0">
      <text>
        <r>
          <rPr>
            <sz val="8"/>
            <rFont val="Tahoma"/>
            <family val="0"/>
          </rPr>
          <t>Formula failed to convert</t>
        </r>
      </text>
    </comment>
    <comment ref="D219" authorId="0">
      <text>
        <r>
          <rPr>
            <sz val="8"/>
            <rFont val="Tahoma"/>
            <family val="0"/>
          </rPr>
          <t>Formula failed to convert</t>
        </r>
      </text>
    </comment>
    <comment ref="F219" authorId="0">
      <text>
        <r>
          <rPr>
            <sz val="8"/>
            <rFont val="Tahoma"/>
            <family val="0"/>
          </rPr>
          <t>Formula failed to convert</t>
        </r>
      </text>
    </comment>
    <comment ref="H219" authorId="0">
      <text>
        <r>
          <rPr>
            <sz val="8"/>
            <rFont val="Tahoma"/>
            <family val="0"/>
          </rPr>
          <t>Formula failed to convert</t>
        </r>
      </text>
    </comment>
    <comment ref="J219" authorId="0">
      <text>
        <r>
          <rPr>
            <sz val="8"/>
            <rFont val="Tahoma"/>
            <family val="0"/>
          </rPr>
          <t>Formula failed to convert</t>
        </r>
      </text>
    </comment>
    <comment ref="L219" authorId="0">
      <text>
        <r>
          <rPr>
            <sz val="8"/>
            <rFont val="Tahoma"/>
            <family val="0"/>
          </rPr>
          <t>Formula failed to convert</t>
        </r>
      </text>
    </comment>
    <comment ref="D221" authorId="0">
      <text>
        <r>
          <rPr>
            <sz val="8"/>
            <rFont val="Tahoma"/>
            <family val="0"/>
          </rPr>
          <t>Formula failed to convert</t>
        </r>
      </text>
    </comment>
    <comment ref="F221" authorId="0">
      <text>
        <r>
          <rPr>
            <sz val="8"/>
            <rFont val="Tahoma"/>
            <family val="0"/>
          </rPr>
          <t>Formula failed to convert</t>
        </r>
      </text>
    </comment>
    <comment ref="H221" authorId="0">
      <text>
        <r>
          <rPr>
            <sz val="8"/>
            <rFont val="Tahoma"/>
            <family val="0"/>
          </rPr>
          <t>Formula failed to convert</t>
        </r>
      </text>
    </comment>
    <comment ref="J221" authorId="0">
      <text>
        <r>
          <rPr>
            <sz val="8"/>
            <rFont val="Tahoma"/>
            <family val="0"/>
          </rPr>
          <t>Formula failed to convert</t>
        </r>
      </text>
    </comment>
    <comment ref="L221" authorId="0">
      <text>
        <r>
          <rPr>
            <sz val="8"/>
            <rFont val="Tahoma"/>
            <family val="0"/>
          </rPr>
          <t>Formula failed to convert</t>
        </r>
      </text>
    </comment>
    <comment ref="D222" authorId="0">
      <text>
        <r>
          <rPr>
            <sz val="8"/>
            <rFont val="Tahoma"/>
            <family val="0"/>
          </rPr>
          <t>Formula failed to convert</t>
        </r>
      </text>
    </comment>
    <comment ref="F222" authorId="0">
      <text>
        <r>
          <rPr>
            <sz val="8"/>
            <rFont val="Tahoma"/>
            <family val="0"/>
          </rPr>
          <t>Formula failed to convert</t>
        </r>
      </text>
    </comment>
    <comment ref="H222" authorId="0">
      <text>
        <r>
          <rPr>
            <sz val="8"/>
            <rFont val="Tahoma"/>
            <family val="0"/>
          </rPr>
          <t>Formula failed to convert</t>
        </r>
      </text>
    </comment>
    <comment ref="J222" authorId="0">
      <text>
        <r>
          <rPr>
            <sz val="8"/>
            <rFont val="Tahoma"/>
            <family val="0"/>
          </rPr>
          <t>Formula failed to convert</t>
        </r>
      </text>
    </comment>
    <comment ref="L222" authorId="0">
      <text>
        <r>
          <rPr>
            <sz val="8"/>
            <rFont val="Tahoma"/>
            <family val="0"/>
          </rPr>
          <t>Formula failed to convert</t>
        </r>
      </text>
    </comment>
    <comment ref="D223" authorId="0">
      <text>
        <r>
          <rPr>
            <sz val="8"/>
            <rFont val="Tahoma"/>
            <family val="0"/>
          </rPr>
          <t>Formula failed to convert</t>
        </r>
      </text>
    </comment>
    <comment ref="F223" authorId="0">
      <text>
        <r>
          <rPr>
            <sz val="8"/>
            <rFont val="Tahoma"/>
            <family val="0"/>
          </rPr>
          <t>Formula failed to convert</t>
        </r>
      </text>
    </comment>
    <comment ref="H223" authorId="0">
      <text>
        <r>
          <rPr>
            <sz val="8"/>
            <rFont val="Tahoma"/>
            <family val="0"/>
          </rPr>
          <t>Formula failed to convert</t>
        </r>
      </text>
    </comment>
    <comment ref="D224" authorId="0">
      <text>
        <r>
          <rPr>
            <sz val="8"/>
            <rFont val="Tahoma"/>
            <family val="0"/>
          </rPr>
          <t>Formula failed to convert</t>
        </r>
      </text>
    </comment>
    <comment ref="F224" authorId="0">
      <text>
        <r>
          <rPr>
            <sz val="8"/>
            <rFont val="Tahoma"/>
            <family val="0"/>
          </rPr>
          <t>Formula failed to convert</t>
        </r>
      </text>
    </comment>
    <comment ref="H224" authorId="0">
      <text>
        <r>
          <rPr>
            <sz val="8"/>
            <rFont val="Tahoma"/>
            <family val="0"/>
          </rPr>
          <t>Formula failed to convert</t>
        </r>
      </text>
    </comment>
    <comment ref="J224" authorId="0">
      <text>
        <r>
          <rPr>
            <sz val="8"/>
            <rFont val="Tahoma"/>
            <family val="0"/>
          </rPr>
          <t>Formula failed to convert</t>
        </r>
      </text>
    </comment>
    <comment ref="L224" authorId="0">
      <text>
        <r>
          <rPr>
            <sz val="8"/>
            <rFont val="Tahoma"/>
            <family val="0"/>
          </rPr>
          <t>Formula failed to convert</t>
        </r>
      </text>
    </comment>
    <comment ref="D226" authorId="0">
      <text>
        <r>
          <rPr>
            <sz val="8"/>
            <rFont val="Tahoma"/>
            <family val="0"/>
          </rPr>
          <t>Formula failed to convert</t>
        </r>
      </text>
    </comment>
    <comment ref="F226" authorId="0">
      <text>
        <r>
          <rPr>
            <sz val="8"/>
            <rFont val="Tahoma"/>
            <family val="0"/>
          </rPr>
          <t>Formula failed to convert</t>
        </r>
      </text>
    </comment>
    <comment ref="H226" authorId="0">
      <text>
        <r>
          <rPr>
            <sz val="8"/>
            <rFont val="Tahoma"/>
            <family val="0"/>
          </rPr>
          <t>Formula failed to convert</t>
        </r>
      </text>
    </comment>
    <comment ref="L226" authorId="0">
      <text>
        <r>
          <rPr>
            <sz val="8"/>
            <rFont val="Tahoma"/>
            <family val="0"/>
          </rPr>
          <t>Formula failed to convert</t>
        </r>
      </text>
    </comment>
    <comment ref="D227" authorId="0">
      <text>
        <r>
          <rPr>
            <sz val="8"/>
            <rFont val="Tahoma"/>
            <family val="0"/>
          </rPr>
          <t>Formula failed to convert</t>
        </r>
      </text>
    </comment>
    <comment ref="F227" authorId="0">
      <text>
        <r>
          <rPr>
            <sz val="8"/>
            <rFont val="Tahoma"/>
            <family val="0"/>
          </rPr>
          <t>Formula failed to convert</t>
        </r>
      </text>
    </comment>
    <comment ref="H227" authorId="0">
      <text>
        <r>
          <rPr>
            <sz val="8"/>
            <rFont val="Tahoma"/>
            <family val="0"/>
          </rPr>
          <t>Formula failed to convert</t>
        </r>
      </text>
    </comment>
    <comment ref="J227" authorId="0">
      <text>
        <r>
          <rPr>
            <sz val="8"/>
            <rFont val="Tahoma"/>
            <family val="0"/>
          </rPr>
          <t>Formula failed to convert</t>
        </r>
      </text>
    </comment>
    <comment ref="L227" authorId="0">
      <text>
        <r>
          <rPr>
            <sz val="8"/>
            <rFont val="Tahoma"/>
            <family val="0"/>
          </rPr>
          <t>Formula failed to convert</t>
        </r>
      </text>
    </comment>
    <comment ref="D234" authorId="0">
      <text>
        <r>
          <rPr>
            <sz val="8"/>
            <rFont val="Tahoma"/>
            <family val="0"/>
          </rPr>
          <t>Formula failed to convert</t>
        </r>
      </text>
    </comment>
    <comment ref="F234" authorId="0">
      <text>
        <r>
          <rPr>
            <sz val="8"/>
            <rFont val="Tahoma"/>
            <family val="0"/>
          </rPr>
          <t>Formula failed to convert</t>
        </r>
      </text>
    </comment>
    <comment ref="H234" authorId="0">
      <text>
        <r>
          <rPr>
            <sz val="8"/>
            <rFont val="Tahoma"/>
            <family val="0"/>
          </rPr>
          <t>Formula failed to convert</t>
        </r>
      </text>
    </comment>
    <comment ref="J234" authorId="0">
      <text>
        <r>
          <rPr>
            <sz val="8"/>
            <rFont val="Tahoma"/>
            <family val="0"/>
          </rPr>
          <t>Formula failed to convert</t>
        </r>
      </text>
    </comment>
    <comment ref="L234" authorId="0">
      <text>
        <r>
          <rPr>
            <sz val="8"/>
            <rFont val="Tahoma"/>
            <family val="0"/>
          </rPr>
          <t>Formula failed to convert</t>
        </r>
      </text>
    </comment>
    <comment ref="D235" authorId="0">
      <text>
        <r>
          <rPr>
            <sz val="8"/>
            <rFont val="Tahoma"/>
            <family val="0"/>
          </rPr>
          <t>Formula failed to convert</t>
        </r>
      </text>
    </comment>
    <comment ref="F235" authorId="0">
      <text>
        <r>
          <rPr>
            <sz val="8"/>
            <rFont val="Tahoma"/>
            <family val="0"/>
          </rPr>
          <t>Formula failed to convert</t>
        </r>
      </text>
    </comment>
    <comment ref="H235" authorId="0">
      <text>
        <r>
          <rPr>
            <sz val="8"/>
            <rFont val="Tahoma"/>
            <family val="0"/>
          </rPr>
          <t>Formula failed to convert</t>
        </r>
      </text>
    </comment>
    <comment ref="J235" authorId="0">
      <text>
        <r>
          <rPr>
            <sz val="8"/>
            <rFont val="Tahoma"/>
            <family val="0"/>
          </rPr>
          <t>Formula failed to convert</t>
        </r>
      </text>
    </comment>
    <comment ref="L235" authorId="0">
      <text>
        <r>
          <rPr>
            <sz val="8"/>
            <rFont val="Tahoma"/>
            <family val="0"/>
          </rPr>
          <t>Formula failed to convert</t>
        </r>
      </text>
    </comment>
    <comment ref="D242" authorId="0">
      <text>
        <r>
          <rPr>
            <sz val="8"/>
            <rFont val="Tahoma"/>
            <family val="0"/>
          </rPr>
          <t>Formula failed to convert</t>
        </r>
      </text>
    </comment>
    <comment ref="F242" authorId="0">
      <text>
        <r>
          <rPr>
            <sz val="8"/>
            <rFont val="Tahoma"/>
            <family val="0"/>
          </rPr>
          <t>Formula failed to convert</t>
        </r>
      </text>
    </comment>
    <comment ref="H242" authorId="0">
      <text>
        <r>
          <rPr>
            <sz val="8"/>
            <rFont val="Tahoma"/>
            <family val="0"/>
          </rPr>
          <t>Formula failed to convert</t>
        </r>
      </text>
    </comment>
    <comment ref="J242" authorId="0">
      <text>
        <r>
          <rPr>
            <sz val="8"/>
            <rFont val="Tahoma"/>
            <family val="0"/>
          </rPr>
          <t>Formula failed to convert</t>
        </r>
      </text>
    </comment>
    <comment ref="L242" authorId="0">
      <text>
        <r>
          <rPr>
            <sz val="8"/>
            <rFont val="Tahoma"/>
            <family val="0"/>
          </rPr>
          <t>Formula failed to convert</t>
        </r>
      </text>
    </comment>
    <comment ref="D243" authorId="0">
      <text>
        <r>
          <rPr>
            <sz val="8"/>
            <rFont val="Tahoma"/>
            <family val="0"/>
          </rPr>
          <t>Formula failed to convert</t>
        </r>
      </text>
    </comment>
    <comment ref="F243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<sst xmlns="http://schemas.openxmlformats.org/spreadsheetml/2006/main" count="2724" uniqueCount="892">
  <si>
    <t>9-10 Month Salaries</t>
  </si>
  <si>
    <t>11-12 Month Salaries</t>
  </si>
  <si>
    <t>Professor</t>
  </si>
  <si>
    <t>Asso. Professor</t>
  </si>
  <si>
    <t>Assistant Professor</t>
  </si>
  <si>
    <t>Instructor</t>
  </si>
  <si>
    <t>Undesignated/Other</t>
  </si>
  <si>
    <t>Single Rank</t>
  </si>
  <si>
    <t>State</t>
  </si>
  <si>
    <t>Institution</t>
  </si>
  <si>
    <t>IPEDS ID</t>
  </si>
  <si>
    <t>Code</t>
  </si>
  <si>
    <t xml:space="preserve">Number </t>
  </si>
  <si>
    <t>Avg. Salary</t>
  </si>
  <si>
    <t>AL</t>
  </si>
  <si>
    <t xml:space="preserve">Auburn University  </t>
  </si>
  <si>
    <t xml:space="preserve">University of Alabama </t>
  </si>
  <si>
    <t>University of Alabama at Birmingham*</t>
  </si>
  <si>
    <t>Alabama Agricultural &amp; Mechanical University</t>
  </si>
  <si>
    <t>Jacksonville State University*</t>
  </si>
  <si>
    <t>University of Alabama in Huntsville</t>
  </si>
  <si>
    <t>University of South Alabama</t>
  </si>
  <si>
    <t>Auburn University at Montgomery</t>
  </si>
  <si>
    <t>Troy State University</t>
  </si>
  <si>
    <t>University of Montevallo</t>
  </si>
  <si>
    <t xml:space="preserve">Alabama State University </t>
  </si>
  <si>
    <t>Troy State University at Dothan</t>
  </si>
  <si>
    <t>Troy State University in Montgomery*</t>
  </si>
  <si>
    <t>University of North Alabama*</t>
  </si>
  <si>
    <t xml:space="preserve">University of West Alabama </t>
  </si>
  <si>
    <t xml:space="preserve">Athens State College </t>
  </si>
  <si>
    <t>Alabama Southern Community College</t>
  </si>
  <si>
    <t>Bevill State Community College</t>
  </si>
  <si>
    <t>Bishop State Community College</t>
  </si>
  <si>
    <t>Central Alabama Community College</t>
  </si>
  <si>
    <t>Chattahoochee Valley Community College</t>
  </si>
  <si>
    <t xml:space="preserve">Enterprise State Junior College </t>
  </si>
  <si>
    <t>Gadsden State Community College</t>
  </si>
  <si>
    <t>George Corley Wallace State Community College - Selma</t>
  </si>
  <si>
    <t>George C. Wallace State Community College - Dothan</t>
  </si>
  <si>
    <t xml:space="preserve">James H. Faulkner State Community College </t>
  </si>
  <si>
    <t>Jefferson Davis Community College</t>
  </si>
  <si>
    <t>Jefferson State Community College</t>
  </si>
  <si>
    <t xml:space="preserve">John C. Calhoun State Commmunity College </t>
  </si>
  <si>
    <t xml:space="preserve">Lawson State Community College </t>
  </si>
  <si>
    <t xml:space="preserve">Lurleen B. Wallace State Junior College </t>
  </si>
  <si>
    <t xml:space="preserve">Northeast Alabama State Community College </t>
  </si>
  <si>
    <t>Northwest Community College</t>
  </si>
  <si>
    <t>Shelton State Community College</t>
  </si>
  <si>
    <t>Shoals Community College</t>
  </si>
  <si>
    <t xml:space="preserve">Snead State Community College </t>
  </si>
  <si>
    <t xml:space="preserve">Southern Union State Commmunity College </t>
  </si>
  <si>
    <t>Wallace Community College - Hanceville</t>
  </si>
  <si>
    <t xml:space="preserve">Alabama Aviation &amp; Technical College </t>
  </si>
  <si>
    <t xml:space="preserve">Bessemer State Technical College </t>
  </si>
  <si>
    <t xml:space="preserve">Harry F. Ayers State Technical College </t>
  </si>
  <si>
    <t xml:space="preserve">John M. Patterson State Technical College </t>
  </si>
  <si>
    <t xml:space="preserve">J.F. Drake State Technical College </t>
  </si>
  <si>
    <t xml:space="preserve">J.F. Ingram State Technical College </t>
  </si>
  <si>
    <t xml:space="preserve">MacArthur Technical College </t>
  </si>
  <si>
    <t xml:space="preserve">Reid State Technical College </t>
  </si>
  <si>
    <t xml:space="preserve">Sparks State Technical College </t>
  </si>
  <si>
    <t xml:space="preserve">Trenholm Technical College </t>
  </si>
  <si>
    <t>AR</t>
  </si>
  <si>
    <t>University of Arkansas Main Campus</t>
  </si>
  <si>
    <t xml:space="preserve"> </t>
  </si>
  <si>
    <t>Arkansas State University</t>
  </si>
  <si>
    <t>University of Arkansas at Little Rock</t>
  </si>
  <si>
    <t xml:space="preserve">University of Central Arkansas </t>
  </si>
  <si>
    <t xml:space="preserve">Arkansas Tech University </t>
  </si>
  <si>
    <t xml:space="preserve">Henderson State University </t>
  </si>
  <si>
    <t>Southern Arkansas University*</t>
  </si>
  <si>
    <t>University of Arkansas at Monticello</t>
  </si>
  <si>
    <t>University of Arkansas at Pine Bluff</t>
  </si>
  <si>
    <t>AR State Univ-Beebe/Newport</t>
  </si>
  <si>
    <t>Arkansas State Univ Mountain Home</t>
  </si>
  <si>
    <t>Black River Technical College</t>
  </si>
  <si>
    <t>Cossatot Technical College</t>
  </si>
  <si>
    <t xml:space="preserve">East Arkansas Community College </t>
  </si>
  <si>
    <t xml:space="preserve">Garland County Community College </t>
  </si>
  <si>
    <t>Gateway Technical College</t>
  </si>
  <si>
    <t xml:space="preserve">Mid-South Technical College </t>
  </si>
  <si>
    <t xml:space="preserve">Mississippi County Community College </t>
  </si>
  <si>
    <t>North Arkansas Community College</t>
  </si>
  <si>
    <t xml:space="preserve">NorthWest Arkansas Community College </t>
  </si>
  <si>
    <t xml:space="preserve">Ouachita Technical College </t>
  </si>
  <si>
    <t xml:space="preserve">Ozarka Technical College </t>
  </si>
  <si>
    <t>Petit Jean Technical College</t>
  </si>
  <si>
    <t xml:space="preserve">Phillips County Community College </t>
  </si>
  <si>
    <t>Pines Technical College</t>
  </si>
  <si>
    <t>Pulaski Technical College</t>
  </si>
  <si>
    <t xml:space="preserve">Red River Technical College </t>
  </si>
  <si>
    <t xml:space="preserve">Rich Mountain Community College </t>
  </si>
  <si>
    <t>South Arkansas Community College</t>
  </si>
  <si>
    <t>Southern Arkansas University Tech</t>
  </si>
  <si>
    <t xml:space="preserve">Westark Community College </t>
  </si>
  <si>
    <t>Univ of AR for Medical Sciences</t>
  </si>
  <si>
    <t>FL</t>
  </si>
  <si>
    <t xml:space="preserve">Florida State University </t>
  </si>
  <si>
    <t>134097</t>
  </si>
  <si>
    <t>University of Florida</t>
  </si>
  <si>
    <t>134130</t>
  </si>
  <si>
    <t>University of South Florida</t>
  </si>
  <si>
    <t>137351</t>
  </si>
  <si>
    <t xml:space="preserve">Florida Atlantic University </t>
  </si>
  <si>
    <t>133669</t>
  </si>
  <si>
    <t>Florida International University *</t>
  </si>
  <si>
    <t>133951</t>
  </si>
  <si>
    <t>University of Central Florida</t>
  </si>
  <si>
    <t>132903</t>
  </si>
  <si>
    <t>Florida Agricultural &amp; Mechanical University *</t>
  </si>
  <si>
    <t>133650</t>
  </si>
  <si>
    <t>University of West Florida</t>
  </si>
  <si>
    <t>138354</t>
  </si>
  <si>
    <t>University of North Florida</t>
  </si>
  <si>
    <t>136172</t>
  </si>
  <si>
    <t xml:space="preserve">Brevard Community College </t>
  </si>
  <si>
    <t>|</t>
  </si>
  <si>
    <t xml:space="preserve">Broward Community College </t>
  </si>
  <si>
    <t xml:space="preserve">Central Florida Community College </t>
  </si>
  <si>
    <t xml:space="preserve">Chipola Junior College </t>
  </si>
  <si>
    <t xml:space="preserve">Daytona Beach Community College </t>
  </si>
  <si>
    <t xml:space="preserve">Edison Community College </t>
  </si>
  <si>
    <t>Florida Community College at Jacksonville</t>
  </si>
  <si>
    <t xml:space="preserve">Florida Keys Community College </t>
  </si>
  <si>
    <t xml:space="preserve">Gulf Coast Community College </t>
  </si>
  <si>
    <t xml:space="preserve">Hillsborough Community College </t>
  </si>
  <si>
    <t xml:space="preserve">Indian River Community College </t>
  </si>
  <si>
    <t xml:space="preserve">Lake City Community College </t>
  </si>
  <si>
    <t xml:space="preserve">Lake-Sumter Community College </t>
  </si>
  <si>
    <t xml:space="preserve">Manatee Community College </t>
  </si>
  <si>
    <t xml:space="preserve">Miami-Dade Community College </t>
  </si>
  <si>
    <t xml:space="preserve">North Florida Junior College </t>
  </si>
  <si>
    <t xml:space="preserve">Okaloosa-Walton Junior College </t>
  </si>
  <si>
    <t xml:space="preserve">Palm Beach Community College </t>
  </si>
  <si>
    <t xml:space="preserve">Pasco-Hernando Community College </t>
  </si>
  <si>
    <t xml:space="preserve">Pensacola Junior College </t>
  </si>
  <si>
    <t xml:space="preserve">Polk Community College </t>
  </si>
  <si>
    <t xml:space="preserve">Santa Fe Community College </t>
  </si>
  <si>
    <t xml:space="preserve">Seminole Community College </t>
  </si>
  <si>
    <t xml:space="preserve">South Florida Community College </t>
  </si>
  <si>
    <t xml:space="preserve">St. Johns River Community College </t>
  </si>
  <si>
    <t xml:space="preserve">St. Petersburg Junior College </t>
  </si>
  <si>
    <t xml:space="preserve">Tallahassee Community College </t>
  </si>
  <si>
    <t xml:space="preserve">Valencia Community College </t>
  </si>
  <si>
    <t>GA</t>
  </si>
  <si>
    <t>Georgia State University</t>
  </si>
  <si>
    <t>139940</t>
  </si>
  <si>
    <t>University of Georgia</t>
  </si>
  <si>
    <t>139959</t>
  </si>
  <si>
    <t>Georgia Institute of Technology</t>
  </si>
  <si>
    <t>139755</t>
  </si>
  <si>
    <t>Georgia Southern University*</t>
  </si>
  <si>
    <t>139931</t>
  </si>
  <si>
    <t>Albany State University</t>
  </si>
  <si>
    <t>138716</t>
  </si>
  <si>
    <t>Georgia College &amp; State Univ.</t>
  </si>
  <si>
    <t>139861</t>
  </si>
  <si>
    <t>State Univ. of West Georgia</t>
  </si>
  <si>
    <t>141334</t>
  </si>
  <si>
    <t xml:space="preserve">Valdosta State College </t>
  </si>
  <si>
    <t>141264</t>
  </si>
  <si>
    <t>Augusta State University</t>
  </si>
  <si>
    <t>138983</t>
  </si>
  <si>
    <t>Columbus State University</t>
  </si>
  <si>
    <t>139366</t>
  </si>
  <si>
    <t>Fort Valley State University</t>
  </si>
  <si>
    <t>139719</t>
  </si>
  <si>
    <t>Georgia Southwestern St. Univ.</t>
  </si>
  <si>
    <t>139764</t>
  </si>
  <si>
    <t>Kennesaw State University</t>
  </si>
  <si>
    <t>140164</t>
  </si>
  <si>
    <t>North Georgia College &amp; St. Univ.</t>
  </si>
  <si>
    <t>140669</t>
  </si>
  <si>
    <t>Armstrong Atlantic State Univ.</t>
  </si>
  <si>
    <t>138789</t>
  </si>
  <si>
    <t>Clayton College &amp; State Univ.</t>
  </si>
  <si>
    <t>139311</t>
  </si>
  <si>
    <t>Savannah State University</t>
  </si>
  <si>
    <t>140960</t>
  </si>
  <si>
    <t xml:space="preserve">Abraham Baldwin Agricultural College </t>
  </si>
  <si>
    <t>138558</t>
  </si>
  <si>
    <t>Atlanta Metropolitan College</t>
  </si>
  <si>
    <t>138901</t>
  </si>
  <si>
    <t xml:space="preserve">Bainbridge College </t>
  </si>
  <si>
    <t>139010</t>
  </si>
  <si>
    <t>Coastal Georgia Comm. College</t>
  </si>
  <si>
    <t>139250</t>
  </si>
  <si>
    <t xml:space="preserve">Dalton College </t>
  </si>
  <si>
    <t>139463</t>
  </si>
  <si>
    <t xml:space="preserve">Darton College </t>
  </si>
  <si>
    <t>138691</t>
  </si>
  <si>
    <t xml:space="preserve">DeKalb College </t>
  </si>
  <si>
    <t>244437</t>
  </si>
  <si>
    <t>East Georgia College</t>
  </si>
  <si>
    <t>139621</t>
  </si>
  <si>
    <t xml:space="preserve">Floyd College </t>
  </si>
  <si>
    <t>139700</t>
  </si>
  <si>
    <t xml:space="preserve">Gainesville College </t>
  </si>
  <si>
    <t>139773</t>
  </si>
  <si>
    <t xml:space="preserve">Gordon College </t>
  </si>
  <si>
    <t>139968</t>
  </si>
  <si>
    <t xml:space="preserve">Macon College </t>
  </si>
  <si>
    <t>140322</t>
  </si>
  <si>
    <t xml:space="preserve">Middle Georgia College </t>
  </si>
  <si>
    <t>140483</t>
  </si>
  <si>
    <t xml:space="preserve">South Georgia College </t>
  </si>
  <si>
    <t xml:space="preserve">Waycross College </t>
  </si>
  <si>
    <t>141307</t>
  </si>
  <si>
    <t>Albany Technical Institute</t>
  </si>
  <si>
    <t>Altamaha Technical Institute</t>
  </si>
  <si>
    <t>Athens Area Technical Institute</t>
  </si>
  <si>
    <t>Atlanta Area Technical School</t>
  </si>
  <si>
    <t>Augusta Technical Institute</t>
  </si>
  <si>
    <t>Ben Hill-Irwin Technical Institute*</t>
  </si>
  <si>
    <t>Carroll Technical Institute</t>
  </si>
  <si>
    <t>Chattahoochee Technical Institute</t>
  </si>
  <si>
    <t>Columbus Technical Institute</t>
  </si>
  <si>
    <t>Coosa Valley Technical Institute</t>
  </si>
  <si>
    <t>DeKalb Technical Institute</t>
  </si>
  <si>
    <t>Flint River Technical Institute</t>
  </si>
  <si>
    <t>Griffin Technical Institute</t>
  </si>
  <si>
    <t>Gwinnett Technical Institute</t>
  </si>
  <si>
    <t>Heart of Georgia Technical Institute</t>
  </si>
  <si>
    <t>Lanier Technical Institute</t>
  </si>
  <si>
    <t>Macon Technical Institute</t>
  </si>
  <si>
    <t>Middle Georgia Technical Institute</t>
  </si>
  <si>
    <t>Moultrie Area Technical Institute</t>
  </si>
  <si>
    <t>North Georgia Technical Institute</t>
  </si>
  <si>
    <t>North Metro Technical Institute</t>
  </si>
  <si>
    <t>Ogeechee Technical Institute</t>
  </si>
  <si>
    <t>Okefenokee Technical Institute</t>
  </si>
  <si>
    <t>Pickens Technical Institute</t>
  </si>
  <si>
    <t>Sandersville Technical Institute</t>
  </si>
  <si>
    <t>Savannah Technical Institute</t>
  </si>
  <si>
    <t>South Georgia Technical Institute</t>
  </si>
  <si>
    <t>Southeastern Technical Institute</t>
  </si>
  <si>
    <t>Swainsboro Technical Institute</t>
  </si>
  <si>
    <t>Thomas Technical Institute</t>
  </si>
  <si>
    <t>Valdosta Technical Institute</t>
  </si>
  <si>
    <t>Walker Technical Institute</t>
  </si>
  <si>
    <t>West Georgia Technical Institute</t>
  </si>
  <si>
    <t>KY</t>
  </si>
  <si>
    <t>University of Kentucky</t>
  </si>
  <si>
    <t>University of Louisville</t>
  </si>
  <si>
    <t xml:space="preserve">Eastern Kentucky University </t>
  </si>
  <si>
    <t xml:space="preserve">Murray State University </t>
  </si>
  <si>
    <t xml:space="preserve">Western Kentucky University </t>
  </si>
  <si>
    <t xml:space="preserve">Morehead State University </t>
  </si>
  <si>
    <t xml:space="preserve">Northern Kentucky University </t>
  </si>
  <si>
    <t xml:space="preserve">Kentucky State University </t>
  </si>
  <si>
    <t>UK Community College System</t>
  </si>
  <si>
    <t>LA</t>
  </si>
  <si>
    <t>Louisiana State University &amp; Agricultural and Mechanical College</t>
  </si>
  <si>
    <t>University of New Orleans</t>
  </si>
  <si>
    <t>University of Southwestern Louisiana</t>
  </si>
  <si>
    <t>Louisiana Tech University</t>
  </si>
  <si>
    <t>McNeese State University</t>
  </si>
  <si>
    <t>Northeast Louisiana University</t>
  </si>
  <si>
    <t xml:space="preserve">Southern University &amp; A&amp;M College at Baton Rouge </t>
  </si>
  <si>
    <t>Grambling State University</t>
  </si>
  <si>
    <t>Northwestern State University</t>
  </si>
  <si>
    <t>Southeastern Louisiana University</t>
  </si>
  <si>
    <t>Loiuisiana State University in Shreveport</t>
  </si>
  <si>
    <t>Nicholls State University</t>
  </si>
  <si>
    <t>Southern University at New Orleans</t>
  </si>
  <si>
    <t>Bossier Parish Community College</t>
  </si>
  <si>
    <t xml:space="preserve">Delgado Community College </t>
  </si>
  <si>
    <t>Louisiana State University at Alexandria</t>
  </si>
  <si>
    <t>Louisiana State University at Eunice</t>
  </si>
  <si>
    <t>Nunez Community College</t>
  </si>
  <si>
    <t>Southern University in Shreveport</t>
  </si>
  <si>
    <t>Acadian Technical Institute</t>
  </si>
  <si>
    <t>Alexandria Regional Technical Institute</t>
  </si>
  <si>
    <t>Ascension Parish Technical Institute</t>
  </si>
  <si>
    <t>Avoyelles Technical Institute</t>
  </si>
  <si>
    <t>Bastrop Technical Institute</t>
  </si>
  <si>
    <t>Baton Rouge Vocational-Technical Institute</t>
  </si>
  <si>
    <t>Claiborne Technical Institute</t>
  </si>
  <si>
    <t>Concordia Technical Institute</t>
  </si>
  <si>
    <t>C.B. Coreil Technical Institute</t>
  </si>
  <si>
    <t>Delta-Ouachita Regional-Technical Institute</t>
  </si>
  <si>
    <t>Evangeline Technical Institute</t>
  </si>
  <si>
    <t>Florida Parishes Technical Institute</t>
  </si>
  <si>
    <t>Folkes Technical Institute</t>
  </si>
  <si>
    <t>Gulf Area Technical Institute</t>
  </si>
  <si>
    <t>Hammond Technical Institute</t>
  </si>
  <si>
    <t>Huey P. Long Memorial Technical Institute</t>
  </si>
  <si>
    <t>Jefferson Davis Technical Institute</t>
  </si>
  <si>
    <t>Jefferson Parish Technical Institute</t>
  </si>
  <si>
    <t>Jumonville Memorial Technical Institute</t>
  </si>
  <si>
    <t>Lafayette Regional Technical Institute</t>
  </si>
  <si>
    <t>Lamar Salter Vocational-Technical Institute</t>
  </si>
  <si>
    <t>Mansfield Branch Technical Institute</t>
  </si>
  <si>
    <t>Nachitoches Technical Institute</t>
  </si>
  <si>
    <t>New Orleans Regional Technical Institute</t>
  </si>
  <si>
    <t>North Central Technical Institute</t>
  </si>
  <si>
    <t>Northeast Louisiana Technical Institute</t>
  </si>
  <si>
    <t>Northwest Louisiana Technical Institute</t>
  </si>
  <si>
    <t>Oakdale Branch Technical Institute</t>
  </si>
  <si>
    <t>Port Sulphur Branch Technical Institute</t>
  </si>
  <si>
    <t>River Parishes Technical Institute</t>
  </si>
  <si>
    <t>Ruston Technical Institute</t>
  </si>
  <si>
    <t>Sabine Valley Technical Institute</t>
  </si>
  <si>
    <t>Shreveport-Bossier Regional Technical Institute</t>
  </si>
  <si>
    <t>Sidney N. Collier Memorial Technical Institute</t>
  </si>
  <si>
    <t>Slidell Technical Institute</t>
  </si>
  <si>
    <t>South Louisiana Regional Technical Institute</t>
  </si>
  <si>
    <t>Sowela Regional Technical Institute</t>
  </si>
  <si>
    <t>Sullivan Technical Institute</t>
  </si>
  <si>
    <t>Tallulah Technical Institute</t>
  </si>
  <si>
    <t>Teche Area Technical Institute</t>
  </si>
  <si>
    <t>Thibodaux Area Technical Institute</t>
  </si>
  <si>
    <t>T.H. Harris Technical Institute</t>
  </si>
  <si>
    <t>West Jefferson Technical Institute</t>
  </si>
  <si>
    <t>Westside Technical Institute</t>
  </si>
  <si>
    <t>Young Memorial Technical Institute</t>
  </si>
  <si>
    <t>MD</t>
  </si>
  <si>
    <t>University of Maryland College Park</t>
  </si>
  <si>
    <t>University of Maryland Baltimore County</t>
  </si>
  <si>
    <t xml:space="preserve">Bowie State University </t>
  </si>
  <si>
    <t xml:space="preserve">Frostburg State University </t>
  </si>
  <si>
    <t>Morgan State University</t>
  </si>
  <si>
    <t xml:space="preserve">Salisbury State University </t>
  </si>
  <si>
    <t xml:space="preserve">Towson State University  </t>
  </si>
  <si>
    <t>University of Baltimore</t>
  </si>
  <si>
    <t>Coppin State College</t>
  </si>
  <si>
    <t>University of Maryland Eastern Shore</t>
  </si>
  <si>
    <t>a</t>
  </si>
  <si>
    <t xml:space="preserve">Allegany Community College </t>
  </si>
  <si>
    <t xml:space="preserve">Anne Arundel Community College </t>
  </si>
  <si>
    <t>Baltimore City Community College</t>
  </si>
  <si>
    <t>Carroll Community College</t>
  </si>
  <si>
    <t xml:space="preserve">Catonsville Community College </t>
  </si>
  <si>
    <t xml:space="preserve">Cecil Community College </t>
  </si>
  <si>
    <t xml:space="preserve">Charles County Community College </t>
  </si>
  <si>
    <t xml:space="preserve">Chesapeake College </t>
  </si>
  <si>
    <t xml:space="preserve">Dundalk Community College </t>
  </si>
  <si>
    <t xml:space="preserve">Essex Community College </t>
  </si>
  <si>
    <t xml:space="preserve">Frederick Community College </t>
  </si>
  <si>
    <t xml:space="preserve">Garrett Community College </t>
  </si>
  <si>
    <t xml:space="preserve">Hagerstown Junior College </t>
  </si>
  <si>
    <t xml:space="preserve">Harford Community College </t>
  </si>
  <si>
    <t xml:space="preserve">Howard Community College </t>
  </si>
  <si>
    <t>Montgomery College Germantown Campus</t>
  </si>
  <si>
    <t>Montgomery College Rockville Campus</t>
  </si>
  <si>
    <t>Montgomery College Takoma Park Campus</t>
  </si>
  <si>
    <t xml:space="preserve">Prince George's Community College </t>
  </si>
  <si>
    <t xml:space="preserve">Wor-Wic Community College </t>
  </si>
  <si>
    <t>MS</t>
  </si>
  <si>
    <t>Mississippi State University</t>
  </si>
  <si>
    <t>University of Mississippi</t>
  </si>
  <si>
    <t>University of Southern Mississippi</t>
  </si>
  <si>
    <t xml:space="preserve">Jackson State University </t>
  </si>
  <si>
    <t>Alcorn State University</t>
  </si>
  <si>
    <t>Delta State University</t>
  </si>
  <si>
    <t>Mississippi University for Women *</t>
  </si>
  <si>
    <t>Mississippi Valley State University</t>
  </si>
  <si>
    <t xml:space="preserve">Coahoma Community College </t>
  </si>
  <si>
    <t xml:space="preserve">Copiah-Lincoln Community College </t>
  </si>
  <si>
    <t xml:space="preserve">East Central Community College </t>
  </si>
  <si>
    <t xml:space="preserve">East Mississippi Community College </t>
  </si>
  <si>
    <t xml:space="preserve">Hinds Community College </t>
  </si>
  <si>
    <t xml:space="preserve">Holmes Community College </t>
  </si>
  <si>
    <t xml:space="preserve">Itawamba Community College </t>
  </si>
  <si>
    <t xml:space="preserve">Jones County Junior College </t>
  </si>
  <si>
    <t xml:space="preserve">Meridian Community College </t>
  </si>
  <si>
    <t xml:space="preserve">Mississippi Delta Community College </t>
  </si>
  <si>
    <t xml:space="preserve">Mississippi Gulf Coast Community College </t>
  </si>
  <si>
    <t xml:space="preserve">Northeast Mississippi Community College </t>
  </si>
  <si>
    <t xml:space="preserve">Northwest Mississippi Community College </t>
  </si>
  <si>
    <t xml:space="preserve">Pearl River Community College </t>
  </si>
  <si>
    <t xml:space="preserve">Southwest Mississippi Community College  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</si>
  <si>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</si>
  <si>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</si>
  <si>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</si>
  <si>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</si>
  <si>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</si>
  <si>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University of North Carolina at Greensboro</t>
  </si>
  <si>
    <t>199148</t>
  </si>
  <si>
    <t xml:space="preserve">Appalachian State University </t>
  </si>
  <si>
    <t>197869</t>
  </si>
  <si>
    <t xml:space="preserve">East Carolina University </t>
  </si>
  <si>
    <t>198464</t>
  </si>
  <si>
    <t>North Carolina Agricultural &amp; Technical State University</t>
  </si>
  <si>
    <t>199102</t>
  </si>
  <si>
    <t xml:space="preserve">North Carolina Central University </t>
  </si>
  <si>
    <t>199157</t>
  </si>
  <si>
    <t>University of North Carolina at Charlotte</t>
  </si>
  <si>
    <t>199139</t>
  </si>
  <si>
    <t xml:space="preserve">Western Carolina University </t>
  </si>
  <si>
    <t>200004</t>
  </si>
  <si>
    <t>Fayetteville State University</t>
  </si>
  <si>
    <t>198543</t>
  </si>
  <si>
    <t>University of North Carolina at Wilmington</t>
  </si>
  <si>
    <t>199218</t>
  </si>
  <si>
    <t>University of North Carolina at Pembroke</t>
  </si>
  <si>
    <t>199281</t>
  </si>
  <si>
    <t xml:space="preserve">Elizabeth City State University </t>
  </si>
  <si>
    <t>198507</t>
  </si>
  <si>
    <t>University of North Carolina at Asheville</t>
  </si>
  <si>
    <t>199111</t>
  </si>
  <si>
    <t xml:space="preserve">Winston-Salem State University </t>
  </si>
  <si>
    <t>199999</t>
  </si>
  <si>
    <t>Alamance Community College</t>
  </si>
  <si>
    <t>Anson Community College</t>
  </si>
  <si>
    <t>Asheville-Buncombe Technical Community College</t>
  </si>
  <si>
    <t xml:space="preserve">Beaufort County Community College </t>
  </si>
  <si>
    <t>Bladen Community College</t>
  </si>
  <si>
    <t>Blue Ridge Community College</t>
  </si>
  <si>
    <t>Brunswick Community College</t>
  </si>
  <si>
    <t>Caldwell Community College  &amp; Technical Institute</t>
  </si>
  <si>
    <t>Cape Fear Community College</t>
  </si>
  <si>
    <t>Carteret Community College</t>
  </si>
  <si>
    <t>Catawba Valley Community College</t>
  </si>
  <si>
    <t>Central Carolina Commuity College</t>
  </si>
  <si>
    <t xml:space="preserve">Central Piedmont Community College </t>
  </si>
  <si>
    <t>Cleveland Community College</t>
  </si>
  <si>
    <t xml:space="preserve">Coastal Carolina Community College </t>
  </si>
  <si>
    <t>College of the Albemarle</t>
  </si>
  <si>
    <t xml:space="preserve">Craven Community College </t>
  </si>
  <si>
    <t xml:space="preserve">Davidson County Community College </t>
  </si>
  <si>
    <t>Durham Technical Community College</t>
  </si>
  <si>
    <t>Edgecombe Community College</t>
  </si>
  <si>
    <t>Fayetteville Technical Community College</t>
  </si>
  <si>
    <t>Forsyth Technical Community College</t>
  </si>
  <si>
    <t xml:space="preserve">Gaston College </t>
  </si>
  <si>
    <t>Guilford Technical Community College</t>
  </si>
  <si>
    <t xml:space="preserve">Halifax Community College </t>
  </si>
  <si>
    <t>Haywood Community College</t>
  </si>
  <si>
    <t xml:space="preserve">Isothermal Community College </t>
  </si>
  <si>
    <t>James Sprunt Community College</t>
  </si>
  <si>
    <t>Johnston Community College</t>
  </si>
  <si>
    <t xml:space="preserve">Lenoir Community College </t>
  </si>
  <si>
    <t xml:space="preserve">Martin Community College </t>
  </si>
  <si>
    <t>Mayland Community College</t>
  </si>
  <si>
    <t>McDowell Technical Community College</t>
  </si>
  <si>
    <t xml:space="preserve">Mitchell Community College </t>
  </si>
  <si>
    <t>Montgomery Community College</t>
  </si>
  <si>
    <t>Nash Community College</t>
  </si>
  <si>
    <t>Pamlico Community College</t>
  </si>
  <si>
    <t>Piedmont Community College</t>
  </si>
  <si>
    <t>Pitt Community College</t>
  </si>
  <si>
    <t>Randolph Community College</t>
  </si>
  <si>
    <t>Richmond Community College</t>
  </si>
  <si>
    <t>Roanoke-Chowan Community College</t>
  </si>
  <si>
    <t>Robeson Community College</t>
  </si>
  <si>
    <t xml:space="preserve">Rockingham Community College </t>
  </si>
  <si>
    <t>Rowan-Cabarrus Community College</t>
  </si>
  <si>
    <t>Sampson Community College</t>
  </si>
  <si>
    <t xml:space="preserve">Sandhills Community College </t>
  </si>
  <si>
    <t xml:space="preserve">Southeastern Community College </t>
  </si>
  <si>
    <t xml:space="preserve">Southwestern Community College </t>
  </si>
  <si>
    <t>Stanly Community College</t>
  </si>
  <si>
    <t xml:space="preserve">Surry Community College </t>
  </si>
  <si>
    <t xml:space="preserve">Tri-County Community College </t>
  </si>
  <si>
    <t xml:space="preserve">Vance-Granville Community College </t>
  </si>
  <si>
    <t>Wake Technical Community College</t>
  </si>
  <si>
    <t>Wayne Community College</t>
  </si>
  <si>
    <t xml:space="preserve">Western Piedmont Community College </t>
  </si>
  <si>
    <t xml:space="preserve">Wilkes Community College </t>
  </si>
  <si>
    <t>Wilson Technical Community College</t>
  </si>
  <si>
    <t>OK</t>
  </si>
  <si>
    <t>Oklahoma State University College of Veterinary Medicine</t>
  </si>
  <si>
    <t>University of Oklahoma College of Law</t>
  </si>
  <si>
    <t>Oklahoma State University Main Campus</t>
  </si>
  <si>
    <t>University of Oklahoma Norman Campus</t>
  </si>
  <si>
    <t>University of Central Oklahoma</t>
  </si>
  <si>
    <t>Northeastern State University</t>
  </si>
  <si>
    <t xml:space="preserve">Southwestern Oklahoma State University </t>
  </si>
  <si>
    <t>Cameron University</t>
  </si>
  <si>
    <t xml:space="preserve">East Central University </t>
  </si>
  <si>
    <t xml:space="preserve">Northwestern Oklahoma State University </t>
  </si>
  <si>
    <t xml:space="preserve">Southeastern Oklahoma State University </t>
  </si>
  <si>
    <t>Langston University</t>
  </si>
  <si>
    <t xml:space="preserve">Oklahoma Panhandle State University </t>
  </si>
  <si>
    <t>University of Science and Arts of Oklahoma</t>
  </si>
  <si>
    <t>Carl Albert State College</t>
  </si>
  <si>
    <t xml:space="preserve">Connors State College </t>
  </si>
  <si>
    <t xml:space="preserve">Eastern Oklahoma State College </t>
  </si>
  <si>
    <t xml:space="preserve">Murray State College </t>
  </si>
  <si>
    <t xml:space="preserve">Northeastern Oklahoma Agricultural &amp; Mechanical College </t>
  </si>
  <si>
    <t xml:space="preserve">Northern Oklahoma College </t>
  </si>
  <si>
    <t xml:space="preserve">Oklahoma City Community College </t>
  </si>
  <si>
    <t xml:space="preserve">Oklahoma State University-Oklahoma City </t>
  </si>
  <si>
    <t xml:space="preserve">Oklahoma State University-Okmulgee </t>
  </si>
  <si>
    <t>Redlands Community College</t>
  </si>
  <si>
    <t>Rogers University-Claremore Campus</t>
  </si>
  <si>
    <t xml:space="preserve">Rose State College </t>
  </si>
  <si>
    <t xml:space="preserve">Seminole Junior College </t>
  </si>
  <si>
    <t>Tulsa Community College</t>
  </si>
  <si>
    <t xml:space="preserve">Western Oklahoma State College </t>
  </si>
  <si>
    <t>SC</t>
  </si>
  <si>
    <t>University of South Carolina-Columbia</t>
  </si>
  <si>
    <t>Clemson University</t>
  </si>
  <si>
    <t xml:space="preserve">Winthrop University </t>
  </si>
  <si>
    <t>College of Charleston</t>
  </si>
  <si>
    <t>The Citadel, the Military College of South Carolina</t>
  </si>
  <si>
    <t xml:space="preserve">Francis Marion University </t>
  </si>
  <si>
    <t xml:space="preserve">South Carolina State University </t>
  </si>
  <si>
    <t>Coastal Carolina University</t>
  </si>
  <si>
    <t>Lander University</t>
  </si>
  <si>
    <t>University of South Carolina-Aiken</t>
  </si>
  <si>
    <t>University of South Carolina-Spartanburg</t>
  </si>
  <si>
    <t xml:space="preserve">Aiken Technical College </t>
  </si>
  <si>
    <t xml:space="preserve">Central Carolina Technical College </t>
  </si>
  <si>
    <t xml:space="preserve">Chesterfield-Marlboro Technical College </t>
  </si>
  <si>
    <t xml:space="preserve">Denmark Technical College </t>
  </si>
  <si>
    <t xml:space="preserve">Florence-Darlington Technical College </t>
  </si>
  <si>
    <t xml:space="preserve">Greenville Technical College </t>
  </si>
  <si>
    <t xml:space="preserve">Horry-Georgetown Technical College </t>
  </si>
  <si>
    <t xml:space="preserve">Midlands Technical College </t>
  </si>
  <si>
    <t xml:space="preserve">Orangeburg-Calhoun Technical College </t>
  </si>
  <si>
    <t xml:space="preserve">Piedmont Technical College </t>
  </si>
  <si>
    <t xml:space="preserve">Spartanburg Technical College </t>
  </si>
  <si>
    <t>Technical College of the Low Country</t>
  </si>
  <si>
    <t xml:space="preserve">Tri-County Technical College </t>
  </si>
  <si>
    <t xml:space="preserve">Trident Technical College </t>
  </si>
  <si>
    <t>University of South Carolina-Beaufort</t>
  </si>
  <si>
    <t>University of South Carolina-Lancaster</t>
  </si>
  <si>
    <t>University of South Carolina-Salkehatchie</t>
  </si>
  <si>
    <t>University of South Carolina-Sumter</t>
  </si>
  <si>
    <t>University of South Carolina-Union</t>
  </si>
  <si>
    <t xml:space="preserve">Willamsburg Technical College </t>
  </si>
  <si>
    <t xml:space="preserve">York Technical College </t>
  </si>
  <si>
    <t>TN</t>
  </si>
  <si>
    <t>University of Tennessee, Knoxville</t>
  </si>
  <si>
    <t>University of Memphis*</t>
  </si>
  <si>
    <t xml:space="preserve">East Tennessee State University </t>
  </si>
  <si>
    <t xml:space="preserve">Middle Tennessee State University </t>
  </si>
  <si>
    <t xml:space="preserve">Tennessee State University </t>
  </si>
  <si>
    <t xml:space="preserve">Austin Peay State University </t>
  </si>
  <si>
    <t xml:space="preserve">Tennessee Technological University </t>
  </si>
  <si>
    <t>University of Tennessee at Chattanooga</t>
  </si>
  <si>
    <t>University of Tennessee at Martin</t>
  </si>
  <si>
    <t>Chattanooga State Technical Community College</t>
  </si>
  <si>
    <t>Cleveland State Community College</t>
  </si>
  <si>
    <t>Columbia State Community College</t>
  </si>
  <si>
    <t>Dyersburg State Community College</t>
  </si>
  <si>
    <t>Jackson State Community College</t>
  </si>
  <si>
    <t>Motlow State Community College</t>
  </si>
  <si>
    <t>Nashville State Technical Institute</t>
  </si>
  <si>
    <t>Northeast State Technical Community College</t>
  </si>
  <si>
    <t>Pellissippi State Technical Community College</t>
  </si>
  <si>
    <t>Roane State Community College</t>
  </si>
  <si>
    <t>Shelby State Community College</t>
  </si>
  <si>
    <t>State Technical Institute at Memphis</t>
  </si>
  <si>
    <t>Volunteer State Community College</t>
  </si>
  <si>
    <t>Walters State Community College</t>
  </si>
  <si>
    <t>Tennessee Technical College at Athens</t>
  </si>
  <si>
    <t>Tennessee Technical College at Chattanooga</t>
  </si>
  <si>
    <t>Tennessee Technical College at Covington</t>
  </si>
  <si>
    <t>Tennessee Technical College at Crossville</t>
  </si>
  <si>
    <t>Tennessee Technical College at Crump (formerly Savannah)</t>
  </si>
  <si>
    <t>Tennessee Technical College at Dickson</t>
  </si>
  <si>
    <t>Tennessee Technical College at Elizabethton</t>
  </si>
  <si>
    <t>Tennessee Technical College at Harriman</t>
  </si>
  <si>
    <t>Tennessee Technical College at Hartsville</t>
  </si>
  <si>
    <t>Tennessee Technical College at Holenwald</t>
  </si>
  <si>
    <t>Tennessee Technical College at Jacksboro</t>
  </si>
  <si>
    <t>Tennessee Technical College at Jackson</t>
  </si>
  <si>
    <t>Tennessee Technical College at Knoxville</t>
  </si>
  <si>
    <t>Tennessee Technical College at Livingston</t>
  </si>
  <si>
    <t>Tennessee Technical College at McKenzie</t>
  </si>
  <si>
    <t>Tennessee Technical College at McMinnville</t>
  </si>
  <si>
    <t>Tennessee Technical College at Memphis</t>
  </si>
  <si>
    <t>Tennessee Technical College at Morristown</t>
  </si>
  <si>
    <t>Tennessee Technical College at Murphressboro</t>
  </si>
  <si>
    <t>Tennessee Technical College at Nashville</t>
  </si>
  <si>
    <t>Tennessee Technical College at Newbern</t>
  </si>
  <si>
    <t>Tennessee Technical College at Oneida</t>
  </si>
  <si>
    <t>Tennessee Technical College at Paris</t>
  </si>
  <si>
    <t>Tennessee Technical College at Pulaski</t>
  </si>
  <si>
    <t>Tennessee Technical College at Ripley</t>
  </si>
  <si>
    <t>Tennessee Technical College at Shelbyville</t>
  </si>
  <si>
    <t>Tennessee Technical College at Whiteville</t>
  </si>
  <si>
    <t>TX</t>
  </si>
  <si>
    <t>Texas A &amp; M University</t>
  </si>
  <si>
    <t xml:space="preserve">Texas Tech University </t>
  </si>
  <si>
    <t>University of Houston</t>
  </si>
  <si>
    <t>University of North Texas</t>
  </si>
  <si>
    <t>University of Texas at Austin</t>
  </si>
  <si>
    <t>Texas Woman's University</t>
  </si>
  <si>
    <t>University of Texas at Arlington</t>
  </si>
  <si>
    <t>University of Texas at Dallas</t>
  </si>
  <si>
    <t>Lamar University-Beaumont</t>
  </si>
  <si>
    <t xml:space="preserve">Prairie View A &amp; M University </t>
  </si>
  <si>
    <t xml:space="preserve">Sam Houston State University </t>
  </si>
  <si>
    <t xml:space="preserve">Southwest Texas State University </t>
  </si>
  <si>
    <t>Stephen F. Austin State University</t>
  </si>
  <si>
    <t xml:space="preserve">Sul Ross State University </t>
  </si>
  <si>
    <t>Texas A &amp; M University-Commerce</t>
  </si>
  <si>
    <t>Texas A &amp; M University-Corpus Christi</t>
  </si>
  <si>
    <t>Texas A &amp; M University-Kingsville</t>
  </si>
  <si>
    <t xml:space="preserve">Texas Southern University </t>
  </si>
  <si>
    <t xml:space="preserve">University of Houston-Clear Lake </t>
  </si>
  <si>
    <t>University of Texas at El Paso</t>
  </si>
  <si>
    <t>University of Texas at San Antonio</t>
  </si>
  <si>
    <t>University of Texas at Tyler</t>
  </si>
  <si>
    <t>University of Texas-Pan American *</t>
  </si>
  <si>
    <t>West Texas A &amp; M University</t>
  </si>
  <si>
    <t>Angelo State University</t>
  </si>
  <si>
    <t xml:space="preserve">Midwestern State University  </t>
  </si>
  <si>
    <t xml:space="preserve">Tarleton State University  </t>
  </si>
  <si>
    <t>Texas A &amp; M International University</t>
  </si>
  <si>
    <t>University of Texas of the Permian Basin</t>
  </si>
  <si>
    <t>Sul Ross State University-Rio Grande College</t>
  </si>
  <si>
    <t>Texas A&amp;M University - Texarkana</t>
  </si>
  <si>
    <t>University of Houston-Victoria</t>
  </si>
  <si>
    <t>University of Texas at Brownsville</t>
  </si>
  <si>
    <t>Texas A &amp; M University at Galveston</t>
  </si>
  <si>
    <t>University of Houston-Downtown</t>
  </si>
  <si>
    <t>Alamo Community College District</t>
  </si>
  <si>
    <t xml:space="preserve">Alvin Community College </t>
  </si>
  <si>
    <t xml:space="preserve">Amarillo College </t>
  </si>
  <si>
    <t xml:space="preserve">Angelina College </t>
  </si>
  <si>
    <t xml:space="preserve">Austin Community College </t>
  </si>
  <si>
    <t xml:space="preserve">Bee County College </t>
  </si>
  <si>
    <t xml:space="preserve">Blinn College </t>
  </si>
  <si>
    <t xml:space="preserve">Brazosport College </t>
  </si>
  <si>
    <t>Brookhaven College  (DCCCD)</t>
  </si>
  <si>
    <t>Cedar Valley College  (DCCCD)</t>
  </si>
  <si>
    <t xml:space="preserve">Central Texas College </t>
  </si>
  <si>
    <t xml:space="preserve">Cisco Junior College </t>
  </si>
  <si>
    <t xml:space="preserve">Clarendon College </t>
  </si>
  <si>
    <t>College of the Mainland</t>
  </si>
  <si>
    <t>Collin County Community College</t>
  </si>
  <si>
    <t>Dallas County Community College District</t>
  </si>
  <si>
    <t xml:space="preserve">Del Mar College </t>
  </si>
  <si>
    <t>Eastfield College  (DCCCD)</t>
  </si>
  <si>
    <t>El Centro College  (DCCCD)</t>
  </si>
  <si>
    <t xml:space="preserve">El Paso County Community College </t>
  </si>
  <si>
    <t xml:space="preserve">Frank Phillips College </t>
  </si>
  <si>
    <t xml:space="preserve">Galveston College </t>
  </si>
  <si>
    <t xml:space="preserve">Grayson County College </t>
  </si>
  <si>
    <t>Hill College</t>
  </si>
  <si>
    <t>Houston Community College</t>
  </si>
  <si>
    <t>Howard College</t>
  </si>
  <si>
    <t xml:space="preserve">Kilgore College </t>
  </si>
  <si>
    <t>Lamar Institute of Technology</t>
  </si>
  <si>
    <t>Lamar Univ-Orange Campus</t>
  </si>
  <si>
    <t>Lamar Univ-Port Arthur Campus</t>
  </si>
  <si>
    <t xml:space="preserve">Laredo Community College </t>
  </si>
  <si>
    <t xml:space="preserve">Lee College </t>
  </si>
  <si>
    <t xml:space="preserve">McLennan Community College </t>
  </si>
  <si>
    <t xml:space="preserve">Midland College </t>
  </si>
  <si>
    <t>Mountain View College  (DCCCD)</t>
  </si>
  <si>
    <t xml:space="preserve">Navarro College </t>
  </si>
  <si>
    <t>North Central Texas College</t>
  </si>
  <si>
    <t>North Harris Montgomery Community College District</t>
  </si>
  <si>
    <t>North Lake College  (DCCCD)</t>
  </si>
  <si>
    <t xml:space="preserve">Northeast Texas Community College </t>
  </si>
  <si>
    <t>Northwest Vista College (ACCD)</t>
  </si>
  <si>
    <t xml:space="preserve">Odessa College </t>
  </si>
  <si>
    <t>Palo Alto College  (ACCD)</t>
  </si>
  <si>
    <t>Panola College</t>
  </si>
  <si>
    <t>Paris Junior College</t>
  </si>
  <si>
    <t xml:space="preserve">Ranger College </t>
  </si>
  <si>
    <t>Richland College  (DCCCD)</t>
  </si>
  <si>
    <t>San Antonio College (ACCD)</t>
  </si>
  <si>
    <t>San Jacinto College (SJCDS)</t>
  </si>
  <si>
    <t xml:space="preserve">South Plains College </t>
  </si>
  <si>
    <t>South Texas Community College</t>
  </si>
  <si>
    <t xml:space="preserve">Southwest Texas Junior College </t>
  </si>
  <si>
    <t>St. Philip's College  (ACCD)</t>
  </si>
  <si>
    <t>Tarrant Co. Junior College (TCJCD)</t>
  </si>
  <si>
    <t xml:space="preserve">Temple College </t>
  </si>
  <si>
    <t xml:space="preserve">Texarkana College </t>
  </si>
  <si>
    <t xml:space="preserve">Texas Southmost College </t>
  </si>
  <si>
    <t xml:space="preserve">Texas State Technical College-Amarillo </t>
  </si>
  <si>
    <t xml:space="preserve">Texas State Technical College-Harlingen </t>
  </si>
  <si>
    <t xml:space="preserve">Texas State Technical College-Sweetwater </t>
  </si>
  <si>
    <t>Texas State Technical College-Waco/Marshall</t>
  </si>
  <si>
    <t>Trinity Valley Community College</t>
  </si>
  <si>
    <t xml:space="preserve">Tyler Junior College </t>
  </si>
  <si>
    <t xml:space="preserve">Vernon Regional Junior College </t>
  </si>
  <si>
    <t xml:space="preserve">Victoria College </t>
  </si>
  <si>
    <t xml:space="preserve">Weatherford College </t>
  </si>
  <si>
    <t xml:space="preserve">Western Texas College </t>
  </si>
  <si>
    <t xml:space="preserve">Wharton County Junior College </t>
  </si>
  <si>
    <t>VA</t>
  </si>
  <si>
    <t>University of Virginia</t>
  </si>
  <si>
    <t xml:space="preserve">Virginia Polytechnic Institute &amp; State University </t>
  </si>
  <si>
    <t>College of William &amp; Mary</t>
  </si>
  <si>
    <t xml:space="preserve">George Mason University </t>
  </si>
  <si>
    <t xml:space="preserve">Old Dominion University </t>
  </si>
  <si>
    <t xml:space="preserve">Virginia Commonwealth University  </t>
  </si>
  <si>
    <t xml:space="preserve">James Madison University  </t>
  </si>
  <si>
    <t>Radford University</t>
  </si>
  <si>
    <t xml:space="preserve">Norfolk State University </t>
  </si>
  <si>
    <t xml:space="preserve">Virginia State University </t>
  </si>
  <si>
    <t xml:space="preserve">Longwood College </t>
  </si>
  <si>
    <t>Christopher Newport University</t>
  </si>
  <si>
    <t>Clinch Valley College of the University of Virginia</t>
  </si>
  <si>
    <t xml:space="preserve">Mary Washington College </t>
  </si>
  <si>
    <t>All CC's</t>
  </si>
  <si>
    <t xml:space="preserve">Richard Bland College </t>
  </si>
  <si>
    <t>WV</t>
  </si>
  <si>
    <t xml:space="preserve">West Virginia University </t>
  </si>
  <si>
    <t xml:space="preserve">Marshall University </t>
  </si>
  <si>
    <t xml:space="preserve">Bluefield State College </t>
  </si>
  <si>
    <t xml:space="preserve">Concord College </t>
  </si>
  <si>
    <t xml:space="preserve">Fairmont State College </t>
  </si>
  <si>
    <t xml:space="preserve">Glenville State College </t>
  </si>
  <si>
    <t xml:space="preserve">Shepherd College </t>
  </si>
  <si>
    <t xml:space="preserve">West Liberty State College </t>
  </si>
  <si>
    <t xml:space="preserve">West Virginia State College </t>
  </si>
  <si>
    <t xml:space="preserve">WVU Institute of Technology </t>
  </si>
  <si>
    <t>Potomac State College of WVU</t>
  </si>
  <si>
    <t>Southern WV Community and Tech College</t>
  </si>
  <si>
    <t>West Virginia Northern Community College</t>
  </si>
  <si>
    <t>West Virginia University at Parkersburg</t>
  </si>
  <si>
    <t xml:space="preserve">    Professor</t>
  </si>
  <si>
    <t xml:space="preserve">   Assoc. Prof.</t>
  </si>
  <si>
    <t xml:space="preserve">   Ass't. Prof.</t>
  </si>
  <si>
    <t xml:space="preserve">   Instructor</t>
  </si>
  <si>
    <t xml:space="preserve">     Single Rank</t>
  </si>
  <si>
    <t xml:space="preserve">  All Ranks Avg.</t>
  </si>
  <si>
    <t>No.</t>
  </si>
  <si>
    <t>Av. Sal.</t>
  </si>
  <si>
    <t>AL 9-10 M</t>
  </si>
  <si>
    <t>Four-Year 1</t>
  </si>
  <si>
    <t>Four-Year 2</t>
  </si>
  <si>
    <t>Four-Year 3</t>
  </si>
  <si>
    <t>Four-Year 4</t>
  </si>
  <si>
    <t>Four-Year 5</t>
  </si>
  <si>
    <t>Four-Year 6</t>
  </si>
  <si>
    <t>Two-Year 1</t>
  </si>
  <si>
    <t>Two-Year 2</t>
  </si>
  <si>
    <t>AL 11-12 M</t>
  </si>
  <si>
    <t>AR 9-10 M</t>
  </si>
  <si>
    <t>AR 11-12 M</t>
  </si>
  <si>
    <t>FL 9-10 M</t>
  </si>
  <si>
    <t>FL 11-12 M</t>
  </si>
  <si>
    <t>GA 9-10 M</t>
  </si>
  <si>
    <t>GA 11-12 M</t>
  </si>
  <si>
    <t>KY 9-10 M</t>
  </si>
  <si>
    <t>KY 11-12 M</t>
  </si>
  <si>
    <t>LA 9-10 M</t>
  </si>
  <si>
    <t>LA 11-12 M</t>
  </si>
  <si>
    <t>MD 9-10 M</t>
  </si>
  <si>
    <t>MD 11-12 M</t>
  </si>
  <si>
    <t>MS 9-10 M</t>
  </si>
  <si>
    <t>MS 11-12 M</t>
  </si>
  <si>
    <t>NC 9-10 M</t>
  </si>
  <si>
    <t>NC 11-12 M</t>
  </si>
  <si>
    <t>OK 9-10 M</t>
  </si>
  <si>
    <t>OK 11-12 M</t>
  </si>
  <si>
    <t>SC 9-10 M</t>
  </si>
  <si>
    <t>SC 11-12 M</t>
  </si>
  <si>
    <t>TN 9-10 M</t>
  </si>
  <si>
    <t>TN 11-12 M</t>
  </si>
  <si>
    <t>TX 9-10 M</t>
  </si>
  <si>
    <t>TX 11-12 M</t>
  </si>
  <si>
    <t>VA 9-10 M</t>
  </si>
  <si>
    <t>VA 11-12 M</t>
  </si>
  <si>
    <t>WV 9-10 M</t>
  </si>
  <si>
    <t>WV 11-12 M</t>
  </si>
  <si>
    <t>Section III:  (** Optional **) Combined Salaries  (i.e. converted to 9-month equivalent basis)</t>
  </si>
  <si>
    <t>Conversion Factor(s) Used for Section III:</t>
  </si>
  <si>
    <t>Rationale For "Non-Standard" Conversion Factor(s):</t>
  </si>
  <si>
    <t>AL CHE</t>
  </si>
  <si>
    <t>n/a</t>
  </si>
  <si>
    <t>AR DHE</t>
  </si>
  <si>
    <t>FL BOR</t>
  </si>
  <si>
    <t>9/11</t>
  </si>
  <si>
    <t>not provided (reported in Pt. 6a)</t>
  </si>
  <si>
    <t>FL CC</t>
  </si>
  <si>
    <t>GA BOR</t>
  </si>
  <si>
    <t>GA TAE</t>
  </si>
  <si>
    <t>KY CHE</t>
  </si>
  <si>
    <t>LA BOR</t>
  </si>
  <si>
    <t>MD CHE</t>
  </si>
  <si>
    <t>MS IHL</t>
  </si>
  <si>
    <t>MS CC</t>
  </si>
  <si>
    <t>NC UNC</t>
  </si>
  <si>
    <t>NC CC</t>
  </si>
  <si>
    <t>actual monthly salary x 9 months</t>
  </si>
  <si>
    <t>Because of the large number of 10 month and 12</t>
  </si>
  <si>
    <t>month faculty employed in the NC Community</t>
  </si>
  <si>
    <t>College System, the SREB conversion overstates</t>
  </si>
  <si>
    <t>the 9-month salary of faculty. This has caused</t>
  </si>
  <si>
    <t>confusion among policy-makers in the past, since</t>
  </si>
  <si>
    <t>the SREB number did not match actual salary data.</t>
  </si>
  <si>
    <t>As a result, the decision was made to supply</t>
  </si>
  <si>
    <t>SREB with the actual 9-month salary based on</t>
  </si>
  <si>
    <t>monthly pay. In addition, the monthly salary figure</t>
  </si>
  <si>
    <t>is the the only one available at the State Office.</t>
  </si>
  <si>
    <t>OK BOR</t>
  </si>
  <si>
    <t>SC CHE</t>
  </si>
  <si>
    <t>TN HEC</t>
  </si>
  <si>
    <t>TX HECB</t>
  </si>
  <si>
    <t>VA SCHEV</t>
  </si>
  <si>
    <t>WV SCUS</t>
  </si>
  <si>
    <t>Full-Time Instructional Faculty</t>
  </si>
  <si>
    <t>[COMBINED 9/10 Month and 11/12 Month Contract Groups on 9-month equivalent basis.</t>
  </si>
  <si>
    <t>Total $</t>
  </si>
  <si>
    <t>Total 4-Yr</t>
  </si>
  <si>
    <t>SREB</t>
  </si>
  <si>
    <t>Table 19</t>
  </si>
  <si>
    <t>Weighted Average Full-Time Faculty Salaries</t>
  </si>
  <si>
    <t>Public Institutions</t>
  </si>
  <si>
    <t>SREB States</t>
  </si>
  <si>
    <t>1997-98</t>
  </si>
  <si>
    <t>Associate</t>
  </si>
  <si>
    <t>Assistant</t>
  </si>
  <si>
    <t>Undesig-</t>
  </si>
  <si>
    <t>Single</t>
  </si>
  <si>
    <t>All</t>
  </si>
  <si>
    <t>nated/Other</t>
  </si>
  <si>
    <t>Rank</t>
  </si>
  <si>
    <t>Ranks</t>
  </si>
  <si>
    <t>All Four-Year</t>
  </si>
  <si>
    <t>Table 20</t>
  </si>
  <si>
    <t>Weighted Average Salaries of Full-Time Faculty</t>
  </si>
  <si>
    <t>Public Four-Year Institutions</t>
  </si>
  <si>
    <t>Average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</si>
  <si>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</si>
  <si>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</si>
  <si>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</si>
  <si>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</si>
  <si>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</si>
  <si>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</si>
  <si>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</si>
  <si>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</si>
  <si>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</si>
  <si>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</si>
  <si>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</si>
  <si>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</si>
  <si>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</si>
  <si>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</si>
  <si>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</si>
  <si>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</si>
  <si>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Salaries reported as 11-12 month appointments have been converted to 9-10 month equivalence by reducing the reported amounts by 2/11. States with distinct 10, 11 and 12 month</t>
  </si>
  <si>
    <t>appointments have been converted by reducing the amounts by 1/10, 2/11 and 3/12, respectively.  Data for Virginia do not include increases averaging 5.6 percent that faculty received on</t>
  </si>
  <si>
    <t>December 1, 1997.  These increases would average 3.3 percent on an annualized basis.</t>
  </si>
  <si>
    <t>Table 21</t>
  </si>
  <si>
    <t>Public Two-Year Institutions</t>
  </si>
  <si>
    <t xml:space="preserve">   Two-Year 1</t>
  </si>
  <si>
    <t xml:space="preserve">   Two-Year 2</t>
  </si>
  <si>
    <t>NOTES:  Salaries reported as 11-12 month appointments have been converted to 9-10 month equivalence by</t>
  </si>
  <si>
    <t>reducing the reported amounts by 2/11. States with distinct 10, 11 and 12 month appointments have been</t>
  </si>
  <si>
    <t>converted by reducing the amounts by 1/10, 2/11 and 3/12, respectively.  Data for Virginia do not include</t>
  </si>
  <si>
    <t>increases averaging 5.6 percent that faculty received on December 1, 1997.  These increases would average 3.3</t>
  </si>
  <si>
    <t>percent on an annualized basis.</t>
  </si>
  <si>
    <t>Table 22</t>
  </si>
  <si>
    <t>Weighted Average Salaries and Salary Rankings of Full-Time Faculty</t>
  </si>
  <si>
    <t xml:space="preserve">   Professor</t>
  </si>
  <si>
    <t xml:space="preserve">  Undes/Other</t>
  </si>
  <si>
    <t xml:space="preserve"> Single Rank</t>
  </si>
  <si>
    <t xml:space="preserve">    All Ranks</t>
  </si>
  <si>
    <t>Table 23</t>
  </si>
  <si>
    <t>Public Four-Year 1 Institutions</t>
  </si>
  <si>
    <t>Table 24</t>
  </si>
  <si>
    <t>Public Four-Year 2 Institutions</t>
  </si>
  <si>
    <t>Table 25</t>
  </si>
  <si>
    <t>Public Four-Year 3 Institutions</t>
  </si>
  <si>
    <t>Table 26</t>
  </si>
  <si>
    <t>Public Four-Year 4 Institutions</t>
  </si>
  <si>
    <t>Table 27</t>
  </si>
  <si>
    <t>Public Four-Year 5 Institutions</t>
  </si>
  <si>
    <t>Table 28</t>
  </si>
  <si>
    <t>Public Four-Year 6 Institutions</t>
  </si>
  <si>
    <t>Table 29</t>
  </si>
  <si>
    <t>Public Two-Year 1 Institutions</t>
  </si>
  <si>
    <t>Table 30</t>
  </si>
  <si>
    <t>Public Two-Year 2 Institutions</t>
  </si>
  <si>
    <t>NOTES:  Salaries reported as 11-12 month appointments have been converted to 9-10 month equivalence by reducing the reported amounts by 2/11. States with distinct 10, 11 and 12 month appointments</t>
  </si>
  <si>
    <t xml:space="preserve">have been converted by reducing the amounts by 1/10, 2/11 and 3/12, respectively.  </t>
  </si>
  <si>
    <t/>
  </si>
  <si>
    <t>G 1</t>
  </si>
  <si>
    <t>Full-Time Faculty Salaries</t>
  </si>
  <si>
    <t>XTRACT MACRO</t>
  </si>
  <si>
    <t>\e</t>
  </si>
  <si>
    <t>/fxvn_19.wk4~n_19~r</t>
  </si>
  <si>
    <t>LABEL MACRO</t>
  </si>
  <si>
    <t>/fxvn_20.wk4~n_20~r</t>
  </si>
  <si>
    <t>/fxvn_21.wk4~n_21~r</t>
  </si>
  <si>
    <t>\L</t>
  </si>
  <si>
    <t>{EDIT}{HOME}^{DOWN}</t>
  </si>
  <si>
    <t>/fxvn_22.wk4~n_22~r</t>
  </si>
  <si>
    <t>/fxvn_23.wk4~n_23~r</t>
  </si>
  <si>
    <t>/fxvn_24.wk4~n_24~r</t>
  </si>
  <si>
    <t>/fxvn_25.wk4~n_25~r</t>
  </si>
  <si>
    <t>/fxvn_26.wk4~n_26~r</t>
  </si>
  <si>
    <t>/fxvn_27.wk4~n_27~r</t>
  </si>
  <si>
    <t>/fxvn_28.wk4~n_28~r</t>
  </si>
  <si>
    <t>/fxvn_29.wk4~n_29~r</t>
  </si>
  <si>
    <t>/fxvn_30.wk4~n_30~r</t>
  </si>
  <si>
    <t>UNLABEL MACRO</t>
  </si>
  <si>
    <t>\F</t>
  </si>
  <si>
    <t>{EDIT}{HOME}{DELETE}{DOWN}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</si>
</sst>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;;;"/>
  </numFmts>
  <fonts count="24">
    <font>
      <sz val="10"/>
      <name val="Swis721 Cn BT"/>
      <family val="0"/>
    </font>
    <font>
      <sz val="8"/>
      <name val="Arial"/>
      <family val="0"/>
    </font>
    <font>
      <b/>
      <sz val="10"/>
      <name val="Swis721 Cn BT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10"/>
      <color indexed="12"/>
      <name val="Swis721 Cn BT"/>
      <family val="0"/>
    </font>
    <font>
      <sz val="10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sz val="12"/>
      <name val="AGaramond"/>
      <family val="0"/>
    </font>
    <font>
      <sz val="12"/>
      <name val="AGaramond Bold"/>
      <family val="0"/>
    </font>
    <font>
      <i/>
      <sz val="10"/>
      <name val="AGaramond Bold"/>
      <family val="0"/>
    </font>
    <font>
      <sz val="12"/>
      <color indexed="12"/>
      <name val="AGaramond"/>
      <family val="0"/>
    </font>
    <font>
      <sz val="12"/>
      <color indexed="50"/>
      <name val="AGaramond"/>
      <family val="0"/>
    </font>
    <font>
      <sz val="14"/>
      <name val="AGaramond Bold"/>
      <family val="0"/>
    </font>
    <font>
      <sz val="10"/>
      <name val="AGaramond"/>
      <family val="0"/>
    </font>
    <font>
      <sz val="10"/>
      <name val="AGaramond Bold"/>
      <family val="0"/>
    </font>
    <font>
      <sz val="12"/>
      <name val="Swis721 Cn BT"/>
      <family val="0"/>
    </font>
    <font>
      <sz val="8"/>
      <name val="Swis721 Cn BT"/>
      <family val="0"/>
    </font>
    <font>
      <b/>
      <sz val="12"/>
      <name val="Arial"/>
      <family val="0"/>
    </font>
    <font>
      <sz val="20"/>
      <name val="AGaramond Bold"/>
      <family val="0"/>
    </font>
    <font>
      <sz val="8"/>
      <name val="Tahoma"/>
      <family val="0"/>
    </font>
    <font>
      <b/>
      <sz val="8"/>
      <name val="Swis721 Cn BT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"/>
      <protection/>
    </xf>
    <xf numFmtId="37" fontId="0" fillId="0" borderId="1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Continuous"/>
      <protection/>
    </xf>
    <xf numFmtId="37" fontId="0" fillId="0" borderId="5" xfId="0" applyFont="1" applyBorder="1" applyAlignment="1" applyProtection="1">
      <alignment horizontal="centerContinuous"/>
      <protection/>
    </xf>
    <xf numFmtId="37" fontId="0" fillId="0" borderId="3" xfId="0" applyFont="1" applyBorder="1" applyAlignment="1" applyProtection="1">
      <alignment horizontal="centerContinuous"/>
      <protection/>
    </xf>
    <xf numFmtId="37" fontId="0" fillId="0" borderId="6" xfId="0" applyFont="1" applyBorder="1" applyAlignment="1" applyProtection="1">
      <alignment horizontal="centerContinuous"/>
      <protection/>
    </xf>
    <xf numFmtId="37" fontId="0" fillId="0" borderId="7" xfId="0" applyNumberFormat="1" applyFont="1" applyBorder="1" applyAlignment="1" applyProtection="1">
      <alignment horizontal="centerContinuous"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Continuous"/>
      <protection/>
    </xf>
    <xf numFmtId="37" fontId="0" fillId="0" borderId="10" xfId="0" applyFont="1" applyBorder="1" applyAlignment="1" applyProtection="1">
      <alignment horizontal="centerContinuous"/>
      <protection/>
    </xf>
    <xf numFmtId="37" fontId="0" fillId="0" borderId="11" xfId="0" applyFont="1" applyBorder="1" applyAlignment="1" applyProtection="1">
      <alignment horizontal="centerContinuous"/>
      <protection/>
    </xf>
    <xf numFmtId="37" fontId="0" fillId="0" borderId="12" xfId="0" applyFont="1" applyBorder="1" applyAlignment="1" applyProtection="1">
      <alignment horizontal="centerContinuous"/>
      <protection/>
    </xf>
    <xf numFmtId="37" fontId="0" fillId="0" borderId="13" xfId="0" applyNumberFormat="1" applyFont="1" applyBorder="1" applyAlignment="1" applyProtection="1">
      <alignment horizontal="centerContinuous"/>
      <protection/>
    </xf>
    <xf numFmtId="37" fontId="1" fillId="2" borderId="0" xfId="0" applyFont="1" applyFill="1" applyAlignment="1" applyProtection="1">
      <alignment/>
      <protection/>
    </xf>
    <xf numFmtId="37" fontId="1" fillId="2" borderId="0" xfId="0" applyFont="1" applyFill="1" applyAlignment="1" applyProtection="1">
      <alignment horizontal="center"/>
      <protection/>
    </xf>
    <xf numFmtId="37" fontId="3" fillId="2" borderId="0" xfId="0" applyNumberFormat="1" applyFont="1" applyFill="1" applyAlignment="1" applyProtection="1">
      <alignment/>
      <protection locked="0"/>
    </xf>
    <xf numFmtId="37" fontId="3" fillId="2" borderId="14" xfId="0" applyFont="1" applyFill="1" applyBorder="1" applyAlignment="1" applyProtection="1">
      <alignment/>
      <protection locked="0"/>
    </xf>
    <xf numFmtId="37" fontId="3" fillId="2" borderId="15" xfId="0" applyFont="1" applyFill="1" applyBorder="1" applyAlignment="1" applyProtection="1">
      <alignment/>
      <protection locked="0"/>
    </xf>
    <xf numFmtId="37" fontId="3" fillId="2" borderId="14" xfId="0" applyNumberFormat="1" applyFont="1" applyFill="1" applyBorder="1" applyAlignment="1" applyProtection="1">
      <alignment/>
      <protection locked="0"/>
    </xf>
    <xf numFmtId="37" fontId="1" fillId="2" borderId="0" xfId="0" applyFont="1" applyFill="1" applyAlignment="1" applyProtection="1">
      <alignment horizontal="centerContinuous"/>
      <protection/>
    </xf>
    <xf numFmtId="37" fontId="3" fillId="2" borderId="0" xfId="0" applyFont="1" applyFill="1" applyAlignment="1" applyProtection="1">
      <alignment/>
      <protection locked="0"/>
    </xf>
    <xf numFmtId="37" fontId="4" fillId="2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 horizontal="center"/>
      <protection/>
    </xf>
    <xf numFmtId="37" fontId="5" fillId="2" borderId="0" xfId="0" applyFont="1" applyFill="1" applyAlignment="1" applyProtection="1">
      <alignment/>
      <protection/>
    </xf>
    <xf numFmtId="37" fontId="1" fillId="2" borderId="14" xfId="0" applyFont="1" applyFill="1" applyBorder="1" applyAlignment="1" applyProtection="1">
      <alignment/>
      <protection/>
    </xf>
    <xf numFmtId="37" fontId="3" fillId="2" borderId="0" xfId="0" applyFont="1" applyFill="1" applyAlignment="1" applyProtection="1">
      <alignment horizontal="center"/>
      <protection locked="0"/>
    </xf>
    <xf numFmtId="37" fontId="1" fillId="2" borderId="15" xfId="0" applyFont="1" applyFill="1" applyBorder="1" applyAlignment="1" applyProtection="1">
      <alignment/>
      <protection/>
    </xf>
    <xf numFmtId="37" fontId="3" fillId="2" borderId="0" xfId="0" applyFont="1" applyFill="1" applyAlignment="1" applyProtection="1">
      <alignment horizontal="centerContinuous"/>
      <protection locked="0"/>
    </xf>
    <xf numFmtId="37" fontId="1" fillId="2" borderId="15" xfId="0" applyNumberFormat="1" applyFont="1" applyFill="1" applyBorder="1" applyAlignment="1" applyProtection="1">
      <alignment/>
      <protection/>
    </xf>
    <xf numFmtId="37" fontId="3" fillId="2" borderId="15" xfId="0" applyNumberFormat="1" applyFont="1" applyFill="1" applyBorder="1" applyAlignment="1" applyProtection="1">
      <alignment/>
      <protection locked="0"/>
    </xf>
    <xf numFmtId="37" fontId="3" fillId="2" borderId="0" xfId="0" applyNumberFormat="1" applyFont="1" applyFill="1" applyAlignment="1" applyProtection="1">
      <alignment horizontal="centerContinuous"/>
      <protection locked="0"/>
    </xf>
    <xf numFmtId="164" fontId="1" fillId="2" borderId="0" xfId="0" applyNumberFormat="1" applyFont="1" applyFill="1" applyAlignment="1" applyProtection="1">
      <alignment horizontal="center"/>
      <protection/>
    </xf>
    <xf numFmtId="37" fontId="1" fillId="2" borderId="14" xfId="0" applyFont="1" applyFill="1" applyBorder="1" applyAlignment="1" applyProtection="1">
      <alignment horizontal="center"/>
      <protection/>
    </xf>
    <xf numFmtId="37" fontId="6" fillId="0" borderId="0" xfId="0" applyFont="1" applyAlignment="1" applyProtection="1">
      <alignment/>
      <protection locked="0"/>
    </xf>
    <xf numFmtId="164" fontId="4" fillId="2" borderId="0" xfId="0" applyNumberFormat="1" applyFont="1" applyFill="1" applyAlignment="1" applyProtection="1">
      <alignment horizontal="center"/>
      <protection/>
    </xf>
    <xf numFmtId="37" fontId="4" fillId="2" borderId="14" xfId="0" applyFont="1" applyFill="1" applyBorder="1" applyAlignment="1" applyProtection="1">
      <alignment horizontal="center"/>
      <protection/>
    </xf>
    <xf numFmtId="164" fontId="3" fillId="2" borderId="0" xfId="0" applyNumberFormat="1" applyFont="1" applyFill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/>
      <protection locked="0"/>
    </xf>
    <xf numFmtId="164" fontId="3" fillId="2" borderId="15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37" fontId="5" fillId="2" borderId="0" xfId="0" applyFont="1" applyFill="1" applyAlignment="1" applyProtection="1">
      <alignment horizontal="center"/>
      <protection/>
    </xf>
    <xf numFmtId="5" fontId="1" fillId="2" borderId="0" xfId="0" applyNumberFormat="1" applyFont="1" applyFill="1" applyAlignment="1" applyProtection="1">
      <alignment/>
      <protection/>
    </xf>
    <xf numFmtId="37" fontId="1" fillId="2" borderId="0" xfId="0" applyNumberFormat="1" applyFont="1" applyFill="1" applyAlignment="1" applyProtection="1">
      <alignment/>
      <protection/>
    </xf>
    <xf numFmtId="37" fontId="1" fillId="2" borderId="14" xfId="0" applyNumberFormat="1" applyFont="1" applyFill="1" applyBorder="1" applyAlignment="1" applyProtection="1">
      <alignment/>
      <protection/>
    </xf>
    <xf numFmtId="37" fontId="1" fillId="2" borderId="0" xfId="0" applyNumberFormat="1" applyFont="1" applyFill="1" applyAlignment="1" applyProtection="1">
      <alignment horizontal="centerContinuous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/>
      <protection/>
    </xf>
    <xf numFmtId="5" fontId="1" fillId="2" borderId="14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 horizontal="centerContinuous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164" fontId="4" fillId="2" borderId="0" xfId="0" applyNumberFormat="1" applyFont="1" applyFill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3" fillId="2" borderId="14" xfId="0" applyNumberFormat="1" applyFont="1" applyFill="1" applyBorder="1" applyAlignment="1" applyProtection="1">
      <alignment/>
      <protection locked="0"/>
    </xf>
    <xf numFmtId="37" fontId="7" fillId="2" borderId="16" xfId="0" applyNumberFormat="1" applyFont="1" applyFill="1" applyBorder="1" applyAlignment="1" applyProtection="1">
      <alignment/>
      <protection/>
    </xf>
    <xf numFmtId="164" fontId="7" fillId="2" borderId="0" xfId="0" applyNumberFormat="1" applyFont="1" applyFill="1" applyAlignment="1" applyProtection="1">
      <alignment/>
      <protection/>
    </xf>
    <xf numFmtId="37" fontId="7" fillId="2" borderId="14" xfId="0" applyNumberFormat="1" applyFont="1" applyFill="1" applyBorder="1" applyAlignment="1" applyProtection="1">
      <alignment/>
      <protection/>
    </xf>
    <xf numFmtId="7" fontId="1" fillId="2" borderId="14" xfId="0" applyNumberFormat="1" applyFont="1" applyFill="1" applyBorder="1" applyAlignment="1" applyProtection="1">
      <alignment/>
      <protection/>
    </xf>
    <xf numFmtId="37" fontId="7" fillId="2" borderId="0" xfId="0" applyNumberFormat="1" applyFont="1" applyFill="1" applyAlignment="1" applyProtection="1">
      <alignment/>
      <protection/>
    </xf>
    <xf numFmtId="37" fontId="1" fillId="2" borderId="0" xfId="0" applyFont="1" applyFill="1" applyAlignment="1" applyProtection="1">
      <alignment vertical="top"/>
      <protection/>
    </xf>
    <xf numFmtId="37" fontId="1" fillId="2" borderId="0" xfId="0" applyFont="1" applyFill="1" applyAlignment="1" applyProtection="1">
      <alignment horizontal="center" vertical="top"/>
      <protection/>
    </xf>
    <xf numFmtId="164" fontId="5" fillId="2" borderId="0" xfId="0" applyNumberFormat="1" applyFont="1" applyFill="1" applyAlignment="1" applyProtection="1">
      <alignment horizontal="center"/>
      <protection/>
    </xf>
    <xf numFmtId="164" fontId="3" fillId="2" borderId="0" xfId="0" applyNumberFormat="1" applyFont="1" applyFill="1" applyAlignment="1" applyProtection="1">
      <alignment/>
      <protection locked="0"/>
    </xf>
    <xf numFmtId="164" fontId="1" fillId="2" borderId="15" xfId="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Alignment="1" applyProtection="1">
      <alignment horizontal="centerContinuous"/>
      <protection locked="0"/>
    </xf>
    <xf numFmtId="37" fontId="1" fillId="0" borderId="14" xfId="0" applyFont="1" applyBorder="1" applyAlignment="1" applyProtection="1">
      <alignment horizontal="center"/>
      <protection/>
    </xf>
    <xf numFmtId="165" fontId="1" fillId="2" borderId="15" xfId="0" applyNumberFormat="1" applyFont="1" applyFill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center"/>
      <protection/>
    </xf>
    <xf numFmtId="37" fontId="4" fillId="0" borderId="14" xfId="0" applyFont="1" applyBorder="1" applyAlignment="1" applyProtection="1">
      <alignment horizontal="center"/>
      <protection/>
    </xf>
    <xf numFmtId="37" fontId="1" fillId="3" borderId="0" xfId="0" applyFont="1" applyFill="1" applyAlignment="1" applyProtection="1">
      <alignment/>
      <protection/>
    </xf>
    <xf numFmtId="37" fontId="8" fillId="3" borderId="0" xfId="0" applyNumberFormat="1" applyFont="1" applyFill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2" borderId="0" xfId="0" applyFont="1" applyFill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7" fillId="0" borderId="3" xfId="0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4" borderId="11" xfId="0" applyNumberFormat="1" applyFont="1" applyFill="1" applyBorder="1" applyAlignment="1" applyProtection="1">
      <alignment horizontal="center"/>
      <protection/>
    </xf>
    <xf numFmtId="37" fontId="7" fillId="4" borderId="11" xfId="0" applyFont="1" applyFill="1" applyBorder="1" applyAlignment="1" applyProtection="1">
      <alignment/>
      <protection/>
    </xf>
    <xf numFmtId="37" fontId="7" fillId="0" borderId="8" xfId="0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 horizontal="right"/>
      <protection/>
    </xf>
    <xf numFmtId="37" fontId="7" fillId="0" borderId="10" xfId="0" applyNumberFormat="1" applyFont="1" applyBorder="1" applyAlignment="1" applyProtection="1">
      <alignment horizontal="right"/>
      <protection/>
    </xf>
    <xf numFmtId="37" fontId="7" fillId="4" borderId="11" xfId="0" applyNumberFormat="1" applyFont="1" applyFill="1" applyBorder="1" applyAlignment="1" applyProtection="1">
      <alignment horizontal="right"/>
      <protection/>
    </xf>
    <xf numFmtId="37" fontId="7" fillId="0" borderId="14" xfId="0" applyFont="1" applyBorder="1" applyAlignment="1" applyProtection="1">
      <alignment/>
      <protection/>
    </xf>
    <xf numFmtId="37" fontId="7" fillId="4" borderId="0" xfId="0" applyFont="1" applyFill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 locked="0"/>
    </xf>
    <xf numFmtId="37" fontId="1" fillId="4" borderId="0" xfId="0" applyNumberFormat="1" applyFont="1" applyFill="1" applyAlignment="1" applyProtection="1">
      <alignment/>
      <protection/>
    </xf>
    <xf numFmtId="37" fontId="1" fillId="0" borderId="8" xfId="0" applyFont="1" applyBorder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 locked="0"/>
    </xf>
    <xf numFmtId="37" fontId="3" fillId="0" borderId="17" xfId="0" applyNumberFormat="1" applyFont="1" applyBorder="1" applyAlignment="1" applyProtection="1">
      <alignment/>
      <protection locked="0"/>
    </xf>
    <xf numFmtId="37" fontId="1" fillId="4" borderId="8" xfId="0" applyNumberFormat="1" applyFont="1" applyFill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 locked="0"/>
    </xf>
    <xf numFmtId="37" fontId="1" fillId="4" borderId="3" xfId="0" applyNumberFormat="1" applyFont="1" applyFill="1" applyBorder="1" applyAlignment="1" applyProtection="1">
      <alignment/>
      <protection/>
    </xf>
    <xf numFmtId="37" fontId="1" fillId="0" borderId="14" xfId="0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 locked="0"/>
    </xf>
    <xf numFmtId="37" fontId="1" fillId="0" borderId="17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 locked="0"/>
    </xf>
    <xf numFmtId="37" fontId="3" fillId="0" borderId="3" xfId="0" applyNumberFormat="1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 locked="0"/>
    </xf>
    <xf numFmtId="37" fontId="9" fillId="0" borderId="0" xfId="0" applyFont="1" applyAlignment="1" applyProtection="1">
      <alignment/>
      <protection locked="0"/>
    </xf>
    <xf numFmtId="37" fontId="8" fillId="2" borderId="0" xfId="0" applyFont="1" applyFill="1" applyAlignment="1" applyProtection="1">
      <alignment/>
      <protection/>
    </xf>
    <xf numFmtId="37" fontId="10" fillId="0" borderId="0" xfId="0" applyFont="1" applyAlignment="1" applyProtection="1">
      <alignment/>
      <protection/>
    </xf>
    <xf numFmtId="37" fontId="10" fillId="0" borderId="8" xfId="0" applyFont="1" applyBorder="1" applyAlignment="1" applyProtection="1">
      <alignment/>
      <protection/>
    </xf>
    <xf numFmtId="37" fontId="8" fillId="0" borderId="8" xfId="0" applyFont="1" applyBorder="1" applyAlignment="1" applyProtection="1">
      <alignment/>
      <protection/>
    </xf>
    <xf numFmtId="37" fontId="10" fillId="0" borderId="5" xfId="0" applyFont="1" applyBorder="1" applyAlignment="1" applyProtection="1">
      <alignment/>
      <protection/>
    </xf>
    <xf numFmtId="37" fontId="10" fillId="0" borderId="3" xfId="0" applyFont="1" applyBorder="1" applyAlignment="1" applyProtection="1">
      <alignment/>
      <protection/>
    </xf>
    <xf numFmtId="37" fontId="8" fillId="0" borderId="3" xfId="0" applyFont="1" applyBorder="1" applyAlignment="1" applyProtection="1">
      <alignment/>
      <protection/>
    </xf>
    <xf numFmtId="37" fontId="10" fillId="0" borderId="14" xfId="0" applyFont="1" applyBorder="1" applyAlignment="1" applyProtection="1">
      <alignment/>
      <protection/>
    </xf>
    <xf numFmtId="37" fontId="8" fillId="0" borderId="14" xfId="0" applyFont="1" applyBorder="1" applyAlignment="1" applyProtection="1">
      <alignment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5" xfId="0" applyNumberFormat="1" applyFont="1" applyBorder="1" applyAlignment="1" applyProtection="1">
      <alignment horizontal="centerContinuous"/>
      <protection/>
    </xf>
    <xf numFmtId="37" fontId="10" fillId="0" borderId="3" xfId="0" applyFont="1" applyBorder="1" applyAlignment="1" applyProtection="1">
      <alignment horizontal="centerContinuous"/>
      <protection/>
    </xf>
    <xf numFmtId="37" fontId="10" fillId="0" borderId="5" xfId="0" applyFont="1" applyBorder="1" applyAlignment="1" applyProtection="1">
      <alignment horizontal="centerContinuous"/>
      <protection/>
    </xf>
    <xf numFmtId="37" fontId="13" fillId="0" borderId="8" xfId="0" applyNumberFormat="1" applyFont="1" applyBorder="1" applyAlignment="1" applyProtection="1">
      <alignment/>
      <protection locked="0"/>
    </xf>
    <xf numFmtId="37" fontId="10" fillId="0" borderId="8" xfId="0" applyNumberFormat="1" applyFont="1" applyBorder="1" applyAlignment="1" applyProtection="1">
      <alignment/>
      <protection/>
    </xf>
    <xf numFmtId="37" fontId="10" fillId="0" borderId="11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 locked="0"/>
    </xf>
    <xf numFmtId="37" fontId="14" fillId="0" borderId="0" xfId="0" applyFont="1" applyAlignment="1" applyProtection="1">
      <alignment/>
      <protection/>
    </xf>
    <xf numFmtId="37" fontId="14" fillId="0" borderId="14" xfId="0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64" fontId="10" fillId="0" borderId="8" xfId="0" applyNumberFormat="1" applyFont="1" applyBorder="1" applyAlignment="1" applyProtection="1">
      <alignment/>
      <protection/>
    </xf>
    <xf numFmtId="39" fontId="8" fillId="0" borderId="0" xfId="0" applyNumberFormat="1" applyFont="1" applyAlignment="1" applyProtection="1">
      <alignment/>
      <protection/>
    </xf>
    <xf numFmtId="37" fontId="15" fillId="0" borderId="0" xfId="0" applyFont="1" applyAlignment="1" applyProtection="1">
      <alignment horizontal="centerContinuous"/>
      <protection/>
    </xf>
    <xf numFmtId="37" fontId="16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 horizontal="centerContinuous"/>
      <protection/>
    </xf>
    <xf numFmtId="37" fontId="11" fillId="0" borderId="3" xfId="0" applyFont="1" applyBorder="1" applyAlignment="1" applyProtection="1">
      <alignment horizontal="left"/>
      <protection/>
    </xf>
    <xf numFmtId="37" fontId="17" fillId="0" borderId="3" xfId="0" applyNumberFormat="1" applyFont="1" applyBorder="1" applyAlignment="1" applyProtection="1">
      <alignment horizontal="center"/>
      <protection/>
    </xf>
    <xf numFmtId="37" fontId="17" fillId="0" borderId="3" xfId="0" applyFont="1" applyBorder="1" applyAlignment="1" applyProtection="1">
      <alignment horizontal="center"/>
      <protection/>
    </xf>
    <xf numFmtId="37" fontId="11" fillId="0" borderId="8" xfId="0" applyFont="1" applyBorder="1" applyAlignment="1" applyProtection="1">
      <alignment horizontal="left"/>
      <protection/>
    </xf>
    <xf numFmtId="37" fontId="17" fillId="0" borderId="8" xfId="0" applyNumberFormat="1" applyFont="1" applyBorder="1" applyAlignment="1" applyProtection="1">
      <alignment horizontal="center"/>
      <protection/>
    </xf>
    <xf numFmtId="37" fontId="17" fillId="0" borderId="8" xfId="0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5" fontId="10" fillId="0" borderId="0" xfId="0" applyNumberFormat="1" applyFont="1" applyAlignment="1" applyProtection="1">
      <alignment horizontal="right"/>
      <protection/>
    </xf>
    <xf numFmtId="5" fontId="16" fillId="0" borderId="0" xfId="0" applyNumberFormat="1" applyFont="1" applyAlignment="1" applyProtection="1">
      <alignment horizontal="center"/>
      <protection/>
    </xf>
    <xf numFmtId="37" fontId="16" fillId="0" borderId="0" xfId="0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left"/>
      <protection locked="0"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5" fontId="10" fillId="0" borderId="8" xfId="0" applyNumberFormat="1" applyFont="1" applyBorder="1" applyAlignment="1" applyProtection="1">
      <alignment horizontal="right"/>
      <protection/>
    </xf>
    <xf numFmtId="37" fontId="16" fillId="0" borderId="8" xfId="0" applyFont="1" applyBorder="1" applyAlignment="1" applyProtection="1">
      <alignment horizontal="center"/>
      <protection/>
    </xf>
    <xf numFmtId="37" fontId="10" fillId="0" borderId="0" xfId="0" applyFont="1" applyAlignment="1" applyProtection="1">
      <alignment horizontal="left"/>
      <protection/>
    </xf>
    <xf numFmtId="37" fontId="10" fillId="0" borderId="0" xfId="0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37" fontId="16" fillId="0" borderId="0" xfId="0" applyFont="1" applyAlignment="1" applyProtection="1">
      <alignment/>
      <protection/>
    </xf>
    <xf numFmtId="37" fontId="16" fillId="0" borderId="0" xfId="0" applyNumberFormat="1" applyFont="1" applyAlignment="1" applyProtection="1">
      <alignment horizontal="centerContinuous"/>
      <protection/>
    </xf>
    <xf numFmtId="37" fontId="17" fillId="0" borderId="11" xfId="0" applyNumberFormat="1" applyFont="1" applyBorder="1" applyAlignment="1" applyProtection="1">
      <alignment horizontal="right"/>
      <protection/>
    </xf>
    <xf numFmtId="37" fontId="17" fillId="0" borderId="11" xfId="0" applyFont="1" applyBorder="1" applyAlignment="1" applyProtection="1">
      <alignment horizontal="right"/>
      <protection/>
    </xf>
    <xf numFmtId="37" fontId="17" fillId="0" borderId="11" xfId="0" applyFont="1" applyBorder="1" applyAlignment="1" applyProtection="1">
      <alignment horizontal="center"/>
      <protection/>
    </xf>
    <xf numFmtId="37" fontId="17" fillId="0" borderId="0" xfId="0" applyFont="1" applyAlignment="1" applyProtection="1">
      <alignment horizontal="left"/>
      <protection/>
    </xf>
    <xf numFmtId="37" fontId="11" fillId="0" borderId="0" xfId="0" applyFont="1" applyAlignment="1" applyProtection="1">
      <alignment/>
      <protection/>
    </xf>
    <xf numFmtId="37" fontId="17" fillId="0" borderId="8" xfId="0" applyFont="1" applyBorder="1" applyAlignment="1" applyProtection="1">
      <alignment horizontal="centerContinuous"/>
      <protection/>
    </xf>
    <xf numFmtId="37" fontId="17" fillId="0" borderId="8" xfId="0" applyNumberFormat="1" applyFont="1" applyBorder="1" applyAlignment="1" applyProtection="1">
      <alignment horizontal="centerContinuous"/>
      <protection/>
    </xf>
    <xf numFmtId="37" fontId="17" fillId="0" borderId="8" xfId="0" applyFont="1" applyBorder="1" applyAlignment="1" applyProtection="1">
      <alignment horizontal="left"/>
      <protection/>
    </xf>
    <xf numFmtId="37" fontId="17" fillId="0" borderId="8" xfId="0" applyNumberFormat="1" applyFont="1" applyBorder="1" applyAlignment="1" applyProtection="1">
      <alignment horizontal="left"/>
      <protection/>
    </xf>
    <xf numFmtId="5" fontId="16" fillId="0" borderId="0" xfId="0" applyNumberFormat="1" applyFont="1" applyAlignment="1" applyProtection="1">
      <alignment horizontal="left"/>
      <protection/>
    </xf>
    <xf numFmtId="37" fontId="10" fillId="0" borderId="0" xfId="0" applyFont="1" applyAlignment="1" applyProtection="1">
      <alignment horizontal="right"/>
      <protection/>
    </xf>
    <xf numFmtId="37" fontId="16" fillId="0" borderId="0" xfId="0" applyFont="1" applyAlignment="1" applyProtection="1">
      <alignment horizontal="left"/>
      <protection/>
    </xf>
    <xf numFmtId="37" fontId="16" fillId="0" borderId="0" xfId="0" applyNumberFormat="1" applyFont="1" applyAlignment="1" applyProtection="1">
      <alignment horizontal="center"/>
      <protection/>
    </xf>
    <xf numFmtId="37" fontId="16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37" fontId="16" fillId="0" borderId="0" xfId="0" applyNumberFormat="1" applyFont="1" applyAlignment="1" applyProtection="1">
      <alignment horizontal="right"/>
      <protection/>
    </xf>
    <xf numFmtId="37" fontId="16" fillId="0" borderId="0" xfId="0" applyFont="1" applyAlignment="1" applyProtection="1">
      <alignment horizontal="right"/>
      <protection/>
    </xf>
    <xf numFmtId="37" fontId="15" fillId="0" borderId="0" xfId="0" applyFont="1" applyAlignment="1" applyProtection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37" fontId="17" fillId="0" borderId="11" xfId="0" applyNumberFormat="1" applyFont="1" applyBorder="1" applyAlignment="1" applyProtection="1">
      <alignment horizontal="centerContinuous"/>
      <protection/>
    </xf>
    <xf numFmtId="37" fontId="17" fillId="0" borderId="11" xfId="0" applyFont="1" applyBorder="1" applyAlignment="1" applyProtection="1">
      <alignment horizontal="centerContinuous"/>
      <protection/>
    </xf>
    <xf numFmtId="37" fontId="17" fillId="0" borderId="11" xfId="0" applyNumberFormat="1" applyFont="1" applyBorder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left"/>
      <protection/>
    </xf>
    <xf numFmtId="37" fontId="17" fillId="0" borderId="3" xfId="0" applyNumberFormat="1" applyFont="1" applyBorder="1" applyAlignment="1" applyProtection="1">
      <alignment horizontal="centerContinuous"/>
      <protection/>
    </xf>
    <xf numFmtId="37" fontId="17" fillId="0" borderId="3" xfId="0" applyFont="1" applyBorder="1" applyAlignment="1" applyProtection="1">
      <alignment horizontal="centerContinuous"/>
      <protection/>
    </xf>
    <xf numFmtId="37" fontId="10" fillId="0" borderId="8" xfId="0" applyFont="1" applyBorder="1" applyAlignment="1" applyProtection="1">
      <alignment horizontal="left"/>
      <protection/>
    </xf>
    <xf numFmtId="37" fontId="10" fillId="0" borderId="3" xfId="0" applyFont="1" applyBorder="1" applyAlignment="1" applyProtection="1">
      <alignment horizontal="left"/>
      <protection/>
    </xf>
    <xf numFmtId="37" fontId="18" fillId="0" borderId="0" xfId="0" applyFont="1" applyAlignment="1" applyProtection="1">
      <alignment horizontal="right"/>
      <protection/>
    </xf>
    <xf numFmtId="37" fontId="17" fillId="0" borderId="3" xfId="0" applyFont="1" applyBorder="1" applyAlignment="1" applyProtection="1">
      <alignment horizontal="left"/>
      <protection/>
    </xf>
    <xf numFmtId="37" fontId="0" fillId="0" borderId="8" xfId="0" applyFont="1" applyBorder="1" applyAlignment="1" applyProtection="1">
      <alignment horizontal="left"/>
      <protection/>
    </xf>
    <xf numFmtId="37" fontId="17" fillId="0" borderId="3" xfId="0" applyNumberFormat="1" applyFont="1" applyBorder="1" applyAlignment="1" applyProtection="1">
      <alignment horizontal="left"/>
      <protection/>
    </xf>
    <xf numFmtId="37" fontId="11" fillId="0" borderId="0" xfId="0" applyFont="1" applyAlignment="1" applyProtection="1">
      <alignment horizontal="left"/>
      <protection/>
    </xf>
    <xf numFmtId="5" fontId="16" fillId="0" borderId="0" xfId="0" applyNumberFormat="1" applyFont="1" applyAlignment="1" applyProtection="1">
      <alignment horizontal="right"/>
      <protection/>
    </xf>
    <xf numFmtId="37" fontId="10" fillId="0" borderId="8" xfId="0" applyFont="1" applyBorder="1" applyAlignment="1" applyProtection="1">
      <alignment horizontal="centerContinuous"/>
      <protection/>
    </xf>
    <xf numFmtId="37" fontId="19" fillId="0" borderId="0" xfId="0" applyFont="1" applyAlignment="1" applyProtection="1">
      <alignment horizontal="centerContinuous"/>
      <protection/>
    </xf>
    <xf numFmtId="37" fontId="1" fillId="0" borderId="0" xfId="0" applyFont="1" applyAlignment="1" applyProtection="1">
      <alignment horizontal="centerContinuous"/>
      <protection/>
    </xf>
    <xf numFmtId="37" fontId="20" fillId="0" borderId="4" xfId="0" applyFont="1" applyBorder="1" applyAlignment="1" applyProtection="1">
      <alignment/>
      <protection/>
    </xf>
    <xf numFmtId="37" fontId="20" fillId="0" borderId="3" xfId="0" applyFont="1" applyBorder="1" applyAlignment="1" applyProtection="1">
      <alignment/>
      <protection/>
    </xf>
    <xf numFmtId="37" fontId="21" fillId="0" borderId="15" xfId="0" applyFont="1" applyBorder="1" applyAlignment="1" applyProtection="1">
      <alignment horizontal="centerContinuous"/>
      <protection/>
    </xf>
    <xf numFmtId="37" fontId="21" fillId="0" borderId="0" xfId="0" applyFont="1" applyAlignment="1" applyProtection="1">
      <alignment horizontal="centerContinuous"/>
      <protection/>
    </xf>
    <xf numFmtId="37" fontId="20" fillId="0" borderId="18" xfId="0" applyFont="1" applyBorder="1" applyAlignment="1" applyProtection="1">
      <alignment/>
      <protection/>
    </xf>
    <xf numFmtId="37" fontId="20" fillId="0" borderId="8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38100</xdr:rowOff>
    </xdr:from>
    <xdr:to>
      <xdr:col>2</xdr:col>
      <xdr:colOff>19050</xdr:colOff>
      <xdr:row>10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295400" y="1285875"/>
          <a:ext cx="190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Swis721 Cn BT"/>
              <a:ea typeface="Swis721 Cn BT"/>
              <a:cs typeface="Swis721 Cn BT"/>
            </a:rPr>
            <a:t>Public Institutions, SREB States, 1994-95
(thousands)</a:t>
          </a:r>
        </a:p>
      </xdr:txBody>
    </xdr:sp>
    <xdr:clientData fLocksWithSheet="0"/>
  </xdr:twoCellAnchor>
  <xdr:twoCellAnchor>
    <xdr:from>
      <xdr:col>0</xdr:col>
      <xdr:colOff>152400</xdr:colOff>
      <xdr:row>7</xdr:row>
      <xdr:rowOff>38100</xdr:rowOff>
    </xdr:from>
    <xdr:to>
      <xdr:col>1</xdr:col>
      <xdr:colOff>371475</xdr:colOff>
      <xdr:row>47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52400" y="1447800"/>
          <a:ext cx="866775" cy="6534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46</xdr:row>
      <xdr:rowOff>47625</xdr:rowOff>
    </xdr:from>
    <xdr:to>
      <xdr:col>1</xdr:col>
      <xdr:colOff>0</xdr:colOff>
      <xdr:row>48</xdr:row>
      <xdr:rowOff>95250</xdr:rowOff>
    </xdr:to>
    <xdr:sp>
      <xdr:nvSpPr>
        <xdr:cNvPr id="3" name="Oval 3"/>
        <xdr:cNvSpPr>
          <a:spLocks/>
        </xdr:cNvSpPr>
      </xdr:nvSpPr>
      <xdr:spPr>
        <a:xfrm>
          <a:off x="1295400" y="7772400"/>
          <a:ext cx="0" cy="3714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49</xdr:row>
      <xdr:rowOff>38100</xdr:rowOff>
    </xdr:from>
    <xdr:to>
      <xdr:col>2</xdr:col>
      <xdr:colOff>19050</xdr:colOff>
      <xdr:row>50</xdr:row>
      <xdr:rowOff>95250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1295400" y="824865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2</xdr:col>
      <xdr:colOff>0</xdr:colOff>
      <xdr:row>49</xdr:row>
      <xdr:rowOff>0</xdr:rowOff>
    </xdr:from>
    <xdr:to>
      <xdr:col>2</xdr:col>
      <xdr:colOff>19050</xdr:colOff>
      <xdr:row>50</xdr:row>
      <xdr:rowOff>114300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295400" y="82105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774"/>
  <sheetViews>
    <sheetView showGridLines="0" tabSelected="1" defaultGridColor="0" zoomScale="75" zoomScaleNormal="75" colorId="22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7109375" defaultRowHeight="12.75"/>
  <cols>
    <col min="1" max="1" width="3.7109375" style="2" customWidth="1"/>
    <col min="2" max="2" width="5.7109375" style="2" customWidth="1"/>
    <col min="3" max="3" width="6.7109375" style="2" customWidth="1"/>
    <col min="4" max="4" width="3.7109375" style="3" customWidth="1"/>
    <col min="5" max="5" width="6.7109375" style="2" customWidth="1"/>
    <col min="6" max="6" width="7.7109375" style="2" customWidth="1"/>
    <col min="7" max="7" width="6.7109375" style="2" customWidth="1"/>
    <col min="8" max="8" width="7.7109375" style="2" customWidth="1"/>
    <col min="9" max="20" width="6.7109375" style="2" customWidth="1"/>
    <col min="21" max="21" width="7.7109375" style="2" customWidth="1"/>
    <col min="22" max="23" width="6.7109375" style="2" customWidth="1"/>
    <col min="24" max="24" width="8.7109375" style="2" customWidth="1"/>
    <col min="25" max="25" width="6.7109375" style="2" customWidth="1"/>
    <col min="26" max="26" width="7.7109375" style="2" customWidth="1"/>
    <col min="27" max="28" width="6.7109375" style="2" customWidth="1"/>
    <col min="29" max="74" width="9.7109375" style="2" customWidth="1"/>
  </cols>
  <sheetData>
    <row r="1" spans="1:17" ht="12.75">
      <c r="A1" s="1" t="s">
        <v>0</v>
      </c>
      <c r="P1" s="4"/>
      <c r="Q1" s="5" t="s">
        <v>1</v>
      </c>
    </row>
    <row r="2" spans="16:17" ht="12.75">
      <c r="P2" s="4"/>
      <c r="Q2" s="6"/>
    </row>
    <row r="3" spans="1:28" ht="12.75">
      <c r="A3" s="7"/>
      <c r="B3" s="7"/>
      <c r="C3" s="7"/>
      <c r="D3" s="8"/>
      <c r="E3" s="9" t="s">
        <v>2</v>
      </c>
      <c r="F3" s="10"/>
      <c r="G3" s="11" t="s">
        <v>3</v>
      </c>
      <c r="H3" s="10"/>
      <c r="I3" s="11" t="s">
        <v>4</v>
      </c>
      <c r="J3" s="10"/>
      <c r="K3" s="11" t="s">
        <v>5</v>
      </c>
      <c r="L3" s="10"/>
      <c r="M3" s="11" t="s">
        <v>6</v>
      </c>
      <c r="N3" s="10"/>
      <c r="O3" s="11" t="s">
        <v>7</v>
      </c>
      <c r="P3" s="12"/>
      <c r="Q3" s="13" t="s">
        <v>2</v>
      </c>
      <c r="R3" s="10"/>
      <c r="S3" s="11" t="s">
        <v>3</v>
      </c>
      <c r="T3" s="10"/>
      <c r="U3" s="11" t="s">
        <v>4</v>
      </c>
      <c r="V3" s="10"/>
      <c r="W3" s="11" t="s">
        <v>5</v>
      </c>
      <c r="X3" s="10"/>
      <c r="Y3" s="11" t="s">
        <v>6</v>
      </c>
      <c r="Z3" s="10"/>
      <c r="AA3" s="11" t="s">
        <v>7</v>
      </c>
      <c r="AB3" s="10"/>
    </row>
    <row r="4" spans="1:28" ht="12.75">
      <c r="A4" s="14" t="s">
        <v>8</v>
      </c>
      <c r="B4" s="14" t="s">
        <v>9</v>
      </c>
      <c r="C4" s="15" t="s">
        <v>10</v>
      </c>
      <c r="D4" s="15" t="s">
        <v>11</v>
      </c>
      <c r="E4" s="16" t="s">
        <v>12</v>
      </c>
      <c r="F4" s="17" t="s">
        <v>13</v>
      </c>
      <c r="G4" s="18" t="s">
        <v>12</v>
      </c>
      <c r="H4" s="17" t="s">
        <v>13</v>
      </c>
      <c r="I4" s="18" t="s">
        <v>12</v>
      </c>
      <c r="J4" s="17" t="s">
        <v>13</v>
      </c>
      <c r="K4" s="18" t="s">
        <v>12</v>
      </c>
      <c r="L4" s="17" t="s">
        <v>13</v>
      </c>
      <c r="M4" s="18" t="s">
        <v>12</v>
      </c>
      <c r="N4" s="17" t="s">
        <v>13</v>
      </c>
      <c r="O4" s="18" t="s">
        <v>12</v>
      </c>
      <c r="P4" s="19" t="s">
        <v>13</v>
      </c>
      <c r="Q4" s="20" t="s">
        <v>12</v>
      </c>
      <c r="R4" s="17" t="s">
        <v>13</v>
      </c>
      <c r="S4" s="18" t="s">
        <v>12</v>
      </c>
      <c r="T4" s="17" t="s">
        <v>13</v>
      </c>
      <c r="U4" s="18" t="s">
        <v>12</v>
      </c>
      <c r="V4" s="17" t="s">
        <v>13</v>
      </c>
      <c r="W4" s="18" t="s">
        <v>12</v>
      </c>
      <c r="X4" s="17" t="s">
        <v>13</v>
      </c>
      <c r="Y4" s="18" t="s">
        <v>12</v>
      </c>
      <c r="Z4" s="17" t="s">
        <v>13</v>
      </c>
      <c r="AA4" s="18" t="s">
        <v>12</v>
      </c>
      <c r="AB4" s="17" t="s">
        <v>13</v>
      </c>
    </row>
    <row r="5" spans="1:29" ht="12.75">
      <c r="A5" s="21" t="s">
        <v>14</v>
      </c>
      <c r="B5" s="21" t="s">
        <v>15</v>
      </c>
      <c r="C5" s="22">
        <v>100858</v>
      </c>
      <c r="D5" s="22">
        <v>1</v>
      </c>
      <c r="E5" s="21">
        <v>223</v>
      </c>
      <c r="F5" s="21">
        <v>62899</v>
      </c>
      <c r="G5" s="21">
        <v>275</v>
      </c>
      <c r="H5" s="21">
        <v>46739</v>
      </c>
      <c r="I5" s="21">
        <v>153</v>
      </c>
      <c r="J5" s="21">
        <v>40739</v>
      </c>
      <c r="K5" s="21">
        <v>56</v>
      </c>
      <c r="L5" s="21">
        <v>26626</v>
      </c>
      <c r="M5" s="23">
        <v>17</v>
      </c>
      <c r="N5" s="23">
        <v>30426</v>
      </c>
      <c r="O5" s="23"/>
      <c r="P5" s="24"/>
      <c r="Q5" s="25">
        <v>197</v>
      </c>
      <c r="R5" s="23">
        <v>78323</v>
      </c>
      <c r="S5" s="23">
        <v>146</v>
      </c>
      <c r="T5" s="23">
        <v>59596</v>
      </c>
      <c r="U5" s="23">
        <v>63</v>
      </c>
      <c r="V5" s="23">
        <v>51575</v>
      </c>
      <c r="W5" s="23">
        <v>8</v>
      </c>
      <c r="X5" s="23">
        <v>33475</v>
      </c>
      <c r="Y5" s="23">
        <v>7</v>
      </c>
      <c r="Z5" s="26">
        <v>45980</v>
      </c>
      <c r="AA5" s="27"/>
      <c r="AB5" s="24"/>
      <c r="AC5" s="21"/>
    </row>
    <row r="6" spans="1:29" ht="12.75">
      <c r="A6" s="21" t="s">
        <v>14</v>
      </c>
      <c r="B6" s="21" t="s">
        <v>16</v>
      </c>
      <c r="C6" s="22">
        <v>100751</v>
      </c>
      <c r="D6" s="22">
        <v>1</v>
      </c>
      <c r="E6" s="28">
        <v>247</v>
      </c>
      <c r="F6" s="23">
        <v>66344</v>
      </c>
      <c r="G6" s="28">
        <v>236</v>
      </c>
      <c r="H6" s="23">
        <v>48882</v>
      </c>
      <c r="I6" s="28">
        <v>155</v>
      </c>
      <c r="J6" s="23">
        <v>40307</v>
      </c>
      <c r="K6" s="23">
        <v>73</v>
      </c>
      <c r="L6" s="23">
        <v>27985</v>
      </c>
      <c r="M6" s="23">
        <v>6</v>
      </c>
      <c r="N6" s="23">
        <v>32499</v>
      </c>
      <c r="O6" s="21"/>
      <c r="P6" s="24"/>
      <c r="Q6" s="25">
        <v>13</v>
      </c>
      <c r="R6" s="23">
        <v>79645</v>
      </c>
      <c r="S6" s="23">
        <v>5</v>
      </c>
      <c r="T6" s="23">
        <v>58859</v>
      </c>
      <c r="U6" s="23">
        <v>3</v>
      </c>
      <c r="V6" s="23">
        <v>61633</v>
      </c>
      <c r="W6" s="23">
        <v>12</v>
      </c>
      <c r="X6" s="23">
        <v>27535</v>
      </c>
      <c r="Y6" s="23"/>
      <c r="Z6" s="26"/>
      <c r="AA6" s="27"/>
      <c r="AB6" s="24"/>
      <c r="AC6" s="21"/>
    </row>
    <row r="7" spans="1:29" ht="12.75">
      <c r="A7" s="21" t="s">
        <v>14</v>
      </c>
      <c r="B7" s="29" t="s">
        <v>17</v>
      </c>
      <c r="C7" s="30">
        <v>100663</v>
      </c>
      <c r="D7" s="30">
        <v>2</v>
      </c>
      <c r="E7" s="28">
        <v>61</v>
      </c>
      <c r="F7" s="23">
        <v>65560</v>
      </c>
      <c r="G7" s="28">
        <v>149</v>
      </c>
      <c r="H7" s="23">
        <v>47786</v>
      </c>
      <c r="I7" s="28">
        <v>75</v>
      </c>
      <c r="J7" s="23">
        <v>40023</v>
      </c>
      <c r="K7" s="28">
        <v>21</v>
      </c>
      <c r="L7" s="23">
        <v>29519</v>
      </c>
      <c r="M7" s="28">
        <v>2</v>
      </c>
      <c r="N7" s="23">
        <v>33763</v>
      </c>
      <c r="O7" s="21"/>
      <c r="P7" s="24"/>
      <c r="Q7" s="25">
        <v>61</v>
      </c>
      <c r="R7" s="23">
        <v>94046</v>
      </c>
      <c r="S7" s="23">
        <v>39</v>
      </c>
      <c r="T7" s="23">
        <v>64483</v>
      </c>
      <c r="U7" s="23">
        <v>36</v>
      </c>
      <c r="V7" s="23">
        <v>52880</v>
      </c>
      <c r="W7" s="23">
        <v>4</v>
      </c>
      <c r="X7" s="23">
        <v>34722</v>
      </c>
      <c r="Y7" s="23">
        <v>1</v>
      </c>
      <c r="Z7" s="26">
        <v>54350</v>
      </c>
      <c r="AA7" s="27"/>
      <c r="AB7" s="24"/>
      <c r="AC7" s="21"/>
    </row>
    <row r="8" spans="1:29" ht="12.75">
      <c r="A8" s="21" t="s">
        <v>14</v>
      </c>
      <c r="B8" s="21" t="s">
        <v>18</v>
      </c>
      <c r="C8" s="22">
        <v>100654</v>
      </c>
      <c r="D8" s="22">
        <v>3</v>
      </c>
      <c r="E8" s="23">
        <v>73</v>
      </c>
      <c r="F8" s="23">
        <v>46693</v>
      </c>
      <c r="G8" s="28">
        <v>90</v>
      </c>
      <c r="H8" s="23">
        <v>36327</v>
      </c>
      <c r="I8" s="28">
        <v>107</v>
      </c>
      <c r="J8" s="23">
        <v>37270</v>
      </c>
      <c r="K8" s="23">
        <v>21</v>
      </c>
      <c r="L8" s="23">
        <v>30191</v>
      </c>
      <c r="M8" s="28"/>
      <c r="N8" s="23"/>
      <c r="O8" s="21"/>
      <c r="P8" s="24"/>
      <c r="Q8" s="25"/>
      <c r="R8" s="23"/>
      <c r="S8" s="23"/>
      <c r="T8" s="23"/>
      <c r="U8" s="23"/>
      <c r="V8" s="23"/>
      <c r="W8" s="23"/>
      <c r="X8" s="23"/>
      <c r="Y8" s="23"/>
      <c r="Z8" s="26"/>
      <c r="AA8" s="27"/>
      <c r="AB8" s="24"/>
      <c r="AC8" s="21"/>
    </row>
    <row r="9" spans="1:29" ht="12.75">
      <c r="A9" s="21" t="s">
        <v>14</v>
      </c>
      <c r="B9" s="29" t="s">
        <v>19</v>
      </c>
      <c r="C9" s="30">
        <v>101480</v>
      </c>
      <c r="D9" s="30">
        <v>3</v>
      </c>
      <c r="E9" s="28">
        <v>32</v>
      </c>
      <c r="F9" s="23">
        <v>51845</v>
      </c>
      <c r="G9" s="28">
        <v>45</v>
      </c>
      <c r="H9" s="23">
        <v>41201</v>
      </c>
      <c r="I9" s="28">
        <v>49</v>
      </c>
      <c r="J9" s="23">
        <v>38076</v>
      </c>
      <c r="K9" s="28">
        <v>58</v>
      </c>
      <c r="L9" s="23">
        <v>33549</v>
      </c>
      <c r="M9" s="28">
        <v>1</v>
      </c>
      <c r="N9" s="23">
        <v>75909</v>
      </c>
      <c r="O9" s="21"/>
      <c r="P9" s="24"/>
      <c r="Q9" s="25">
        <v>64</v>
      </c>
      <c r="R9" s="23">
        <v>61993</v>
      </c>
      <c r="S9" s="23">
        <v>5</v>
      </c>
      <c r="T9" s="23">
        <v>48356</v>
      </c>
      <c r="U9" s="23">
        <v>1</v>
      </c>
      <c r="V9" s="23">
        <v>52062</v>
      </c>
      <c r="W9" s="23">
        <v>6</v>
      </c>
      <c r="X9" s="23">
        <v>43862</v>
      </c>
      <c r="Y9" s="21"/>
      <c r="Z9" s="24"/>
      <c r="AA9" s="27"/>
      <c r="AB9" s="24"/>
      <c r="AC9" s="21"/>
    </row>
    <row r="10" spans="1:29" ht="12.75">
      <c r="A10" s="21" t="s">
        <v>14</v>
      </c>
      <c r="B10" s="31" t="s">
        <v>20</v>
      </c>
      <c r="C10" s="22">
        <v>100706</v>
      </c>
      <c r="D10" s="22">
        <v>3</v>
      </c>
      <c r="E10" s="28">
        <v>51</v>
      </c>
      <c r="F10" s="23">
        <v>63603</v>
      </c>
      <c r="G10" s="28">
        <v>79</v>
      </c>
      <c r="H10" s="23">
        <v>45438</v>
      </c>
      <c r="I10" s="28">
        <v>64</v>
      </c>
      <c r="J10" s="23">
        <v>41103</v>
      </c>
      <c r="K10" s="28">
        <v>12</v>
      </c>
      <c r="L10" s="23">
        <v>34335</v>
      </c>
      <c r="M10" s="28">
        <v>17</v>
      </c>
      <c r="N10" s="23">
        <v>26644</v>
      </c>
      <c r="O10" s="23"/>
      <c r="P10" s="26"/>
      <c r="Q10" s="25">
        <v>27</v>
      </c>
      <c r="R10" s="23">
        <v>89786</v>
      </c>
      <c r="S10" s="23">
        <v>15</v>
      </c>
      <c r="T10" s="23">
        <v>56666</v>
      </c>
      <c r="U10" s="23">
        <v>3</v>
      </c>
      <c r="V10" s="23">
        <v>38938</v>
      </c>
      <c r="W10" s="23"/>
      <c r="X10" s="23"/>
      <c r="Y10" s="23">
        <v>5</v>
      </c>
      <c r="Z10" s="26">
        <v>39532</v>
      </c>
      <c r="AA10" s="27"/>
      <c r="AB10" s="24"/>
      <c r="AC10" s="21"/>
    </row>
    <row r="11" spans="1:29" ht="12.75">
      <c r="A11" s="21" t="s">
        <v>14</v>
      </c>
      <c r="B11" s="21" t="s">
        <v>21</v>
      </c>
      <c r="C11" s="22">
        <v>102094</v>
      </c>
      <c r="D11" s="22">
        <v>3</v>
      </c>
      <c r="E11" s="28">
        <v>84</v>
      </c>
      <c r="F11" s="23">
        <v>60170</v>
      </c>
      <c r="G11" s="28">
        <v>87</v>
      </c>
      <c r="H11" s="23">
        <v>47935</v>
      </c>
      <c r="I11" s="28">
        <v>87</v>
      </c>
      <c r="J11" s="23">
        <v>41065</v>
      </c>
      <c r="K11" s="28">
        <v>37</v>
      </c>
      <c r="L11" s="23">
        <v>32521</v>
      </c>
      <c r="M11" s="28">
        <v>1</v>
      </c>
      <c r="N11" s="23">
        <v>35363</v>
      </c>
      <c r="O11" s="28"/>
      <c r="P11" s="24"/>
      <c r="Q11" s="25">
        <v>44</v>
      </c>
      <c r="R11" s="23">
        <v>83804</v>
      </c>
      <c r="S11" s="23">
        <v>28</v>
      </c>
      <c r="T11" s="23">
        <v>61030</v>
      </c>
      <c r="U11" s="23">
        <v>53</v>
      </c>
      <c r="V11" s="23">
        <v>52201</v>
      </c>
      <c r="W11" s="23">
        <v>10</v>
      </c>
      <c r="X11" s="23">
        <v>39243</v>
      </c>
      <c r="Y11" s="23">
        <v>1</v>
      </c>
      <c r="Z11" s="26">
        <v>35886</v>
      </c>
      <c r="AA11" s="27"/>
      <c r="AB11" s="24"/>
      <c r="AC11" s="21"/>
    </row>
    <row r="12" spans="1:29" ht="12.75">
      <c r="A12" s="21" t="s">
        <v>14</v>
      </c>
      <c r="B12" s="21" t="s">
        <v>22</v>
      </c>
      <c r="C12" s="22">
        <v>100830</v>
      </c>
      <c r="D12" s="22">
        <v>4</v>
      </c>
      <c r="E12" s="28">
        <v>38</v>
      </c>
      <c r="F12" s="23">
        <v>54374</v>
      </c>
      <c r="G12" s="28">
        <v>51</v>
      </c>
      <c r="H12" s="23">
        <v>42834</v>
      </c>
      <c r="I12" s="28">
        <v>65</v>
      </c>
      <c r="J12" s="23">
        <v>36174</v>
      </c>
      <c r="K12" s="28">
        <v>16</v>
      </c>
      <c r="L12" s="23">
        <v>29037</v>
      </c>
      <c r="M12" s="23"/>
      <c r="N12" s="23"/>
      <c r="O12" s="21"/>
      <c r="P12" s="24"/>
      <c r="Q12" s="25">
        <v>21</v>
      </c>
      <c r="R12" s="23">
        <v>76722</v>
      </c>
      <c r="S12" s="23">
        <v>4</v>
      </c>
      <c r="T12" s="23">
        <v>64222</v>
      </c>
      <c r="U12" s="23"/>
      <c r="V12" s="23"/>
      <c r="W12" s="23">
        <v>2</v>
      </c>
      <c r="X12" s="23">
        <v>41850</v>
      </c>
      <c r="Y12" s="23"/>
      <c r="Z12" s="24"/>
      <c r="AA12" s="27"/>
      <c r="AB12" s="24"/>
      <c r="AC12" s="21"/>
    </row>
    <row r="13" spans="1:29" ht="12.75">
      <c r="A13" s="21" t="s">
        <v>14</v>
      </c>
      <c r="B13" s="21" t="s">
        <v>23</v>
      </c>
      <c r="C13" s="22">
        <v>102368</v>
      </c>
      <c r="D13" s="22">
        <v>4</v>
      </c>
      <c r="E13" s="28">
        <v>14</v>
      </c>
      <c r="F13" s="23">
        <v>51100</v>
      </c>
      <c r="G13" s="28">
        <v>37</v>
      </c>
      <c r="H13" s="23">
        <v>43477</v>
      </c>
      <c r="I13" s="28">
        <v>60</v>
      </c>
      <c r="J13" s="23">
        <v>36586</v>
      </c>
      <c r="K13" s="28">
        <v>20</v>
      </c>
      <c r="L13" s="23">
        <v>26730</v>
      </c>
      <c r="M13" s="21"/>
      <c r="N13" s="28"/>
      <c r="O13" s="21"/>
      <c r="P13" s="24"/>
      <c r="Q13" s="25">
        <v>17</v>
      </c>
      <c r="R13" s="23">
        <v>63390</v>
      </c>
      <c r="S13" s="23">
        <v>23</v>
      </c>
      <c r="T13" s="23">
        <v>51427</v>
      </c>
      <c r="U13" s="23">
        <v>42</v>
      </c>
      <c r="V13" s="23">
        <v>40496</v>
      </c>
      <c r="W13" s="23">
        <v>5</v>
      </c>
      <c r="X13" s="23">
        <v>29338</v>
      </c>
      <c r="Y13" s="21"/>
      <c r="Z13" s="24"/>
      <c r="AA13" s="27"/>
      <c r="AB13" s="24"/>
      <c r="AC13" s="21"/>
    </row>
    <row r="14" spans="1:29" ht="12.75">
      <c r="A14" s="21" t="s">
        <v>14</v>
      </c>
      <c r="B14" s="21" t="s">
        <v>24</v>
      </c>
      <c r="C14" s="22">
        <v>101709</v>
      </c>
      <c r="D14" s="22">
        <v>4</v>
      </c>
      <c r="E14" s="28">
        <v>41</v>
      </c>
      <c r="F14" s="23">
        <v>47135</v>
      </c>
      <c r="G14" s="28">
        <v>34</v>
      </c>
      <c r="H14" s="23">
        <v>40914</v>
      </c>
      <c r="I14" s="28">
        <v>37</v>
      </c>
      <c r="J14" s="23">
        <v>31982</v>
      </c>
      <c r="K14" s="28">
        <v>16</v>
      </c>
      <c r="L14" s="23">
        <v>28729</v>
      </c>
      <c r="M14" s="21"/>
      <c r="N14" s="21"/>
      <c r="O14" s="21"/>
      <c r="P14" s="32"/>
      <c r="Q14" s="25"/>
      <c r="R14" s="28"/>
      <c r="S14" s="28"/>
      <c r="T14" s="28"/>
      <c r="U14" s="28"/>
      <c r="V14" s="28"/>
      <c r="W14" s="28"/>
      <c r="X14" s="28"/>
      <c r="Y14" s="21"/>
      <c r="Z14" s="32"/>
      <c r="AA14" s="27"/>
      <c r="AB14" s="32"/>
      <c r="AC14" s="21"/>
    </row>
    <row r="15" spans="1:29" ht="12.75">
      <c r="A15" s="21" t="s">
        <v>14</v>
      </c>
      <c r="B15" s="21" t="s">
        <v>25</v>
      </c>
      <c r="C15" s="33">
        <v>100724</v>
      </c>
      <c r="D15" s="33">
        <v>5</v>
      </c>
      <c r="E15" s="28">
        <v>33</v>
      </c>
      <c r="F15" s="23">
        <v>49474</v>
      </c>
      <c r="G15" s="28">
        <v>55</v>
      </c>
      <c r="H15" s="23">
        <v>42426</v>
      </c>
      <c r="I15" s="28">
        <v>67</v>
      </c>
      <c r="J15" s="23">
        <v>37279</v>
      </c>
      <c r="K15" s="28">
        <v>60</v>
      </c>
      <c r="L15" s="23">
        <v>29536</v>
      </c>
      <c r="M15" s="21"/>
      <c r="N15" s="21"/>
      <c r="O15" s="28"/>
      <c r="P15" s="26"/>
      <c r="Q15" s="34"/>
      <c r="R15" s="21"/>
      <c r="S15" s="23">
        <v>1</v>
      </c>
      <c r="T15" s="23">
        <v>49175</v>
      </c>
      <c r="U15" s="23">
        <v>1</v>
      </c>
      <c r="V15" s="23">
        <v>38254</v>
      </c>
      <c r="W15" s="23">
        <v>2</v>
      </c>
      <c r="X15" s="23">
        <v>45567</v>
      </c>
      <c r="Y15" s="21"/>
      <c r="Z15" s="32"/>
      <c r="AA15" s="27"/>
      <c r="AB15" s="32"/>
      <c r="AC15" s="21"/>
    </row>
    <row r="16" spans="1:29" ht="12.75">
      <c r="A16" s="21" t="s">
        <v>14</v>
      </c>
      <c r="B16" s="21" t="s">
        <v>26</v>
      </c>
      <c r="C16" s="22">
        <v>102322</v>
      </c>
      <c r="D16" s="22">
        <v>5</v>
      </c>
      <c r="E16" s="23">
        <v>10</v>
      </c>
      <c r="F16" s="23">
        <v>47836</v>
      </c>
      <c r="G16" s="23">
        <v>13</v>
      </c>
      <c r="H16" s="23">
        <v>45186</v>
      </c>
      <c r="I16" s="23">
        <v>19</v>
      </c>
      <c r="J16" s="23">
        <v>37241</v>
      </c>
      <c r="K16" s="23">
        <v>1</v>
      </c>
      <c r="L16" s="23">
        <v>30877</v>
      </c>
      <c r="M16" s="21"/>
      <c r="N16" s="21"/>
      <c r="O16" s="21"/>
      <c r="P16" s="32"/>
      <c r="Q16" s="25">
        <v>3</v>
      </c>
      <c r="R16" s="23">
        <v>69943</v>
      </c>
      <c r="S16" s="21"/>
      <c r="T16" s="21"/>
      <c r="U16" s="23">
        <v>2</v>
      </c>
      <c r="V16" s="23">
        <v>50010</v>
      </c>
      <c r="W16" s="23">
        <v>2</v>
      </c>
      <c r="X16" s="23">
        <v>33184</v>
      </c>
      <c r="Y16" s="21"/>
      <c r="Z16" s="32"/>
      <c r="AA16" s="27"/>
      <c r="AB16" s="32"/>
      <c r="AC16" s="21"/>
    </row>
    <row r="17" spans="1:29" ht="12.75">
      <c r="A17" s="21" t="s">
        <v>14</v>
      </c>
      <c r="B17" s="29" t="s">
        <v>27</v>
      </c>
      <c r="C17" s="30">
        <v>102359</v>
      </c>
      <c r="D17" s="30">
        <v>5</v>
      </c>
      <c r="E17" s="23"/>
      <c r="F17" s="23"/>
      <c r="G17" s="28">
        <v>2</v>
      </c>
      <c r="H17" s="28">
        <v>54000</v>
      </c>
      <c r="I17" s="28">
        <v>4</v>
      </c>
      <c r="J17" s="23">
        <v>41830</v>
      </c>
      <c r="K17" s="28">
        <v>1</v>
      </c>
      <c r="L17" s="23">
        <v>30800</v>
      </c>
      <c r="M17" s="21"/>
      <c r="N17" s="21"/>
      <c r="O17" s="21"/>
      <c r="P17" s="32"/>
      <c r="Q17" s="25">
        <v>6</v>
      </c>
      <c r="R17" s="23">
        <v>65458</v>
      </c>
      <c r="S17" s="23">
        <v>8</v>
      </c>
      <c r="T17" s="23">
        <v>46690</v>
      </c>
      <c r="U17" s="23">
        <v>12</v>
      </c>
      <c r="V17" s="23">
        <v>46861</v>
      </c>
      <c r="W17" s="23">
        <v>1</v>
      </c>
      <c r="X17" s="23">
        <v>21057</v>
      </c>
      <c r="Y17" s="21"/>
      <c r="Z17" s="32"/>
      <c r="AA17" s="27"/>
      <c r="AB17" s="32"/>
      <c r="AC17" s="21"/>
    </row>
    <row r="18" spans="1:29" ht="12.75">
      <c r="A18" s="21" t="s">
        <v>14</v>
      </c>
      <c r="B18" s="29" t="s">
        <v>28</v>
      </c>
      <c r="C18" s="30">
        <v>101879</v>
      </c>
      <c r="D18" s="30">
        <v>5</v>
      </c>
      <c r="E18" s="23">
        <v>53</v>
      </c>
      <c r="F18" s="23">
        <v>50371</v>
      </c>
      <c r="G18" s="23">
        <v>48</v>
      </c>
      <c r="H18" s="23">
        <v>44573</v>
      </c>
      <c r="I18" s="23">
        <v>63</v>
      </c>
      <c r="J18" s="23">
        <v>38145</v>
      </c>
      <c r="K18" s="23">
        <v>13</v>
      </c>
      <c r="L18" s="23">
        <v>33467</v>
      </c>
      <c r="M18" s="21"/>
      <c r="N18" s="21"/>
      <c r="O18" s="21"/>
      <c r="P18" s="32"/>
      <c r="Q18" s="25">
        <v>11</v>
      </c>
      <c r="R18" s="23">
        <v>61918</v>
      </c>
      <c r="S18" s="23">
        <v>1</v>
      </c>
      <c r="T18" s="23">
        <v>54244</v>
      </c>
      <c r="U18" s="23">
        <v>1</v>
      </c>
      <c r="V18" s="23">
        <v>39270</v>
      </c>
      <c r="W18" s="23">
        <v>3</v>
      </c>
      <c r="X18" s="23">
        <v>37217</v>
      </c>
      <c r="Y18" s="21"/>
      <c r="Z18" s="32"/>
      <c r="AA18" s="27"/>
      <c r="AB18" s="32"/>
      <c r="AC18" s="21"/>
    </row>
    <row r="19" spans="1:29" ht="12.75">
      <c r="A19" s="21" t="s">
        <v>14</v>
      </c>
      <c r="B19" s="21" t="s">
        <v>29</v>
      </c>
      <c r="C19" s="22">
        <v>101587</v>
      </c>
      <c r="D19" s="22">
        <v>5</v>
      </c>
      <c r="E19" s="23">
        <v>9</v>
      </c>
      <c r="F19" s="23">
        <v>40476</v>
      </c>
      <c r="G19" s="23">
        <v>9</v>
      </c>
      <c r="H19" s="23">
        <v>34854</v>
      </c>
      <c r="I19" s="23">
        <v>11</v>
      </c>
      <c r="J19" s="23">
        <v>30424</v>
      </c>
      <c r="K19" s="21"/>
      <c r="L19" s="21"/>
      <c r="M19" s="23">
        <v>4</v>
      </c>
      <c r="N19" s="23">
        <v>20990</v>
      </c>
      <c r="O19" s="21"/>
      <c r="P19" s="32"/>
      <c r="Q19" s="25">
        <v>19</v>
      </c>
      <c r="R19" s="23">
        <v>52825</v>
      </c>
      <c r="S19" s="23">
        <v>17</v>
      </c>
      <c r="T19" s="23">
        <v>43746</v>
      </c>
      <c r="U19" s="23">
        <v>21</v>
      </c>
      <c r="V19" s="23">
        <v>36866</v>
      </c>
      <c r="W19" s="23">
        <v>4</v>
      </c>
      <c r="X19" s="23">
        <v>34778</v>
      </c>
      <c r="Y19" s="28"/>
      <c r="Z19" s="24"/>
      <c r="AA19" s="27"/>
      <c r="AB19" s="24"/>
      <c r="AC19" s="21"/>
    </row>
    <row r="20" spans="1:29" ht="12.75">
      <c r="A20" s="21" t="s">
        <v>14</v>
      </c>
      <c r="B20" s="21" t="s">
        <v>30</v>
      </c>
      <c r="C20" s="22">
        <v>100812</v>
      </c>
      <c r="D20" s="22">
        <v>6</v>
      </c>
      <c r="E20" s="23">
        <v>18</v>
      </c>
      <c r="F20" s="23">
        <v>51428</v>
      </c>
      <c r="G20" s="23">
        <v>15</v>
      </c>
      <c r="H20" s="23">
        <v>45856</v>
      </c>
      <c r="I20" s="23">
        <v>31</v>
      </c>
      <c r="J20" s="23">
        <v>40587</v>
      </c>
      <c r="K20" s="28"/>
      <c r="L20" s="28"/>
      <c r="M20" s="21"/>
      <c r="N20" s="21"/>
      <c r="O20" s="21"/>
      <c r="P20" s="32"/>
      <c r="Q20" s="25">
        <v>1</v>
      </c>
      <c r="R20" s="23">
        <v>67619</v>
      </c>
      <c r="S20" s="28"/>
      <c r="T20" s="28"/>
      <c r="U20" s="23">
        <v>3</v>
      </c>
      <c r="V20" s="23">
        <v>52022</v>
      </c>
      <c r="W20" s="23">
        <v>3</v>
      </c>
      <c r="X20" s="23">
        <v>44892</v>
      </c>
      <c r="Y20" s="21"/>
      <c r="Z20" s="32"/>
      <c r="AA20" s="27"/>
      <c r="AB20" s="24"/>
      <c r="AC20" s="21"/>
    </row>
    <row r="21" spans="1:29" ht="12.75">
      <c r="A21" s="21" t="s">
        <v>14</v>
      </c>
      <c r="B21" s="21" t="s">
        <v>31</v>
      </c>
      <c r="C21" s="22">
        <v>101949</v>
      </c>
      <c r="D21" s="22">
        <v>7</v>
      </c>
      <c r="E21" s="28"/>
      <c r="F21" s="28"/>
      <c r="G21" s="28"/>
      <c r="H21" s="28"/>
      <c r="I21" s="28"/>
      <c r="J21" s="28"/>
      <c r="K21" s="21"/>
      <c r="L21" s="21"/>
      <c r="M21" s="21"/>
      <c r="N21" s="21"/>
      <c r="O21" s="23">
        <v>33</v>
      </c>
      <c r="P21" s="26">
        <v>38844</v>
      </c>
      <c r="Q21" s="25"/>
      <c r="R21" s="28"/>
      <c r="S21" s="21"/>
      <c r="T21" s="21"/>
      <c r="U21" s="21"/>
      <c r="V21" s="21"/>
      <c r="W21" s="21"/>
      <c r="X21" s="21"/>
      <c r="Y21" s="21"/>
      <c r="Z21" s="32"/>
      <c r="AA21" s="35">
        <v>3</v>
      </c>
      <c r="AB21" s="24">
        <v>24397</v>
      </c>
      <c r="AC21" s="21"/>
    </row>
    <row r="22" spans="1:29" ht="12.75">
      <c r="A22" s="21" t="s">
        <v>14</v>
      </c>
      <c r="B22" s="21" t="s">
        <v>32</v>
      </c>
      <c r="C22" s="33">
        <v>100964</v>
      </c>
      <c r="D22" s="22">
        <v>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3">
        <v>77</v>
      </c>
      <c r="P22" s="26">
        <v>38367</v>
      </c>
      <c r="Q22" s="34"/>
      <c r="R22" s="21"/>
      <c r="S22" s="21"/>
      <c r="T22" s="21"/>
      <c r="U22" s="21"/>
      <c r="V22" s="21"/>
      <c r="W22" s="21"/>
      <c r="X22" s="21"/>
      <c r="Y22" s="21"/>
      <c r="Z22" s="32"/>
      <c r="AA22" s="35">
        <v>11</v>
      </c>
      <c r="AB22" s="24">
        <v>59559</v>
      </c>
      <c r="AC22" s="21"/>
    </row>
    <row r="23" spans="1:29" ht="12.75">
      <c r="A23" s="21" t="s">
        <v>14</v>
      </c>
      <c r="B23" s="21" t="s">
        <v>33</v>
      </c>
      <c r="C23" s="33">
        <v>102030</v>
      </c>
      <c r="D23" s="22">
        <v>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3">
        <v>108</v>
      </c>
      <c r="P23" s="26">
        <v>37279</v>
      </c>
      <c r="Q23" s="36"/>
      <c r="R23" s="21"/>
      <c r="S23" s="21"/>
      <c r="T23" s="21"/>
      <c r="U23" s="21"/>
      <c r="V23" s="21"/>
      <c r="W23" s="21"/>
      <c r="X23" s="21"/>
      <c r="Y23" s="21"/>
      <c r="Z23" s="32"/>
      <c r="AA23" s="35">
        <v>4</v>
      </c>
      <c r="AB23" s="24">
        <v>47373</v>
      </c>
      <c r="AC23" s="21"/>
    </row>
    <row r="24" spans="1:29" ht="12.75">
      <c r="A24" s="21" t="s">
        <v>14</v>
      </c>
      <c r="B24" s="21" t="s">
        <v>34</v>
      </c>
      <c r="C24" s="22">
        <v>100760</v>
      </c>
      <c r="D24" s="22">
        <v>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>
        <v>45</v>
      </c>
      <c r="P24" s="26">
        <v>37941</v>
      </c>
      <c r="Q24" s="34"/>
      <c r="R24" s="21"/>
      <c r="S24" s="21"/>
      <c r="T24" s="21"/>
      <c r="U24" s="21"/>
      <c r="V24" s="21"/>
      <c r="W24" s="21"/>
      <c r="X24" s="21"/>
      <c r="Y24" s="21"/>
      <c r="Z24" s="32"/>
      <c r="AA24" s="35">
        <v>2</v>
      </c>
      <c r="AB24" s="24">
        <v>46083</v>
      </c>
      <c r="AC24" s="21"/>
    </row>
    <row r="25" spans="1:29" ht="12.75">
      <c r="A25" s="21" t="s">
        <v>14</v>
      </c>
      <c r="B25" s="21" t="s">
        <v>35</v>
      </c>
      <c r="C25" s="22">
        <v>101028</v>
      </c>
      <c r="D25" s="22">
        <v>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>
        <v>36</v>
      </c>
      <c r="P25" s="26">
        <v>38465</v>
      </c>
      <c r="Q25" s="36"/>
      <c r="R25" s="21"/>
      <c r="S25" s="21"/>
      <c r="T25" s="21"/>
      <c r="U25" s="21"/>
      <c r="V25" s="21"/>
      <c r="W25" s="21"/>
      <c r="X25" s="21"/>
      <c r="Y25" s="21"/>
      <c r="Z25" s="32"/>
      <c r="AA25" s="35"/>
      <c r="AB25" s="24"/>
      <c r="AC25" s="21"/>
    </row>
    <row r="26" spans="1:29" ht="12.75">
      <c r="A26" s="21" t="s">
        <v>14</v>
      </c>
      <c r="B26" s="21" t="s">
        <v>36</v>
      </c>
      <c r="C26" s="22">
        <v>101143</v>
      </c>
      <c r="D26" s="22">
        <v>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8">
        <v>36</v>
      </c>
      <c r="P26" s="26">
        <v>40486</v>
      </c>
      <c r="Q26" s="36"/>
      <c r="R26" s="21"/>
      <c r="S26" s="21"/>
      <c r="T26" s="21"/>
      <c r="U26" s="21"/>
      <c r="V26" s="21"/>
      <c r="W26" s="21"/>
      <c r="X26" s="21"/>
      <c r="Y26" s="21"/>
      <c r="Z26" s="32"/>
      <c r="AA26" s="27"/>
      <c r="AB26" s="24"/>
      <c r="AC26" s="21"/>
    </row>
    <row r="27" spans="1:29" ht="12.75">
      <c r="A27" s="21" t="s">
        <v>14</v>
      </c>
      <c r="B27" s="21" t="s">
        <v>37</v>
      </c>
      <c r="C27" s="22">
        <v>101240</v>
      </c>
      <c r="D27" s="22">
        <v>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8">
        <v>117</v>
      </c>
      <c r="P27" s="26">
        <v>39120</v>
      </c>
      <c r="Q27" s="36"/>
      <c r="R27" s="21"/>
      <c r="S27" s="21"/>
      <c r="T27" s="21"/>
      <c r="U27" s="21"/>
      <c r="V27" s="21"/>
      <c r="W27" s="21"/>
      <c r="X27" s="21"/>
      <c r="Y27" s="21"/>
      <c r="Z27" s="32"/>
      <c r="AA27" s="27"/>
      <c r="AB27" s="24"/>
      <c r="AC27" s="21"/>
    </row>
    <row r="28" spans="1:29" ht="12.75">
      <c r="A28" s="21" t="s">
        <v>14</v>
      </c>
      <c r="B28" s="21" t="s">
        <v>38</v>
      </c>
      <c r="C28" s="33">
        <v>101301</v>
      </c>
      <c r="D28" s="22">
        <v>7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8">
        <v>55</v>
      </c>
      <c r="P28" s="26">
        <v>37834</v>
      </c>
      <c r="Q28" s="36"/>
      <c r="R28" s="21"/>
      <c r="S28" s="21"/>
      <c r="T28" s="21"/>
      <c r="U28" s="21"/>
      <c r="V28" s="21"/>
      <c r="W28" s="21"/>
      <c r="X28" s="21"/>
      <c r="Y28" s="21"/>
      <c r="Z28" s="32"/>
      <c r="AA28" s="27"/>
      <c r="AB28" s="24"/>
      <c r="AC28" s="21"/>
    </row>
    <row r="29" spans="1:29" ht="12.75">
      <c r="A29" s="21" t="s">
        <v>14</v>
      </c>
      <c r="B29" s="21" t="s">
        <v>39</v>
      </c>
      <c r="C29" s="22">
        <v>101286</v>
      </c>
      <c r="D29" s="22">
        <v>7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>
        <v>91</v>
      </c>
      <c r="P29" s="26">
        <v>39963</v>
      </c>
      <c r="Q29" s="36"/>
      <c r="R29" s="21"/>
      <c r="S29" s="21"/>
      <c r="T29" s="21"/>
      <c r="U29" s="21"/>
      <c r="V29" s="21"/>
      <c r="W29" s="21"/>
      <c r="X29" s="21"/>
      <c r="Y29" s="21"/>
      <c r="Z29" s="32"/>
      <c r="AA29" s="35">
        <v>4</v>
      </c>
      <c r="AB29" s="24">
        <v>52317</v>
      </c>
      <c r="AC29" s="21"/>
    </row>
    <row r="30" spans="1:29" ht="12.75">
      <c r="A30" s="21" t="s">
        <v>14</v>
      </c>
      <c r="B30" s="21" t="s">
        <v>40</v>
      </c>
      <c r="C30" s="22">
        <v>101161</v>
      </c>
      <c r="D30" s="22">
        <v>7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>
        <v>38</v>
      </c>
      <c r="P30" s="26">
        <v>36684</v>
      </c>
      <c r="Q30" s="34"/>
      <c r="R30" s="21"/>
      <c r="S30" s="21"/>
      <c r="T30" s="21"/>
      <c r="U30" s="21"/>
      <c r="V30" s="21"/>
      <c r="W30" s="21"/>
      <c r="X30" s="21"/>
      <c r="Y30" s="21"/>
      <c r="Z30" s="32"/>
      <c r="AA30" s="35">
        <v>14</v>
      </c>
      <c r="AB30" s="24">
        <v>48885</v>
      </c>
      <c r="AC30" s="21"/>
    </row>
    <row r="31" spans="1:29" ht="12.75">
      <c r="A31" s="21" t="s">
        <v>14</v>
      </c>
      <c r="B31" s="21" t="s">
        <v>41</v>
      </c>
      <c r="C31" s="22">
        <v>101499</v>
      </c>
      <c r="D31" s="22">
        <v>7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>
        <v>37</v>
      </c>
      <c r="P31" s="26">
        <v>36621</v>
      </c>
      <c r="Q31" s="36"/>
      <c r="R31" s="21"/>
      <c r="S31" s="21"/>
      <c r="T31" s="21"/>
      <c r="U31" s="21"/>
      <c r="V31" s="21"/>
      <c r="W31" s="21"/>
      <c r="X31" s="21"/>
      <c r="Y31" s="21"/>
      <c r="Z31" s="32"/>
      <c r="AA31" s="35">
        <v>9</v>
      </c>
      <c r="AB31" s="26">
        <v>57228</v>
      </c>
      <c r="AC31" s="21"/>
    </row>
    <row r="32" spans="1:29" ht="12.75">
      <c r="A32" s="21" t="s">
        <v>14</v>
      </c>
      <c r="B32" s="21" t="s">
        <v>42</v>
      </c>
      <c r="C32" s="22">
        <v>101505</v>
      </c>
      <c r="D32" s="22">
        <v>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8">
        <v>87</v>
      </c>
      <c r="P32" s="24">
        <v>38926</v>
      </c>
      <c r="Q32" s="34"/>
      <c r="R32" s="21"/>
      <c r="S32" s="21"/>
      <c r="T32" s="21"/>
      <c r="U32" s="21"/>
      <c r="V32" s="21"/>
      <c r="W32" s="21"/>
      <c r="X32" s="21"/>
      <c r="Y32" s="21"/>
      <c r="Z32" s="32"/>
      <c r="AA32" s="35">
        <v>4</v>
      </c>
      <c r="AB32" s="24">
        <v>56780</v>
      </c>
      <c r="AC32" s="21"/>
    </row>
    <row r="33" spans="1:29" ht="12.75">
      <c r="A33" s="21" t="s">
        <v>14</v>
      </c>
      <c r="B33" s="21" t="s">
        <v>43</v>
      </c>
      <c r="C33" s="22">
        <v>101514</v>
      </c>
      <c r="D33" s="22">
        <v>7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8">
        <v>119</v>
      </c>
      <c r="P33" s="24">
        <v>39575</v>
      </c>
      <c r="Q33" s="36"/>
      <c r="R33" s="21"/>
      <c r="S33" s="21"/>
      <c r="T33" s="21"/>
      <c r="U33" s="21"/>
      <c r="V33" s="21"/>
      <c r="W33" s="21"/>
      <c r="X33" s="21"/>
      <c r="Y33" s="21"/>
      <c r="Z33" s="32"/>
      <c r="AA33" s="35"/>
      <c r="AB33" s="24"/>
      <c r="AC33" s="21"/>
    </row>
    <row r="34" spans="1:29" ht="12.75">
      <c r="A34" s="21" t="s">
        <v>14</v>
      </c>
      <c r="B34" s="21" t="s">
        <v>44</v>
      </c>
      <c r="C34" s="22">
        <v>101569</v>
      </c>
      <c r="D34" s="22">
        <v>7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8">
        <v>56</v>
      </c>
      <c r="P34" s="24">
        <v>39693</v>
      </c>
      <c r="Q34" s="34"/>
      <c r="R34" s="21"/>
      <c r="S34" s="21"/>
      <c r="T34" s="21"/>
      <c r="U34" s="21"/>
      <c r="V34" s="21"/>
      <c r="W34" s="21"/>
      <c r="X34" s="21"/>
      <c r="Y34" s="21"/>
      <c r="Z34" s="32"/>
      <c r="AA34" s="27"/>
      <c r="AB34" s="32"/>
      <c r="AC34" s="21"/>
    </row>
    <row r="35" spans="1:29" ht="12.75">
      <c r="A35" s="21" t="s">
        <v>14</v>
      </c>
      <c r="B35" s="21" t="s">
        <v>45</v>
      </c>
      <c r="C35" s="22">
        <v>101602</v>
      </c>
      <c r="D35" s="22">
        <v>7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8">
        <v>24</v>
      </c>
      <c r="P35" s="26">
        <v>36670</v>
      </c>
      <c r="Q35" s="36"/>
      <c r="R35" s="21"/>
      <c r="S35" s="21"/>
      <c r="T35" s="21"/>
      <c r="U35" s="21"/>
      <c r="V35" s="21"/>
      <c r="W35" s="21"/>
      <c r="X35" s="21"/>
      <c r="Y35" s="21"/>
      <c r="Z35" s="32"/>
      <c r="AA35" s="35"/>
      <c r="AB35" s="24"/>
      <c r="AC35" s="21"/>
    </row>
    <row r="36" spans="1:29" ht="12.75">
      <c r="A36" s="21" t="s">
        <v>14</v>
      </c>
      <c r="B36" s="21" t="s">
        <v>46</v>
      </c>
      <c r="C36" s="22">
        <v>101897</v>
      </c>
      <c r="D36" s="22">
        <v>7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8">
        <v>31</v>
      </c>
      <c r="P36" s="26">
        <v>38354</v>
      </c>
      <c r="Q36" s="34"/>
      <c r="R36" s="21"/>
      <c r="S36" s="21"/>
      <c r="T36" s="21"/>
      <c r="U36" s="21"/>
      <c r="V36" s="21"/>
      <c r="W36" s="21"/>
      <c r="X36" s="21"/>
      <c r="Y36" s="21"/>
      <c r="Z36" s="32"/>
      <c r="AA36" s="35">
        <v>5</v>
      </c>
      <c r="AB36" s="26">
        <v>59310</v>
      </c>
      <c r="AC36" s="21"/>
    </row>
    <row r="37" spans="1:29" ht="12.75">
      <c r="A37" s="21" t="s">
        <v>14</v>
      </c>
      <c r="B37" s="21" t="s">
        <v>47</v>
      </c>
      <c r="C37" s="22">
        <v>101903</v>
      </c>
      <c r="D37" s="22">
        <v>7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8">
        <v>68</v>
      </c>
      <c r="P37" s="26">
        <v>39027</v>
      </c>
      <c r="Q37" s="36"/>
      <c r="R37" s="21"/>
      <c r="S37" s="21"/>
      <c r="T37" s="21"/>
      <c r="U37" s="21"/>
      <c r="V37" s="21"/>
      <c r="W37" s="21"/>
      <c r="X37" s="21"/>
      <c r="Y37" s="21"/>
      <c r="Z37" s="32"/>
      <c r="AA37" s="35">
        <v>2</v>
      </c>
      <c r="AB37" s="26">
        <v>48205</v>
      </c>
      <c r="AC37" s="21"/>
    </row>
    <row r="38" spans="1:29" ht="12.75">
      <c r="A38" s="21" t="s">
        <v>14</v>
      </c>
      <c r="B38" s="21" t="s">
        <v>48</v>
      </c>
      <c r="C38" s="22">
        <v>102067</v>
      </c>
      <c r="D38" s="22">
        <v>7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8">
        <v>73</v>
      </c>
      <c r="P38" s="26">
        <v>33769</v>
      </c>
      <c r="Q38" s="36"/>
      <c r="R38" s="21"/>
      <c r="S38" s="21"/>
      <c r="T38" s="21"/>
      <c r="U38" s="21"/>
      <c r="V38" s="21"/>
      <c r="W38" s="21"/>
      <c r="X38" s="21"/>
      <c r="Y38" s="21"/>
      <c r="Z38" s="32"/>
      <c r="AA38" s="35">
        <v>8</v>
      </c>
      <c r="AB38" s="26">
        <v>44087</v>
      </c>
      <c r="AC38" s="21"/>
    </row>
    <row r="39" spans="1:29" ht="12.75">
      <c r="A39" s="21" t="s">
        <v>14</v>
      </c>
      <c r="B39" s="21" t="s">
        <v>49</v>
      </c>
      <c r="C39" s="22">
        <v>101736</v>
      </c>
      <c r="D39" s="22">
        <v>7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8"/>
      <c r="P39" s="26"/>
      <c r="Q39" s="36"/>
      <c r="R39" s="21"/>
      <c r="S39" s="21"/>
      <c r="T39" s="21"/>
      <c r="U39" s="21"/>
      <c r="V39" s="21"/>
      <c r="W39" s="21"/>
      <c r="X39" s="21"/>
      <c r="Y39" s="21"/>
      <c r="Z39" s="32"/>
      <c r="AA39" s="27"/>
      <c r="AB39" s="32"/>
      <c r="AC39" s="21"/>
    </row>
    <row r="40" spans="1:29" ht="12.75">
      <c r="A40" s="21" t="s">
        <v>14</v>
      </c>
      <c r="B40" s="21" t="s">
        <v>50</v>
      </c>
      <c r="C40" s="22">
        <v>102076</v>
      </c>
      <c r="D40" s="22">
        <v>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8">
        <v>13</v>
      </c>
      <c r="P40" s="26">
        <v>37412</v>
      </c>
      <c r="Q40" s="36"/>
      <c r="R40" s="21"/>
      <c r="S40" s="21"/>
      <c r="T40" s="21"/>
      <c r="U40" s="21"/>
      <c r="V40" s="21"/>
      <c r="W40" s="21"/>
      <c r="X40" s="21"/>
      <c r="Y40" s="21"/>
      <c r="Z40" s="32"/>
      <c r="AA40" s="35">
        <v>12</v>
      </c>
      <c r="AB40" s="26">
        <v>54783</v>
      </c>
      <c r="AC40" s="21"/>
    </row>
    <row r="41" spans="1:29" ht="12.75">
      <c r="A41" s="21" t="s">
        <v>14</v>
      </c>
      <c r="B41" s="21" t="s">
        <v>51</v>
      </c>
      <c r="C41" s="22">
        <v>251260</v>
      </c>
      <c r="D41" s="22">
        <v>7</v>
      </c>
      <c r="E41" s="23"/>
      <c r="F41" s="23"/>
      <c r="G41" s="23"/>
      <c r="H41" s="23"/>
      <c r="I41" s="23"/>
      <c r="J41" s="23"/>
      <c r="K41" s="21"/>
      <c r="L41" s="21"/>
      <c r="M41" s="23"/>
      <c r="N41" s="23"/>
      <c r="O41" s="28">
        <v>76</v>
      </c>
      <c r="P41" s="26">
        <v>35983</v>
      </c>
      <c r="Q41" s="37"/>
      <c r="R41" s="23"/>
      <c r="S41" s="23"/>
      <c r="T41" s="23"/>
      <c r="U41" s="23"/>
      <c r="V41" s="23"/>
      <c r="W41" s="21"/>
      <c r="X41" s="21"/>
      <c r="Y41" s="21"/>
      <c r="Z41" s="26"/>
      <c r="AA41" s="35">
        <v>1</v>
      </c>
      <c r="AB41" s="26">
        <v>66135</v>
      </c>
      <c r="AC41" s="21"/>
    </row>
    <row r="42" spans="1:29" ht="12.75">
      <c r="A42" s="21" t="s">
        <v>14</v>
      </c>
      <c r="B42" s="21" t="s">
        <v>52</v>
      </c>
      <c r="C42" s="22">
        <v>101295</v>
      </c>
      <c r="D42" s="22">
        <v>7</v>
      </c>
      <c r="E42" s="28"/>
      <c r="F42" s="28"/>
      <c r="G42" s="23"/>
      <c r="H42" s="28"/>
      <c r="I42" s="23"/>
      <c r="J42" s="28"/>
      <c r="K42" s="21"/>
      <c r="L42" s="21"/>
      <c r="M42" s="21"/>
      <c r="N42" s="28"/>
      <c r="O42" s="28">
        <v>113</v>
      </c>
      <c r="P42" s="26">
        <v>35467</v>
      </c>
      <c r="Q42" s="37"/>
      <c r="R42" s="28"/>
      <c r="S42" s="23"/>
      <c r="T42" s="28"/>
      <c r="U42" s="23"/>
      <c r="V42" s="28"/>
      <c r="W42" s="21"/>
      <c r="X42" s="21"/>
      <c r="Y42" s="21"/>
      <c r="Z42" s="24"/>
      <c r="AA42" s="35"/>
      <c r="AB42" s="24"/>
      <c r="AC42" s="21"/>
    </row>
    <row r="43" spans="1:29" ht="12.75">
      <c r="A43" s="21" t="s">
        <v>14</v>
      </c>
      <c r="B43" s="21" t="s">
        <v>53</v>
      </c>
      <c r="C43" s="22">
        <v>100672</v>
      </c>
      <c r="D43" s="22">
        <v>8</v>
      </c>
      <c r="E43" s="28"/>
      <c r="F43" s="28"/>
      <c r="G43" s="23"/>
      <c r="H43" s="28"/>
      <c r="I43" s="23"/>
      <c r="J43" s="28"/>
      <c r="K43" s="21"/>
      <c r="L43" s="21"/>
      <c r="M43" s="28"/>
      <c r="N43" s="28"/>
      <c r="O43" s="28">
        <v>16</v>
      </c>
      <c r="P43" s="26">
        <v>40007</v>
      </c>
      <c r="Q43" s="37"/>
      <c r="R43" s="28"/>
      <c r="S43" s="23"/>
      <c r="T43" s="28"/>
      <c r="U43" s="23"/>
      <c r="V43" s="28"/>
      <c r="W43" s="21"/>
      <c r="X43" s="21"/>
      <c r="Y43" s="23"/>
      <c r="Z43" s="24"/>
      <c r="AA43" s="38"/>
      <c r="AB43" s="24"/>
      <c r="AC43" s="21"/>
    </row>
    <row r="44" spans="1:29" ht="12.75">
      <c r="A44" s="21" t="s">
        <v>14</v>
      </c>
      <c r="B44" s="21" t="s">
        <v>54</v>
      </c>
      <c r="C44" s="22">
        <v>100919</v>
      </c>
      <c r="D44" s="22">
        <v>8</v>
      </c>
      <c r="E44" s="28"/>
      <c r="F44" s="28"/>
      <c r="G44" s="23"/>
      <c r="H44" s="28"/>
      <c r="I44" s="23"/>
      <c r="J44" s="28"/>
      <c r="K44" s="21"/>
      <c r="L44" s="21"/>
      <c r="M44" s="21"/>
      <c r="N44" s="28"/>
      <c r="O44" s="28">
        <v>34</v>
      </c>
      <c r="P44" s="26">
        <v>39736</v>
      </c>
      <c r="Q44" s="37"/>
      <c r="R44" s="28"/>
      <c r="S44" s="23"/>
      <c r="T44" s="28"/>
      <c r="U44" s="23"/>
      <c r="V44" s="28"/>
      <c r="W44" s="21"/>
      <c r="X44" s="21"/>
      <c r="Y44" s="21"/>
      <c r="Z44" s="24"/>
      <c r="AA44" s="35">
        <v>7</v>
      </c>
      <c r="AB44" s="26">
        <v>53424</v>
      </c>
      <c r="AC44" s="21"/>
    </row>
    <row r="45" spans="1:29" ht="12.75">
      <c r="A45" s="21" t="s">
        <v>14</v>
      </c>
      <c r="B45" s="21" t="s">
        <v>55</v>
      </c>
      <c r="C45" s="22">
        <v>101347</v>
      </c>
      <c r="D45" s="22">
        <v>8</v>
      </c>
      <c r="E45" s="28"/>
      <c r="F45" s="28"/>
      <c r="G45" s="23"/>
      <c r="H45" s="28"/>
      <c r="I45" s="23"/>
      <c r="J45" s="28"/>
      <c r="K45" s="21"/>
      <c r="L45" s="21"/>
      <c r="M45" s="21"/>
      <c r="N45" s="28"/>
      <c r="O45" s="28">
        <v>24</v>
      </c>
      <c r="P45" s="26">
        <v>37611</v>
      </c>
      <c r="Q45" s="37"/>
      <c r="R45" s="28"/>
      <c r="S45" s="23"/>
      <c r="T45" s="28"/>
      <c r="U45" s="23"/>
      <c r="V45" s="28"/>
      <c r="W45" s="21"/>
      <c r="X45" s="21"/>
      <c r="Y45" s="21"/>
      <c r="Z45" s="24"/>
      <c r="AA45" s="35">
        <v>4</v>
      </c>
      <c r="AB45" s="26">
        <v>54918</v>
      </c>
      <c r="AC45" s="21"/>
    </row>
    <row r="46" spans="1:29" ht="12.75">
      <c r="A46" s="21" t="s">
        <v>14</v>
      </c>
      <c r="B46" s="21" t="s">
        <v>56</v>
      </c>
      <c r="C46" s="22">
        <v>101523</v>
      </c>
      <c r="D46" s="22">
        <v>8</v>
      </c>
      <c r="E46" s="28"/>
      <c r="F46" s="28"/>
      <c r="G46" s="23"/>
      <c r="H46" s="28"/>
      <c r="I46" s="23"/>
      <c r="J46" s="28"/>
      <c r="K46" s="21"/>
      <c r="L46" s="21"/>
      <c r="M46" s="21"/>
      <c r="N46" s="28"/>
      <c r="O46" s="28"/>
      <c r="P46" s="24"/>
      <c r="Q46" s="37"/>
      <c r="R46" s="28"/>
      <c r="S46" s="21"/>
      <c r="T46" s="28"/>
      <c r="U46" s="23"/>
      <c r="V46" s="28"/>
      <c r="W46" s="21"/>
      <c r="X46" s="21"/>
      <c r="Y46" s="21"/>
      <c r="Z46" s="24"/>
      <c r="AA46" s="35">
        <v>36</v>
      </c>
      <c r="AB46" s="26">
        <v>55190</v>
      </c>
      <c r="AC46" s="21"/>
    </row>
    <row r="47" spans="1:29" ht="12.75">
      <c r="A47" s="21" t="s">
        <v>14</v>
      </c>
      <c r="B47" s="21" t="s">
        <v>57</v>
      </c>
      <c r="C47" s="22">
        <v>101462</v>
      </c>
      <c r="D47" s="22">
        <v>8</v>
      </c>
      <c r="E47" s="28"/>
      <c r="F47" s="28"/>
      <c r="G47" s="23"/>
      <c r="H47" s="28"/>
      <c r="I47" s="23"/>
      <c r="J47" s="28"/>
      <c r="K47" s="21"/>
      <c r="L47" s="21"/>
      <c r="M47" s="21"/>
      <c r="N47" s="28"/>
      <c r="O47" s="28"/>
      <c r="P47" s="24"/>
      <c r="Q47" s="37"/>
      <c r="R47" s="28"/>
      <c r="S47" s="23"/>
      <c r="T47" s="28"/>
      <c r="U47" s="23"/>
      <c r="V47" s="28"/>
      <c r="W47" s="21"/>
      <c r="X47" s="21"/>
      <c r="Y47" s="21"/>
      <c r="Z47" s="24"/>
      <c r="AA47" s="35">
        <v>21</v>
      </c>
      <c r="AB47" s="26">
        <v>53127</v>
      </c>
      <c r="AC47" s="21"/>
    </row>
    <row r="48" spans="1:29" ht="12.75">
      <c r="A48" s="21" t="s">
        <v>14</v>
      </c>
      <c r="B48" s="21" t="s">
        <v>58</v>
      </c>
      <c r="C48" s="22">
        <v>101471</v>
      </c>
      <c r="D48" s="22">
        <v>8</v>
      </c>
      <c r="E48" s="28"/>
      <c r="F48" s="28"/>
      <c r="G48" s="23"/>
      <c r="H48" s="28"/>
      <c r="I48" s="23"/>
      <c r="J48" s="28"/>
      <c r="K48" s="21"/>
      <c r="L48" s="21"/>
      <c r="M48" s="28"/>
      <c r="N48" s="28"/>
      <c r="O48" s="28"/>
      <c r="P48" s="24"/>
      <c r="Q48" s="37"/>
      <c r="R48" s="28"/>
      <c r="S48" s="23"/>
      <c r="T48" s="28"/>
      <c r="U48" s="23"/>
      <c r="V48" s="28"/>
      <c r="W48" s="21"/>
      <c r="X48" s="21"/>
      <c r="Y48" s="21"/>
      <c r="Z48" s="24"/>
      <c r="AA48" s="35">
        <v>50</v>
      </c>
      <c r="AB48" s="26">
        <v>49610</v>
      </c>
      <c r="AC48" s="21"/>
    </row>
    <row r="49" spans="1:29" ht="12.75">
      <c r="A49" s="21" t="s">
        <v>14</v>
      </c>
      <c r="B49" s="21" t="s">
        <v>59</v>
      </c>
      <c r="C49" s="22">
        <v>101107</v>
      </c>
      <c r="D49" s="22">
        <v>8</v>
      </c>
      <c r="E49" s="28"/>
      <c r="F49" s="28"/>
      <c r="G49" s="23"/>
      <c r="H49" s="28"/>
      <c r="I49" s="23"/>
      <c r="J49" s="28"/>
      <c r="K49" s="21"/>
      <c r="L49" s="21"/>
      <c r="M49" s="21"/>
      <c r="N49" s="28"/>
      <c r="O49" s="28"/>
      <c r="P49" s="24"/>
      <c r="Q49" s="37"/>
      <c r="R49" s="23"/>
      <c r="S49" s="23"/>
      <c r="T49" s="23"/>
      <c r="U49" s="23"/>
      <c r="V49" s="28"/>
      <c r="W49" s="21"/>
      <c r="X49" s="21"/>
      <c r="Y49" s="21"/>
      <c r="Z49" s="24"/>
      <c r="AA49" s="35">
        <v>25</v>
      </c>
      <c r="AB49" s="26">
        <v>50557</v>
      </c>
      <c r="AC49" s="21"/>
    </row>
    <row r="50" spans="1:29" ht="12.75">
      <c r="A50" s="21" t="s">
        <v>14</v>
      </c>
      <c r="B50" s="21" t="s">
        <v>60</v>
      </c>
      <c r="C50" s="22">
        <v>101994</v>
      </c>
      <c r="D50" s="22">
        <v>8</v>
      </c>
      <c r="E50" s="21"/>
      <c r="F50" s="28"/>
      <c r="G50" s="21"/>
      <c r="H50" s="28"/>
      <c r="I50" s="21"/>
      <c r="J50" s="28"/>
      <c r="K50" s="21"/>
      <c r="L50" s="21"/>
      <c r="M50" s="21"/>
      <c r="N50" s="28"/>
      <c r="O50" s="28">
        <v>1</v>
      </c>
      <c r="P50" s="24">
        <v>44135</v>
      </c>
      <c r="Q50" s="36"/>
      <c r="R50" s="28"/>
      <c r="S50" s="21"/>
      <c r="T50" s="28"/>
      <c r="U50" s="21"/>
      <c r="V50" s="28"/>
      <c r="W50" s="21"/>
      <c r="X50" s="21"/>
      <c r="Y50" s="21"/>
      <c r="Z50" s="24"/>
      <c r="AA50" s="35">
        <v>22</v>
      </c>
      <c r="AB50" s="26">
        <v>49739</v>
      </c>
      <c r="AC50" s="21"/>
    </row>
    <row r="51" spans="1:29" ht="12.75">
      <c r="A51" s="21" t="s">
        <v>14</v>
      </c>
      <c r="B51" s="21" t="s">
        <v>61</v>
      </c>
      <c r="C51" s="22">
        <v>101037</v>
      </c>
      <c r="D51" s="22">
        <v>8</v>
      </c>
      <c r="E51" s="21"/>
      <c r="F51" s="28"/>
      <c r="G51" s="21"/>
      <c r="H51" s="28"/>
      <c r="I51" s="21"/>
      <c r="J51" s="28"/>
      <c r="K51" s="21"/>
      <c r="L51" s="21"/>
      <c r="M51" s="21"/>
      <c r="N51" s="28"/>
      <c r="O51" s="21"/>
      <c r="P51" s="24"/>
      <c r="Q51" s="36"/>
      <c r="R51" s="28"/>
      <c r="S51" s="21"/>
      <c r="T51" s="28"/>
      <c r="U51" s="21"/>
      <c r="V51" s="28"/>
      <c r="W51" s="21"/>
      <c r="X51" s="21"/>
      <c r="Y51" s="21"/>
      <c r="Z51" s="24"/>
      <c r="AA51" s="35">
        <v>28</v>
      </c>
      <c r="AB51" s="26">
        <v>44384</v>
      </c>
      <c r="AC51" s="21"/>
    </row>
    <row r="52" spans="1:29" ht="12.75">
      <c r="A52" s="21" t="s">
        <v>14</v>
      </c>
      <c r="B52" s="21" t="s">
        <v>62</v>
      </c>
      <c r="C52" s="22">
        <v>102313</v>
      </c>
      <c r="D52" s="22">
        <v>8</v>
      </c>
      <c r="E52" s="21"/>
      <c r="F52" s="28"/>
      <c r="G52" s="21"/>
      <c r="H52" s="28"/>
      <c r="I52" s="21"/>
      <c r="J52" s="28"/>
      <c r="K52" s="21"/>
      <c r="L52" s="21"/>
      <c r="M52" s="21"/>
      <c r="N52" s="28"/>
      <c r="O52" s="28">
        <v>1</v>
      </c>
      <c r="P52" s="24">
        <v>29527</v>
      </c>
      <c r="Q52" s="36"/>
      <c r="R52" s="28"/>
      <c r="S52" s="21"/>
      <c r="T52" s="28"/>
      <c r="U52" s="21"/>
      <c r="V52" s="23"/>
      <c r="W52" s="21"/>
      <c r="X52" s="21"/>
      <c r="Y52" s="21"/>
      <c r="Z52" s="26"/>
      <c r="AA52" s="35">
        <v>38</v>
      </c>
      <c r="AB52" s="26">
        <v>50284</v>
      </c>
      <c r="AC52" s="21"/>
    </row>
    <row r="53" spans="1:41" ht="12.75">
      <c r="A53" s="21" t="s">
        <v>63</v>
      </c>
      <c r="B53" s="21" t="s">
        <v>64</v>
      </c>
      <c r="C53" s="39">
        <v>106397</v>
      </c>
      <c r="D53" s="40">
        <v>1</v>
      </c>
      <c r="E53" s="21">
        <v>162</v>
      </c>
      <c r="F53" s="21">
        <v>66834</v>
      </c>
      <c r="G53" s="21">
        <v>152</v>
      </c>
      <c r="H53" s="21">
        <v>50759</v>
      </c>
      <c r="I53" s="21">
        <v>163</v>
      </c>
      <c r="J53" s="21">
        <v>42575</v>
      </c>
      <c r="K53" s="21">
        <v>39</v>
      </c>
      <c r="L53" s="21">
        <v>30337</v>
      </c>
      <c r="M53" s="21">
        <v>19</v>
      </c>
      <c r="N53" s="21">
        <v>18842</v>
      </c>
      <c r="O53" s="28"/>
      <c r="P53" s="24"/>
      <c r="Q53" s="34">
        <v>149</v>
      </c>
      <c r="R53" s="21">
        <v>79464</v>
      </c>
      <c r="S53" s="21">
        <v>69</v>
      </c>
      <c r="T53" s="21">
        <v>57867</v>
      </c>
      <c r="U53" s="21">
        <v>51</v>
      </c>
      <c r="V53" s="21">
        <v>50121</v>
      </c>
      <c r="W53" s="21">
        <v>24</v>
      </c>
      <c r="X53" s="21">
        <v>32949</v>
      </c>
      <c r="Y53" s="21" t="s">
        <v>65</v>
      </c>
      <c r="Z53" s="32" t="s">
        <v>65</v>
      </c>
      <c r="AA53" s="35"/>
      <c r="AB53" s="24"/>
      <c r="AC53" s="21"/>
      <c r="AD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1:41" ht="12.75">
      <c r="A54" s="21" t="s">
        <v>63</v>
      </c>
      <c r="B54" s="21" t="s">
        <v>66</v>
      </c>
      <c r="C54" s="39">
        <v>106458</v>
      </c>
      <c r="D54" s="40">
        <v>3</v>
      </c>
      <c r="E54" s="21">
        <v>85</v>
      </c>
      <c r="F54" s="21">
        <v>58428</v>
      </c>
      <c r="G54" s="21">
        <v>92</v>
      </c>
      <c r="H54" s="21">
        <v>47704</v>
      </c>
      <c r="I54" s="21">
        <v>121</v>
      </c>
      <c r="J54" s="21">
        <v>37807</v>
      </c>
      <c r="K54" s="21">
        <v>82</v>
      </c>
      <c r="L54" s="21">
        <v>29506</v>
      </c>
      <c r="M54" s="21" t="s">
        <v>65</v>
      </c>
      <c r="N54" s="21" t="s">
        <v>65</v>
      </c>
      <c r="O54" s="28"/>
      <c r="P54" s="24"/>
      <c r="Q54" s="34">
        <v>11</v>
      </c>
      <c r="R54" s="21">
        <v>76590</v>
      </c>
      <c r="S54" s="21">
        <v>13</v>
      </c>
      <c r="T54" s="21">
        <v>67416</v>
      </c>
      <c r="U54" s="21">
        <v>14</v>
      </c>
      <c r="V54" s="21">
        <v>50485</v>
      </c>
      <c r="W54" s="21">
        <v>17</v>
      </c>
      <c r="X54" s="21">
        <v>33937</v>
      </c>
      <c r="Y54" s="21" t="s">
        <v>65</v>
      </c>
      <c r="Z54" s="32" t="s">
        <v>65</v>
      </c>
      <c r="AA54" s="27"/>
      <c r="AB54" s="32"/>
      <c r="AC54" s="21"/>
      <c r="AD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  <row r="55" spans="1:41" ht="12.75">
      <c r="A55" s="21" t="s">
        <v>63</v>
      </c>
      <c r="B55" s="21" t="s">
        <v>67</v>
      </c>
      <c r="C55" s="39">
        <v>106245</v>
      </c>
      <c r="D55" s="40">
        <v>3</v>
      </c>
      <c r="E55" s="21">
        <v>126</v>
      </c>
      <c r="F55" s="21">
        <v>60199</v>
      </c>
      <c r="G55" s="21">
        <v>81</v>
      </c>
      <c r="H55" s="21">
        <v>46100</v>
      </c>
      <c r="I55" s="21">
        <v>75</v>
      </c>
      <c r="J55" s="21">
        <v>42347</v>
      </c>
      <c r="K55" s="21">
        <v>56</v>
      </c>
      <c r="L55" s="21">
        <v>30057</v>
      </c>
      <c r="M55" s="21">
        <v>27</v>
      </c>
      <c r="N55" s="21">
        <v>2410</v>
      </c>
      <c r="O55" s="23"/>
      <c r="P55" s="26"/>
      <c r="Q55" s="34">
        <v>10</v>
      </c>
      <c r="R55" s="21">
        <v>64320</v>
      </c>
      <c r="S55" s="21">
        <v>4</v>
      </c>
      <c r="T55" s="21">
        <v>56365</v>
      </c>
      <c r="U55" s="21">
        <v>2</v>
      </c>
      <c r="V55" s="21">
        <v>44128</v>
      </c>
      <c r="W55" s="21">
        <v>7</v>
      </c>
      <c r="X55" s="21">
        <v>40195</v>
      </c>
      <c r="Y55" s="21">
        <v>1</v>
      </c>
      <c r="Z55" s="32">
        <v>36800</v>
      </c>
      <c r="AA55" s="38"/>
      <c r="AB55" s="26"/>
      <c r="AC55" s="28"/>
      <c r="AD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</row>
    <row r="56" spans="1:41" ht="12.75">
      <c r="A56" s="21" t="s">
        <v>63</v>
      </c>
      <c r="B56" s="21" t="s">
        <v>68</v>
      </c>
      <c r="C56" s="39">
        <v>106704</v>
      </c>
      <c r="D56" s="40">
        <v>3</v>
      </c>
      <c r="E56" s="21">
        <v>70</v>
      </c>
      <c r="F56" s="21">
        <v>55184</v>
      </c>
      <c r="G56" s="21">
        <v>83</v>
      </c>
      <c r="H56" s="21">
        <v>45009</v>
      </c>
      <c r="I56" s="21">
        <v>102</v>
      </c>
      <c r="J56" s="21">
        <v>38649</v>
      </c>
      <c r="K56" s="21">
        <v>78</v>
      </c>
      <c r="L56" s="21">
        <v>30421</v>
      </c>
      <c r="M56" s="21">
        <v>7</v>
      </c>
      <c r="N56" s="21">
        <v>28282</v>
      </c>
      <c r="O56" s="23"/>
      <c r="P56" s="26"/>
      <c r="Q56" s="34">
        <v>21</v>
      </c>
      <c r="R56" s="21">
        <v>72301</v>
      </c>
      <c r="S56" s="21">
        <v>14</v>
      </c>
      <c r="T56" s="21">
        <v>62905</v>
      </c>
      <c r="U56" s="21" t="s">
        <v>65</v>
      </c>
      <c r="V56" s="21" t="s">
        <v>65</v>
      </c>
      <c r="W56" s="21">
        <v>1</v>
      </c>
      <c r="X56" s="21">
        <v>31929</v>
      </c>
      <c r="Y56" s="21">
        <v>1</v>
      </c>
      <c r="Z56" s="32">
        <v>35900</v>
      </c>
      <c r="AA56" s="38"/>
      <c r="AB56" s="26"/>
      <c r="AC56" s="28"/>
      <c r="AD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</row>
    <row r="57" spans="1:41" ht="12.75">
      <c r="A57" s="21" t="s">
        <v>63</v>
      </c>
      <c r="B57" s="21" t="s">
        <v>69</v>
      </c>
      <c r="C57" s="39">
        <v>106467</v>
      </c>
      <c r="D57" s="40">
        <v>5</v>
      </c>
      <c r="E57" s="21">
        <v>37</v>
      </c>
      <c r="F57" s="21">
        <v>47801</v>
      </c>
      <c r="G57" s="21">
        <v>69</v>
      </c>
      <c r="H57" s="21">
        <v>41370</v>
      </c>
      <c r="I57" s="21">
        <v>47</v>
      </c>
      <c r="J57" s="21">
        <v>35864</v>
      </c>
      <c r="K57" s="21">
        <v>15</v>
      </c>
      <c r="L57" s="21">
        <v>28457</v>
      </c>
      <c r="M57" s="21" t="s">
        <v>65</v>
      </c>
      <c r="N57" s="21" t="s">
        <v>65</v>
      </c>
      <c r="O57" s="23"/>
      <c r="P57" s="26"/>
      <c r="Q57" s="34">
        <v>11</v>
      </c>
      <c r="R57" s="21">
        <v>61370</v>
      </c>
      <c r="S57" s="21">
        <v>8</v>
      </c>
      <c r="T57" s="21">
        <v>59634</v>
      </c>
      <c r="U57" s="21" t="s">
        <v>65</v>
      </c>
      <c r="V57" s="21" t="s">
        <v>65</v>
      </c>
      <c r="W57" s="21" t="s">
        <v>65</v>
      </c>
      <c r="X57" s="21" t="s">
        <v>65</v>
      </c>
      <c r="Y57" s="21" t="s">
        <v>65</v>
      </c>
      <c r="Z57" s="32" t="s">
        <v>65</v>
      </c>
      <c r="AA57" s="38"/>
      <c r="AB57" s="26"/>
      <c r="AC57" s="28"/>
      <c r="AD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</row>
    <row r="58" spans="1:41" ht="12.75">
      <c r="A58" s="21" t="s">
        <v>63</v>
      </c>
      <c r="B58" s="21" t="s">
        <v>70</v>
      </c>
      <c r="C58" s="39">
        <v>107071</v>
      </c>
      <c r="D58" s="40">
        <v>5</v>
      </c>
      <c r="E58" s="21">
        <v>53</v>
      </c>
      <c r="F58" s="21">
        <v>48984</v>
      </c>
      <c r="G58" s="21">
        <v>45</v>
      </c>
      <c r="H58" s="21">
        <v>41722</v>
      </c>
      <c r="I58" s="21">
        <v>25</v>
      </c>
      <c r="J58" s="21">
        <v>35814</v>
      </c>
      <c r="K58" s="21">
        <v>18</v>
      </c>
      <c r="L58" s="21">
        <v>29149</v>
      </c>
      <c r="M58" s="21" t="s">
        <v>65</v>
      </c>
      <c r="N58" s="21" t="s">
        <v>65</v>
      </c>
      <c r="O58" s="28"/>
      <c r="P58" s="24"/>
      <c r="Q58" s="34">
        <v>2</v>
      </c>
      <c r="R58" s="21">
        <v>67412</v>
      </c>
      <c r="S58" s="21" t="s">
        <v>65</v>
      </c>
      <c r="T58" s="21" t="s">
        <v>65</v>
      </c>
      <c r="U58" s="21">
        <v>1</v>
      </c>
      <c r="V58" s="21">
        <v>60561</v>
      </c>
      <c r="W58" s="21" t="s">
        <v>65</v>
      </c>
      <c r="X58" s="21" t="s">
        <v>65</v>
      </c>
      <c r="Y58" s="21" t="s">
        <v>65</v>
      </c>
      <c r="Z58" s="32" t="s">
        <v>65</v>
      </c>
      <c r="AA58" s="35"/>
      <c r="AB58" s="24"/>
      <c r="AC58" s="28"/>
      <c r="AD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</row>
    <row r="59" spans="1:41" ht="12.75">
      <c r="A59" s="21" t="s">
        <v>63</v>
      </c>
      <c r="B59" s="29" t="s">
        <v>71</v>
      </c>
      <c r="C59" s="42">
        <v>107983</v>
      </c>
      <c r="D59" s="43">
        <v>5</v>
      </c>
      <c r="E59" s="21">
        <v>32</v>
      </c>
      <c r="F59" s="21">
        <v>50993</v>
      </c>
      <c r="G59" s="21">
        <v>21</v>
      </c>
      <c r="H59" s="21">
        <v>40529</v>
      </c>
      <c r="I59" s="21">
        <v>39</v>
      </c>
      <c r="J59" s="21">
        <v>36372</v>
      </c>
      <c r="K59" s="21">
        <v>10</v>
      </c>
      <c r="L59" s="21">
        <v>28859</v>
      </c>
      <c r="M59" s="21" t="s">
        <v>65</v>
      </c>
      <c r="N59" s="21" t="s">
        <v>65</v>
      </c>
      <c r="O59" s="28"/>
      <c r="P59" s="24"/>
      <c r="Q59" s="34">
        <v>6</v>
      </c>
      <c r="R59" s="21">
        <v>64822</v>
      </c>
      <c r="S59" s="21">
        <v>1</v>
      </c>
      <c r="T59" s="21">
        <v>64890</v>
      </c>
      <c r="U59" s="21">
        <v>2</v>
      </c>
      <c r="V59" s="21">
        <v>46365</v>
      </c>
      <c r="W59" s="21">
        <v>9</v>
      </c>
      <c r="X59" s="21">
        <v>39069</v>
      </c>
      <c r="Y59" s="21" t="s">
        <v>65</v>
      </c>
      <c r="Z59" s="32" t="s">
        <v>65</v>
      </c>
      <c r="AA59" s="35"/>
      <c r="AB59" s="24"/>
      <c r="AC59" s="28"/>
      <c r="AD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</row>
    <row r="60" spans="1:41" ht="12.75">
      <c r="A60" s="21" t="s">
        <v>63</v>
      </c>
      <c r="B60" s="21" t="s">
        <v>72</v>
      </c>
      <c r="C60" s="39">
        <v>106485</v>
      </c>
      <c r="D60" s="40">
        <v>6</v>
      </c>
      <c r="E60" s="21">
        <v>13</v>
      </c>
      <c r="F60" s="21">
        <v>48043</v>
      </c>
      <c r="G60" s="21">
        <v>24</v>
      </c>
      <c r="H60" s="21">
        <v>41235</v>
      </c>
      <c r="I60" s="21">
        <v>30</v>
      </c>
      <c r="J60" s="21">
        <v>34722</v>
      </c>
      <c r="K60" s="21">
        <v>22</v>
      </c>
      <c r="L60" s="21">
        <v>29863</v>
      </c>
      <c r="M60" s="21">
        <v>1</v>
      </c>
      <c r="N60" s="21">
        <v>20331</v>
      </c>
      <c r="O60" s="28"/>
      <c r="P60" s="24"/>
      <c r="Q60" s="34">
        <v>6</v>
      </c>
      <c r="R60" s="21">
        <v>65518</v>
      </c>
      <c r="S60" s="21">
        <v>4</v>
      </c>
      <c r="T60" s="21">
        <v>48987</v>
      </c>
      <c r="U60" s="21">
        <v>5</v>
      </c>
      <c r="V60" s="21">
        <v>44941</v>
      </c>
      <c r="W60" s="21">
        <v>2</v>
      </c>
      <c r="X60" s="21">
        <v>31295</v>
      </c>
      <c r="Y60" s="21" t="s">
        <v>65</v>
      </c>
      <c r="Z60" s="32" t="s">
        <v>65</v>
      </c>
      <c r="AA60" s="35"/>
      <c r="AB60" s="24"/>
      <c r="AC60" s="28"/>
      <c r="AD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</row>
    <row r="61" spans="1:41" ht="12.75">
      <c r="A61" s="21" t="s">
        <v>63</v>
      </c>
      <c r="B61" s="21" t="s">
        <v>73</v>
      </c>
      <c r="C61" s="39">
        <v>106412</v>
      </c>
      <c r="D61" s="40">
        <v>6</v>
      </c>
      <c r="E61" s="21">
        <v>20</v>
      </c>
      <c r="F61" s="21">
        <v>44419</v>
      </c>
      <c r="G61" s="21">
        <v>20</v>
      </c>
      <c r="H61" s="21">
        <v>42865</v>
      </c>
      <c r="I61" s="21">
        <v>43</v>
      </c>
      <c r="J61" s="21">
        <v>36582</v>
      </c>
      <c r="K61" s="21">
        <v>38</v>
      </c>
      <c r="L61" s="21">
        <v>28814</v>
      </c>
      <c r="M61" s="21" t="s">
        <v>65</v>
      </c>
      <c r="N61" s="21" t="s">
        <v>65</v>
      </c>
      <c r="O61" s="23"/>
      <c r="P61" s="26"/>
      <c r="Q61" s="34">
        <v>21</v>
      </c>
      <c r="R61" s="21">
        <v>56723</v>
      </c>
      <c r="S61" s="21">
        <v>13</v>
      </c>
      <c r="T61" s="21">
        <v>49530</v>
      </c>
      <c r="U61" s="21">
        <v>14</v>
      </c>
      <c r="V61" s="21">
        <v>41816</v>
      </c>
      <c r="W61" s="21">
        <v>6</v>
      </c>
      <c r="X61" s="21">
        <v>33828</v>
      </c>
      <c r="Y61" s="21">
        <v>1</v>
      </c>
      <c r="Z61" s="32">
        <v>37116</v>
      </c>
      <c r="AA61" s="35"/>
      <c r="AB61" s="24"/>
      <c r="AC61" s="28"/>
      <c r="AD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</row>
    <row r="62" spans="1:41" ht="12.75">
      <c r="A62" s="21" t="s">
        <v>63</v>
      </c>
      <c r="B62" s="21" t="s">
        <v>74</v>
      </c>
      <c r="C62" s="44">
        <v>106449</v>
      </c>
      <c r="D62" s="40">
        <v>7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1">
        <v>63</v>
      </c>
      <c r="P62" s="32">
        <v>30819</v>
      </c>
      <c r="Q62" s="25"/>
      <c r="R62" s="23"/>
      <c r="S62" s="23"/>
      <c r="T62" s="23"/>
      <c r="U62" s="23"/>
      <c r="V62" s="23"/>
      <c r="W62" s="23"/>
      <c r="X62" s="23"/>
      <c r="Y62" s="23"/>
      <c r="Z62" s="24"/>
      <c r="AA62" s="27">
        <v>8</v>
      </c>
      <c r="AB62" s="32">
        <v>38012</v>
      </c>
      <c r="AC62" s="28"/>
      <c r="AD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1" ht="12.75">
      <c r="A63" s="21" t="s">
        <v>63</v>
      </c>
      <c r="B63" s="21" t="s">
        <v>75</v>
      </c>
      <c r="C63" s="39">
        <v>901090</v>
      </c>
      <c r="D63" s="40">
        <v>7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1">
        <v>22</v>
      </c>
      <c r="P63" s="32">
        <v>30692</v>
      </c>
      <c r="Q63" s="37"/>
      <c r="R63" s="23"/>
      <c r="S63" s="23"/>
      <c r="T63" s="23"/>
      <c r="U63" s="23"/>
      <c r="V63" s="23"/>
      <c r="W63" s="23"/>
      <c r="X63" s="23"/>
      <c r="Y63" s="23"/>
      <c r="Z63" s="26"/>
      <c r="AA63" s="27" t="s">
        <v>65</v>
      </c>
      <c r="AB63" s="32" t="s">
        <v>65</v>
      </c>
      <c r="AC63" s="28"/>
      <c r="AD63" s="41"/>
      <c r="AG63" s="41"/>
      <c r="AH63" s="41"/>
      <c r="AI63" s="41"/>
      <c r="AJ63" s="41"/>
      <c r="AK63" s="41"/>
      <c r="AL63" s="41"/>
      <c r="AM63" s="41"/>
      <c r="AN63" s="41"/>
      <c r="AO63" s="41"/>
    </row>
    <row r="64" spans="1:41" ht="12.75">
      <c r="A64" s="21" t="s">
        <v>63</v>
      </c>
      <c r="B64" s="21" t="s">
        <v>76</v>
      </c>
      <c r="C64" s="39">
        <v>106625</v>
      </c>
      <c r="D64" s="40">
        <v>7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1">
        <v>34</v>
      </c>
      <c r="P64" s="32">
        <v>31050</v>
      </c>
      <c r="Q64" s="36"/>
      <c r="R64" s="23"/>
      <c r="S64" s="23"/>
      <c r="T64" s="23"/>
      <c r="U64" s="23"/>
      <c r="V64" s="23"/>
      <c r="W64" s="23"/>
      <c r="X64" s="23"/>
      <c r="Y64" s="23"/>
      <c r="Z64" s="26"/>
      <c r="AA64" s="27">
        <v>4</v>
      </c>
      <c r="AB64" s="32">
        <v>39582</v>
      </c>
      <c r="AC64" s="21"/>
      <c r="AD64" s="41"/>
      <c r="AG64" s="41"/>
      <c r="AH64" s="41"/>
      <c r="AI64" s="41"/>
      <c r="AJ64" s="41"/>
      <c r="AK64" s="41"/>
      <c r="AL64" s="41"/>
      <c r="AM64" s="41"/>
      <c r="AN64" s="41"/>
      <c r="AO64" s="41"/>
    </row>
    <row r="65" spans="1:41" ht="12.75">
      <c r="A65" s="21" t="s">
        <v>63</v>
      </c>
      <c r="B65" s="21" t="s">
        <v>77</v>
      </c>
      <c r="C65" s="39">
        <v>106795</v>
      </c>
      <c r="D65" s="40">
        <v>7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1">
        <v>22</v>
      </c>
      <c r="P65" s="32">
        <v>29904</v>
      </c>
      <c r="Q65" s="36"/>
      <c r="R65" s="23"/>
      <c r="S65" s="23"/>
      <c r="T65" s="23"/>
      <c r="U65" s="23"/>
      <c r="V65" s="23"/>
      <c r="W65" s="23"/>
      <c r="X65" s="23"/>
      <c r="Y65" s="23"/>
      <c r="Z65" s="26"/>
      <c r="AA65" s="27">
        <v>10</v>
      </c>
      <c r="AB65" s="32">
        <v>21526</v>
      </c>
      <c r="AC65" s="21"/>
      <c r="AD65" s="41"/>
      <c r="AG65" s="41"/>
      <c r="AH65" s="41"/>
      <c r="AI65" s="41"/>
      <c r="AJ65" s="41"/>
      <c r="AK65" s="41"/>
      <c r="AL65" s="41"/>
      <c r="AM65" s="41"/>
      <c r="AN65" s="41"/>
      <c r="AO65" s="41"/>
    </row>
    <row r="66" spans="1:41" ht="12.75">
      <c r="A66" s="21" t="s">
        <v>63</v>
      </c>
      <c r="B66" s="21" t="s">
        <v>78</v>
      </c>
      <c r="C66" s="39">
        <v>106883</v>
      </c>
      <c r="D66" s="40">
        <v>7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1">
        <v>35</v>
      </c>
      <c r="P66" s="32">
        <v>32958</v>
      </c>
      <c r="Q66" s="36"/>
      <c r="R66" s="23"/>
      <c r="S66" s="23"/>
      <c r="T66" s="23"/>
      <c r="U66" s="23"/>
      <c r="V66" s="23"/>
      <c r="W66" s="23"/>
      <c r="X66" s="23"/>
      <c r="Y66" s="23"/>
      <c r="Z66" s="26"/>
      <c r="AA66" s="27">
        <v>7</v>
      </c>
      <c r="AB66" s="32">
        <v>49652</v>
      </c>
      <c r="AC66" s="21"/>
      <c r="AD66" s="41"/>
      <c r="AG66" s="41"/>
      <c r="AH66" s="41"/>
      <c r="AI66" s="41"/>
      <c r="AJ66" s="41"/>
      <c r="AK66" s="41"/>
      <c r="AL66" s="41"/>
      <c r="AM66" s="41"/>
      <c r="AN66" s="41"/>
      <c r="AO66" s="41"/>
    </row>
    <row r="67" spans="1:41" ht="12.75">
      <c r="A67" s="21" t="s">
        <v>63</v>
      </c>
      <c r="B67" s="21" t="s">
        <v>79</v>
      </c>
      <c r="C67" s="39">
        <v>106980</v>
      </c>
      <c r="D67" s="40">
        <v>7</v>
      </c>
      <c r="E67" s="28"/>
      <c r="F67" s="28"/>
      <c r="G67" s="28"/>
      <c r="H67" s="28"/>
      <c r="I67" s="28"/>
      <c r="J67" s="28"/>
      <c r="K67" s="28"/>
      <c r="L67" s="23"/>
      <c r="M67" s="28"/>
      <c r="N67" s="28"/>
      <c r="O67" s="21">
        <v>42</v>
      </c>
      <c r="P67" s="32">
        <v>36640</v>
      </c>
      <c r="Q67" s="34"/>
      <c r="R67" s="28"/>
      <c r="S67" s="28"/>
      <c r="T67" s="28"/>
      <c r="U67" s="28"/>
      <c r="V67" s="28"/>
      <c r="W67" s="28"/>
      <c r="X67" s="28"/>
      <c r="Y67" s="28"/>
      <c r="Z67" s="24"/>
      <c r="AA67" s="27">
        <v>6</v>
      </c>
      <c r="AB67" s="32">
        <v>46667</v>
      </c>
      <c r="AC67" s="21"/>
      <c r="AD67" s="41"/>
      <c r="AG67" s="41"/>
      <c r="AH67" s="41"/>
      <c r="AI67" s="41"/>
      <c r="AJ67" s="41"/>
      <c r="AK67" s="41"/>
      <c r="AL67" s="41"/>
      <c r="AM67" s="41"/>
      <c r="AN67" s="41"/>
      <c r="AO67" s="41"/>
    </row>
    <row r="68" spans="1:41" ht="12.75">
      <c r="A68" s="21" t="s">
        <v>63</v>
      </c>
      <c r="B68" s="21" t="s">
        <v>80</v>
      </c>
      <c r="C68" s="39">
        <v>106999</v>
      </c>
      <c r="D68" s="40">
        <v>7</v>
      </c>
      <c r="E68" s="28"/>
      <c r="F68" s="28"/>
      <c r="G68" s="28"/>
      <c r="H68" s="28"/>
      <c r="I68" s="28"/>
      <c r="J68" s="28"/>
      <c r="K68" s="28"/>
      <c r="L68" s="23"/>
      <c r="M68" s="28"/>
      <c r="N68" s="28"/>
      <c r="O68" s="21">
        <v>21</v>
      </c>
      <c r="P68" s="32">
        <v>31173</v>
      </c>
      <c r="Q68" s="34"/>
      <c r="R68" s="28"/>
      <c r="S68" s="28"/>
      <c r="T68" s="28"/>
      <c r="U68" s="28"/>
      <c r="V68" s="28"/>
      <c r="W68" s="28"/>
      <c r="X68" s="28"/>
      <c r="Y68" s="28"/>
      <c r="Z68" s="24"/>
      <c r="AA68" s="27" t="s">
        <v>65</v>
      </c>
      <c r="AB68" s="32" t="s">
        <v>65</v>
      </c>
      <c r="AC68" s="21"/>
      <c r="AD68" s="45"/>
      <c r="AG68" s="41"/>
      <c r="AH68" s="41"/>
      <c r="AI68" s="41"/>
      <c r="AJ68" s="41"/>
      <c r="AK68" s="41"/>
      <c r="AL68" s="41"/>
      <c r="AM68" s="41"/>
      <c r="AN68" s="45"/>
      <c r="AO68" s="41"/>
    </row>
    <row r="69" spans="1:41" ht="12.75">
      <c r="A69" s="21" t="s">
        <v>63</v>
      </c>
      <c r="B69" s="21" t="s">
        <v>81</v>
      </c>
      <c r="C69" s="39">
        <v>107318</v>
      </c>
      <c r="D69" s="40">
        <v>7</v>
      </c>
      <c r="E69" s="28"/>
      <c r="F69" s="28"/>
      <c r="G69" s="28"/>
      <c r="H69" s="28"/>
      <c r="I69" s="28"/>
      <c r="J69" s="28"/>
      <c r="K69" s="28"/>
      <c r="L69" s="23"/>
      <c r="M69" s="28"/>
      <c r="N69" s="28"/>
      <c r="O69" s="21">
        <v>11</v>
      </c>
      <c r="P69" s="32">
        <v>32561</v>
      </c>
      <c r="Q69" s="34"/>
      <c r="R69" s="28"/>
      <c r="S69" s="28"/>
      <c r="T69" s="28"/>
      <c r="U69" s="28"/>
      <c r="V69" s="28"/>
      <c r="W69" s="28"/>
      <c r="X69" s="28"/>
      <c r="Y69" s="28"/>
      <c r="Z69" s="24"/>
      <c r="AA69" s="27">
        <v>6</v>
      </c>
      <c r="AB69" s="32">
        <v>33452</v>
      </c>
      <c r="AC69" s="21"/>
      <c r="AD69" s="41"/>
      <c r="AG69" s="41"/>
      <c r="AH69" s="41"/>
      <c r="AI69" s="41"/>
      <c r="AJ69" s="41"/>
      <c r="AK69" s="41"/>
      <c r="AL69" s="41"/>
      <c r="AM69" s="41"/>
      <c r="AN69" s="41"/>
      <c r="AO69" s="41"/>
    </row>
    <row r="70" spans="1:41" ht="12.75">
      <c r="A70" s="21" t="s">
        <v>63</v>
      </c>
      <c r="B70" s="21" t="s">
        <v>82</v>
      </c>
      <c r="C70" s="39">
        <v>107327</v>
      </c>
      <c r="D70" s="40">
        <v>7</v>
      </c>
      <c r="E70" s="28"/>
      <c r="F70" s="28"/>
      <c r="G70" s="28"/>
      <c r="H70" s="28"/>
      <c r="I70" s="28"/>
      <c r="J70" s="28"/>
      <c r="K70" s="28"/>
      <c r="L70" s="23"/>
      <c r="M70" s="28"/>
      <c r="N70" s="28"/>
      <c r="O70" s="21">
        <v>39</v>
      </c>
      <c r="P70" s="32">
        <v>34734</v>
      </c>
      <c r="Q70" s="34"/>
      <c r="R70" s="23"/>
      <c r="S70" s="28"/>
      <c r="T70" s="28"/>
      <c r="U70" s="28"/>
      <c r="V70" s="28"/>
      <c r="W70" s="28"/>
      <c r="X70" s="28"/>
      <c r="Y70" s="28"/>
      <c r="Z70" s="24"/>
      <c r="AA70" s="27">
        <v>4</v>
      </c>
      <c r="AB70" s="32">
        <v>51004</v>
      </c>
      <c r="AC70" s="21"/>
      <c r="AD70" s="41"/>
      <c r="AG70" s="41"/>
      <c r="AH70" s="41"/>
      <c r="AI70" s="41"/>
      <c r="AJ70" s="41"/>
      <c r="AK70" s="41"/>
      <c r="AL70" s="41"/>
      <c r="AM70" s="41"/>
      <c r="AN70" s="41"/>
      <c r="AO70" s="41"/>
    </row>
    <row r="71" spans="1:41" ht="12.75">
      <c r="A71" s="21" t="s">
        <v>63</v>
      </c>
      <c r="B71" s="21" t="s">
        <v>83</v>
      </c>
      <c r="C71" s="39">
        <v>107460</v>
      </c>
      <c r="D71" s="40">
        <v>7</v>
      </c>
      <c r="E71" s="28"/>
      <c r="F71" s="28"/>
      <c r="G71" s="28"/>
      <c r="H71" s="28"/>
      <c r="I71" s="28"/>
      <c r="J71" s="28"/>
      <c r="K71" s="28"/>
      <c r="L71" s="23"/>
      <c r="M71" s="28"/>
      <c r="N71" s="28"/>
      <c r="O71" s="21">
        <v>54</v>
      </c>
      <c r="P71" s="32">
        <v>35954</v>
      </c>
      <c r="Q71" s="34"/>
      <c r="R71" s="28"/>
      <c r="S71" s="28"/>
      <c r="T71" s="28"/>
      <c r="U71" s="28"/>
      <c r="V71" s="28"/>
      <c r="W71" s="28"/>
      <c r="X71" s="28"/>
      <c r="Y71" s="28"/>
      <c r="Z71" s="24"/>
      <c r="AA71" s="27">
        <v>10</v>
      </c>
      <c r="AB71" s="32">
        <v>48492</v>
      </c>
      <c r="AC71" s="21"/>
      <c r="AD71" s="41"/>
      <c r="AG71" s="41"/>
      <c r="AH71" s="41"/>
      <c r="AI71" s="41"/>
      <c r="AJ71" s="41"/>
      <c r="AK71" s="41"/>
      <c r="AL71" s="41"/>
      <c r="AM71" s="41"/>
      <c r="AN71" s="41"/>
      <c r="AO71" s="41"/>
    </row>
    <row r="72" spans="1:41" ht="12.75">
      <c r="A72" s="21" t="s">
        <v>63</v>
      </c>
      <c r="B72" s="21" t="s">
        <v>84</v>
      </c>
      <c r="C72" s="39">
        <v>367459</v>
      </c>
      <c r="D72" s="40">
        <v>7</v>
      </c>
      <c r="E72" s="28"/>
      <c r="F72" s="28"/>
      <c r="G72" s="28"/>
      <c r="H72" s="28"/>
      <c r="I72" s="28"/>
      <c r="J72" s="28"/>
      <c r="K72" s="28"/>
      <c r="L72" s="23"/>
      <c r="M72" s="28"/>
      <c r="N72" s="28"/>
      <c r="O72" s="21" t="s">
        <v>65</v>
      </c>
      <c r="P72" s="32" t="s">
        <v>65</v>
      </c>
      <c r="Q72" s="34"/>
      <c r="R72" s="28"/>
      <c r="S72" s="28"/>
      <c r="T72" s="28"/>
      <c r="U72" s="28"/>
      <c r="V72" s="28"/>
      <c r="W72" s="28"/>
      <c r="X72" s="28"/>
      <c r="Y72" s="23"/>
      <c r="Z72" s="24"/>
      <c r="AA72" s="27">
        <v>47</v>
      </c>
      <c r="AB72" s="32">
        <v>33724</v>
      </c>
      <c r="AC72" s="21"/>
      <c r="AD72" s="41"/>
      <c r="AG72" s="41"/>
      <c r="AH72" s="41"/>
      <c r="AI72" s="41"/>
      <c r="AJ72" s="41"/>
      <c r="AK72" s="41"/>
      <c r="AL72" s="41"/>
      <c r="AM72" s="41"/>
      <c r="AN72" s="41"/>
      <c r="AO72" s="41"/>
    </row>
    <row r="73" spans="1:41" ht="12.75">
      <c r="A73" s="21" t="s">
        <v>63</v>
      </c>
      <c r="B73" s="21" t="s">
        <v>85</v>
      </c>
      <c r="C73" s="39">
        <v>107521</v>
      </c>
      <c r="D73" s="40">
        <v>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1">
        <v>26</v>
      </c>
      <c r="P73" s="32">
        <v>31314</v>
      </c>
      <c r="Q73" s="34"/>
      <c r="R73" s="28"/>
      <c r="S73" s="28"/>
      <c r="T73" s="28"/>
      <c r="U73" s="28"/>
      <c r="V73" s="28"/>
      <c r="W73" s="28"/>
      <c r="X73" s="28"/>
      <c r="Y73" s="28"/>
      <c r="Z73" s="24"/>
      <c r="AA73" s="27">
        <v>2</v>
      </c>
      <c r="AB73" s="32">
        <v>40732</v>
      </c>
      <c r="AC73" s="21"/>
      <c r="AD73" s="41"/>
      <c r="AG73" s="41"/>
      <c r="AH73" s="41"/>
      <c r="AI73" s="41"/>
      <c r="AJ73" s="41"/>
      <c r="AK73" s="41"/>
      <c r="AL73" s="41"/>
      <c r="AM73" s="41"/>
      <c r="AN73" s="41"/>
      <c r="AO73" s="41"/>
    </row>
    <row r="74" spans="1:41" ht="12.75">
      <c r="A74" s="21" t="s">
        <v>63</v>
      </c>
      <c r="B74" s="21" t="s">
        <v>86</v>
      </c>
      <c r="C74" s="39">
        <v>107549</v>
      </c>
      <c r="D74" s="40">
        <v>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1">
        <v>15</v>
      </c>
      <c r="P74" s="32">
        <v>30296</v>
      </c>
      <c r="Q74" s="34"/>
      <c r="R74" s="28"/>
      <c r="S74" s="28"/>
      <c r="T74" s="28"/>
      <c r="U74" s="28"/>
      <c r="V74" s="28"/>
      <c r="W74" s="28"/>
      <c r="X74" s="28"/>
      <c r="Y74" s="28"/>
      <c r="Z74" s="24"/>
      <c r="AA74" s="27">
        <v>1</v>
      </c>
      <c r="AB74" s="32">
        <v>50544</v>
      </c>
      <c r="AC74" s="21"/>
      <c r="AD74" s="41"/>
      <c r="AG74" s="41"/>
      <c r="AH74" s="41"/>
      <c r="AI74" s="41"/>
      <c r="AJ74" s="41"/>
      <c r="AK74" s="41"/>
      <c r="AL74" s="41"/>
      <c r="AM74" s="41"/>
      <c r="AN74" s="41"/>
      <c r="AO74" s="41"/>
    </row>
    <row r="75" spans="1:41" ht="12.75">
      <c r="A75" s="21" t="s">
        <v>63</v>
      </c>
      <c r="B75" s="21" t="s">
        <v>87</v>
      </c>
      <c r="C75" s="39">
        <v>107585</v>
      </c>
      <c r="D75" s="40">
        <v>7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1">
        <v>34</v>
      </c>
      <c r="P75" s="32">
        <v>30638</v>
      </c>
      <c r="Q75" s="34"/>
      <c r="R75" s="28"/>
      <c r="S75" s="28"/>
      <c r="T75" s="28"/>
      <c r="U75" s="28"/>
      <c r="V75" s="28"/>
      <c r="W75" s="28"/>
      <c r="X75" s="28"/>
      <c r="Y75" s="28"/>
      <c r="Z75" s="24"/>
      <c r="AA75" s="27" t="s">
        <v>65</v>
      </c>
      <c r="AB75" s="32" t="s">
        <v>65</v>
      </c>
      <c r="AC75" s="21"/>
      <c r="AD75" s="41"/>
      <c r="AG75" s="41"/>
      <c r="AH75" s="41"/>
      <c r="AI75" s="41"/>
      <c r="AJ75" s="41"/>
      <c r="AK75" s="41"/>
      <c r="AL75" s="41"/>
      <c r="AM75" s="41"/>
      <c r="AN75" s="41"/>
      <c r="AO75" s="41"/>
    </row>
    <row r="76" spans="1:41" ht="12.75">
      <c r="A76" s="21" t="s">
        <v>63</v>
      </c>
      <c r="B76" s="21" t="s">
        <v>88</v>
      </c>
      <c r="C76" s="39">
        <v>107619</v>
      </c>
      <c r="D76" s="40">
        <v>7</v>
      </c>
      <c r="E76" s="28"/>
      <c r="F76" s="28"/>
      <c r="G76" s="28"/>
      <c r="H76" s="28"/>
      <c r="I76" s="28"/>
      <c r="J76" s="28"/>
      <c r="K76" s="28"/>
      <c r="L76" s="23"/>
      <c r="M76" s="28"/>
      <c r="N76" s="28"/>
      <c r="O76" s="21">
        <v>62</v>
      </c>
      <c r="P76" s="32">
        <v>32511</v>
      </c>
      <c r="Q76" s="34"/>
      <c r="R76" s="28"/>
      <c r="S76" s="28"/>
      <c r="T76" s="28"/>
      <c r="U76" s="28"/>
      <c r="V76" s="28"/>
      <c r="W76" s="28"/>
      <c r="X76" s="28"/>
      <c r="Y76" s="28"/>
      <c r="Z76" s="24"/>
      <c r="AA76" s="27">
        <v>1</v>
      </c>
      <c r="AB76" s="32">
        <v>35973</v>
      </c>
      <c r="AC76" s="21"/>
      <c r="AD76" s="41"/>
      <c r="AG76" s="41"/>
      <c r="AH76" s="41"/>
      <c r="AI76" s="41"/>
      <c r="AJ76" s="41"/>
      <c r="AK76" s="41"/>
      <c r="AL76" s="41"/>
      <c r="AM76" s="41"/>
      <c r="AN76" s="41"/>
      <c r="AO76" s="41"/>
    </row>
    <row r="77" spans="1:41" ht="12.75">
      <c r="A77" s="21" t="s">
        <v>63</v>
      </c>
      <c r="B77" s="21" t="s">
        <v>89</v>
      </c>
      <c r="C77" s="39">
        <v>107637</v>
      </c>
      <c r="D77" s="40">
        <v>7</v>
      </c>
      <c r="E77" s="28"/>
      <c r="F77" s="28"/>
      <c r="G77" s="28"/>
      <c r="H77" s="28"/>
      <c r="I77" s="28"/>
      <c r="J77" s="28"/>
      <c r="K77" s="28"/>
      <c r="L77" s="23"/>
      <c r="M77" s="28"/>
      <c r="N77" s="28"/>
      <c r="O77" s="21">
        <v>28</v>
      </c>
      <c r="P77" s="32">
        <v>34006</v>
      </c>
      <c r="Q77" s="34"/>
      <c r="R77" s="28"/>
      <c r="S77" s="28"/>
      <c r="T77" s="28"/>
      <c r="U77" s="28"/>
      <c r="V77" s="28"/>
      <c r="W77" s="28"/>
      <c r="X77" s="28"/>
      <c r="Y77" s="23"/>
      <c r="Z77" s="24"/>
      <c r="AA77" s="27">
        <v>2</v>
      </c>
      <c r="AB77" s="32">
        <v>39656</v>
      </c>
      <c r="AC77" s="21"/>
      <c r="AD77" s="41"/>
      <c r="AG77" s="41"/>
      <c r="AH77" s="41"/>
      <c r="AI77" s="41"/>
      <c r="AJ77" s="41"/>
      <c r="AK77" s="41"/>
      <c r="AL77" s="41"/>
      <c r="AM77" s="41"/>
      <c r="AN77" s="41"/>
      <c r="AO77" s="41"/>
    </row>
    <row r="78" spans="1:41" ht="12.75">
      <c r="A78" s="21" t="s">
        <v>63</v>
      </c>
      <c r="B78" s="21" t="s">
        <v>90</v>
      </c>
      <c r="C78" s="39">
        <v>107664</v>
      </c>
      <c r="D78" s="40">
        <v>7</v>
      </c>
      <c r="E78" s="28"/>
      <c r="F78" s="28"/>
      <c r="G78" s="28"/>
      <c r="H78" s="28"/>
      <c r="I78" s="28"/>
      <c r="J78" s="28"/>
      <c r="K78" s="28"/>
      <c r="L78" s="23"/>
      <c r="M78" s="28"/>
      <c r="N78" s="28"/>
      <c r="O78" s="21">
        <v>46</v>
      </c>
      <c r="P78" s="32">
        <v>32244</v>
      </c>
      <c r="Q78" s="34"/>
      <c r="R78" s="28"/>
      <c r="S78" s="28"/>
      <c r="T78" s="28"/>
      <c r="U78" s="28"/>
      <c r="V78" s="28"/>
      <c r="W78" s="28"/>
      <c r="X78" s="28"/>
      <c r="Y78" s="23"/>
      <c r="Z78" s="24"/>
      <c r="AA78" s="27">
        <v>3</v>
      </c>
      <c r="AB78" s="32">
        <v>43971</v>
      </c>
      <c r="AC78" s="21"/>
      <c r="AD78" s="41"/>
      <c r="AG78" s="41"/>
      <c r="AH78" s="41"/>
      <c r="AI78" s="41"/>
      <c r="AJ78" s="41"/>
      <c r="AK78" s="41"/>
      <c r="AL78" s="41"/>
      <c r="AM78" s="41"/>
      <c r="AN78" s="41"/>
      <c r="AO78" s="41"/>
    </row>
    <row r="79" spans="1:41" ht="12.75">
      <c r="A79" s="21" t="s">
        <v>63</v>
      </c>
      <c r="B79" s="21" t="s">
        <v>91</v>
      </c>
      <c r="C79" s="39">
        <v>107725</v>
      </c>
      <c r="D79" s="40">
        <v>7</v>
      </c>
      <c r="E79" s="28"/>
      <c r="F79" s="28"/>
      <c r="G79" s="28"/>
      <c r="H79" s="28"/>
      <c r="I79" s="28"/>
      <c r="J79" s="28"/>
      <c r="K79" s="28"/>
      <c r="L79" s="23"/>
      <c r="M79" s="28"/>
      <c r="N79" s="28"/>
      <c r="O79" s="21">
        <v>37</v>
      </c>
      <c r="P79" s="32">
        <v>30150</v>
      </c>
      <c r="Q79" s="34"/>
      <c r="R79" s="28"/>
      <c r="S79" s="28"/>
      <c r="T79" s="28"/>
      <c r="U79" s="28"/>
      <c r="V79" s="28"/>
      <c r="W79" s="28"/>
      <c r="X79" s="28"/>
      <c r="Y79" s="23"/>
      <c r="Z79" s="24"/>
      <c r="AA79" s="27" t="s">
        <v>65</v>
      </c>
      <c r="AB79" s="32" t="s">
        <v>65</v>
      </c>
      <c r="AC79" s="21"/>
      <c r="AD79" s="41"/>
      <c r="AG79" s="41"/>
      <c r="AH79" s="41"/>
      <c r="AI79" s="41"/>
      <c r="AJ79" s="41"/>
      <c r="AK79" s="41"/>
      <c r="AL79" s="41"/>
      <c r="AM79" s="41"/>
      <c r="AN79" s="41"/>
      <c r="AO79" s="41"/>
    </row>
    <row r="80" spans="1:41" ht="12.75">
      <c r="A80" s="21" t="s">
        <v>63</v>
      </c>
      <c r="B80" s="21" t="s">
        <v>92</v>
      </c>
      <c r="C80" s="39">
        <v>107743</v>
      </c>
      <c r="D80" s="40">
        <v>7</v>
      </c>
      <c r="E80" s="28"/>
      <c r="F80" s="28"/>
      <c r="G80" s="28"/>
      <c r="H80" s="28"/>
      <c r="I80" s="28"/>
      <c r="J80" s="28"/>
      <c r="K80" s="28"/>
      <c r="L80" s="23"/>
      <c r="M80" s="28"/>
      <c r="N80" s="28"/>
      <c r="O80" s="21">
        <v>15</v>
      </c>
      <c r="P80" s="32">
        <v>37631</v>
      </c>
      <c r="Q80" s="34"/>
      <c r="R80" s="28"/>
      <c r="S80" s="28"/>
      <c r="T80" s="28"/>
      <c r="U80" s="28"/>
      <c r="V80" s="28"/>
      <c r="W80" s="28"/>
      <c r="X80" s="28"/>
      <c r="Y80" s="23"/>
      <c r="Z80" s="24"/>
      <c r="AA80" s="27">
        <v>2</v>
      </c>
      <c r="AB80" s="32">
        <v>38005</v>
      </c>
      <c r="AC80" s="21"/>
      <c r="AD80" s="41"/>
      <c r="AG80" s="41"/>
      <c r="AH80" s="41"/>
      <c r="AI80" s="41"/>
      <c r="AJ80" s="41"/>
      <c r="AK80" s="41"/>
      <c r="AL80" s="41"/>
      <c r="AM80" s="41"/>
      <c r="AN80" s="41"/>
      <c r="AO80" s="41"/>
    </row>
    <row r="81" spans="1:41" ht="12.75">
      <c r="A81" s="21" t="s">
        <v>63</v>
      </c>
      <c r="B81" s="21" t="s">
        <v>93</v>
      </c>
      <c r="C81" s="39">
        <v>107974</v>
      </c>
      <c r="D81" s="40">
        <v>7</v>
      </c>
      <c r="E81" s="28"/>
      <c r="F81" s="28"/>
      <c r="G81" s="28"/>
      <c r="H81" s="28"/>
      <c r="I81" s="28"/>
      <c r="J81" s="28"/>
      <c r="K81" s="28"/>
      <c r="L81" s="23"/>
      <c r="M81" s="28"/>
      <c r="N81" s="28"/>
      <c r="O81" s="21">
        <v>30</v>
      </c>
      <c r="P81" s="32">
        <v>36948</v>
      </c>
      <c r="Q81" s="34"/>
      <c r="R81" s="28"/>
      <c r="S81" s="28"/>
      <c r="T81" s="28"/>
      <c r="U81" s="28"/>
      <c r="V81" s="28"/>
      <c r="W81" s="28"/>
      <c r="X81" s="28"/>
      <c r="Y81" s="23"/>
      <c r="Z81" s="24"/>
      <c r="AA81" s="27">
        <v>13</v>
      </c>
      <c r="AB81" s="32">
        <v>38412</v>
      </c>
      <c r="AC81" s="21"/>
      <c r="AD81" s="41"/>
      <c r="AG81" s="41"/>
      <c r="AH81" s="41"/>
      <c r="AI81" s="41"/>
      <c r="AJ81" s="41"/>
      <c r="AK81" s="41"/>
      <c r="AL81" s="41"/>
      <c r="AM81" s="41"/>
      <c r="AN81" s="41"/>
      <c r="AO81" s="41"/>
    </row>
    <row r="82" spans="1:41" ht="12.75">
      <c r="A82" s="21" t="s">
        <v>63</v>
      </c>
      <c r="B82" s="21" t="s">
        <v>94</v>
      </c>
      <c r="C82" s="39">
        <v>107992</v>
      </c>
      <c r="D82" s="40">
        <v>7</v>
      </c>
      <c r="E82" s="28"/>
      <c r="F82" s="28"/>
      <c r="G82" s="28"/>
      <c r="H82" s="28"/>
      <c r="I82" s="28"/>
      <c r="J82" s="28"/>
      <c r="K82" s="28"/>
      <c r="L82" s="23"/>
      <c r="M82" s="28"/>
      <c r="N82" s="28"/>
      <c r="O82" s="21">
        <v>28</v>
      </c>
      <c r="P82" s="32">
        <v>35414</v>
      </c>
      <c r="Q82" s="34"/>
      <c r="R82" s="28"/>
      <c r="S82" s="28"/>
      <c r="T82" s="28"/>
      <c r="U82" s="28"/>
      <c r="V82" s="28"/>
      <c r="W82" s="28"/>
      <c r="X82" s="28"/>
      <c r="Y82" s="23"/>
      <c r="Z82" s="24"/>
      <c r="AA82" s="27">
        <v>1</v>
      </c>
      <c r="AB82" s="32">
        <v>33000</v>
      </c>
      <c r="AC82" s="21"/>
      <c r="AD82" s="41"/>
      <c r="AG82" s="41"/>
      <c r="AH82" s="41"/>
      <c r="AI82" s="41"/>
      <c r="AJ82" s="41"/>
      <c r="AK82" s="41"/>
      <c r="AL82" s="41"/>
      <c r="AM82" s="41"/>
      <c r="AN82" s="41"/>
      <c r="AO82" s="41"/>
    </row>
    <row r="83" spans="1:41" ht="12.75">
      <c r="A83" s="21" t="s">
        <v>63</v>
      </c>
      <c r="B83" s="21" t="s">
        <v>95</v>
      </c>
      <c r="C83" s="39">
        <v>108092</v>
      </c>
      <c r="D83" s="40">
        <v>7</v>
      </c>
      <c r="E83" s="28"/>
      <c r="F83" s="28"/>
      <c r="G83" s="28"/>
      <c r="H83" s="28"/>
      <c r="I83" s="28"/>
      <c r="J83" s="28"/>
      <c r="K83" s="28"/>
      <c r="L83" s="23"/>
      <c r="M83" s="28"/>
      <c r="N83" s="28"/>
      <c r="O83" s="21">
        <v>97</v>
      </c>
      <c r="P83" s="32">
        <v>34437</v>
      </c>
      <c r="Q83" s="34"/>
      <c r="R83" s="28"/>
      <c r="S83" s="28"/>
      <c r="T83" s="28"/>
      <c r="U83" s="28"/>
      <c r="V83" s="28"/>
      <c r="W83" s="28"/>
      <c r="X83" s="28"/>
      <c r="Y83" s="23"/>
      <c r="Z83" s="24"/>
      <c r="AA83" s="27">
        <v>24</v>
      </c>
      <c r="AB83" s="32">
        <v>44416</v>
      </c>
      <c r="AC83" s="21"/>
      <c r="AD83" s="41"/>
      <c r="AG83" s="41"/>
      <c r="AH83" s="41"/>
      <c r="AI83" s="41"/>
      <c r="AJ83" s="41"/>
      <c r="AK83" s="41"/>
      <c r="AL83" s="41"/>
      <c r="AM83" s="41"/>
      <c r="AN83" s="41"/>
      <c r="AO83" s="41"/>
    </row>
    <row r="84" spans="1:41" ht="12.75">
      <c r="A84" s="21" t="s">
        <v>63</v>
      </c>
      <c r="B84" s="21" t="s">
        <v>96</v>
      </c>
      <c r="C84" s="39">
        <v>106263</v>
      </c>
      <c r="D84" s="40">
        <v>9</v>
      </c>
      <c r="E84" s="21" t="s">
        <v>65</v>
      </c>
      <c r="F84" s="21" t="s">
        <v>65</v>
      </c>
      <c r="G84" s="21">
        <v>3</v>
      </c>
      <c r="H84" s="21">
        <v>46906</v>
      </c>
      <c r="I84" s="21">
        <v>2</v>
      </c>
      <c r="J84" s="21">
        <v>32927</v>
      </c>
      <c r="K84" s="21">
        <v>3</v>
      </c>
      <c r="L84" s="21">
        <v>26241</v>
      </c>
      <c r="M84" s="21" t="s">
        <v>65</v>
      </c>
      <c r="N84" s="21" t="s">
        <v>65</v>
      </c>
      <c r="O84" s="28"/>
      <c r="P84" s="24"/>
      <c r="Q84" s="34">
        <v>15</v>
      </c>
      <c r="R84" s="21">
        <v>87248</v>
      </c>
      <c r="S84" s="21">
        <v>35</v>
      </c>
      <c r="T84" s="21">
        <v>65734</v>
      </c>
      <c r="U84" s="21">
        <v>48</v>
      </c>
      <c r="V84" s="21">
        <v>52850</v>
      </c>
      <c r="W84" s="21">
        <v>31</v>
      </c>
      <c r="X84" s="21">
        <v>43146</v>
      </c>
      <c r="Y84" s="21" t="s">
        <v>65</v>
      </c>
      <c r="Z84" s="32" t="s">
        <v>65</v>
      </c>
      <c r="AA84" s="35"/>
      <c r="AB84" s="24"/>
      <c r="AC84" s="2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</row>
    <row r="85" spans="1:41" ht="12.75">
      <c r="A85" s="21" t="s">
        <v>97</v>
      </c>
      <c r="B85" s="21" t="s">
        <v>98</v>
      </c>
      <c r="C85" s="22" t="s">
        <v>99</v>
      </c>
      <c r="D85" s="22">
        <v>1</v>
      </c>
      <c r="E85" s="23">
        <v>464</v>
      </c>
      <c r="F85" s="23">
        <v>67678.6387715517</v>
      </c>
      <c r="G85" s="23">
        <v>310</v>
      </c>
      <c r="H85" s="23">
        <v>50178.4079032258</v>
      </c>
      <c r="I85" s="23">
        <v>173</v>
      </c>
      <c r="J85" s="23">
        <v>45377.6329479769</v>
      </c>
      <c r="K85" s="23">
        <v>14</v>
      </c>
      <c r="L85" s="23">
        <v>21848.6964285714</v>
      </c>
      <c r="M85" s="23">
        <v>10</v>
      </c>
      <c r="N85" s="23">
        <v>28440</v>
      </c>
      <c r="O85" s="23">
        <v>0</v>
      </c>
      <c r="P85" s="26">
        <v>0</v>
      </c>
      <c r="Q85" s="46"/>
      <c r="R85" s="23"/>
      <c r="S85" s="23"/>
      <c r="T85" s="23"/>
      <c r="U85" s="23"/>
      <c r="V85" s="23"/>
      <c r="W85" s="23"/>
      <c r="X85" s="23"/>
      <c r="Y85" s="23"/>
      <c r="Z85" s="26"/>
      <c r="AA85" s="38"/>
      <c r="AB85" s="26"/>
      <c r="AC85" s="2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</row>
    <row r="86" spans="1:39" ht="12.75">
      <c r="A86" s="21" t="s">
        <v>97</v>
      </c>
      <c r="B86" s="21" t="s">
        <v>100</v>
      </c>
      <c r="C86" s="22" t="s">
        <v>101</v>
      </c>
      <c r="D86" s="22">
        <v>1</v>
      </c>
      <c r="E86" s="23">
        <v>465</v>
      </c>
      <c r="F86" s="23">
        <v>70428.5624897959</v>
      </c>
      <c r="G86" s="23">
        <v>471</v>
      </c>
      <c r="H86" s="23">
        <v>50231.8575265393</v>
      </c>
      <c r="I86" s="23">
        <v>356</v>
      </c>
      <c r="J86" s="23">
        <v>44124.790625</v>
      </c>
      <c r="K86" s="23">
        <v>13</v>
      </c>
      <c r="L86" s="23">
        <v>37102.3028846154</v>
      </c>
      <c r="M86" s="23">
        <v>0</v>
      </c>
      <c r="N86" s="23">
        <v>0</v>
      </c>
      <c r="O86" s="23">
        <v>0</v>
      </c>
      <c r="P86" s="26">
        <v>0</v>
      </c>
      <c r="Q86" s="46"/>
      <c r="R86" s="23"/>
      <c r="S86" s="23"/>
      <c r="T86" s="23"/>
      <c r="U86" s="23"/>
      <c r="V86" s="23"/>
      <c r="W86" s="23"/>
      <c r="X86" s="23"/>
      <c r="Y86" s="23"/>
      <c r="Z86" s="26"/>
      <c r="AA86" s="38"/>
      <c r="AB86" s="26"/>
      <c r="AC86" s="21"/>
      <c r="AD86" s="47"/>
      <c r="AE86" s="47"/>
      <c r="AF86" s="47"/>
      <c r="AG86" s="47"/>
      <c r="AH86" s="47"/>
      <c r="AI86" s="47"/>
      <c r="AJ86" s="47"/>
      <c r="AK86" s="47"/>
      <c r="AL86" s="47"/>
      <c r="AM86" s="47"/>
    </row>
    <row r="87" spans="1:39" ht="12.75">
      <c r="A87" s="21" t="s">
        <v>97</v>
      </c>
      <c r="B87" s="21" t="s">
        <v>102</v>
      </c>
      <c r="C87" s="22" t="s">
        <v>103</v>
      </c>
      <c r="D87" s="22">
        <v>1</v>
      </c>
      <c r="E87" s="23">
        <v>466</v>
      </c>
      <c r="F87" s="23">
        <v>66942.314</v>
      </c>
      <c r="G87" s="23">
        <v>305</v>
      </c>
      <c r="H87" s="23">
        <v>50031.9819672131</v>
      </c>
      <c r="I87" s="23">
        <v>195</v>
      </c>
      <c r="J87" s="23">
        <v>43018.8512820513</v>
      </c>
      <c r="K87" s="23">
        <v>103</v>
      </c>
      <c r="L87" s="23">
        <v>31247.0024271845</v>
      </c>
      <c r="M87" s="23">
        <v>43</v>
      </c>
      <c r="N87" s="23">
        <v>30237.8779069767</v>
      </c>
      <c r="O87" s="23">
        <v>0</v>
      </c>
      <c r="P87" s="26">
        <v>0</v>
      </c>
      <c r="Q87" s="46"/>
      <c r="R87" s="23"/>
      <c r="S87" s="23"/>
      <c r="T87" s="23"/>
      <c r="U87" s="23"/>
      <c r="V87" s="23"/>
      <c r="W87" s="23"/>
      <c r="X87" s="23"/>
      <c r="Y87" s="23"/>
      <c r="Z87" s="26"/>
      <c r="AA87" s="38"/>
      <c r="AB87" s="26"/>
      <c r="AC87" s="21"/>
      <c r="AD87" s="47"/>
      <c r="AE87" s="47"/>
      <c r="AF87" s="47"/>
      <c r="AG87" s="47"/>
      <c r="AH87" s="47"/>
      <c r="AI87" s="47"/>
      <c r="AJ87" s="47"/>
      <c r="AK87" s="47"/>
      <c r="AL87" s="45"/>
      <c r="AM87" s="45"/>
    </row>
    <row r="88" spans="1:39" ht="12.75">
      <c r="A88" s="21" t="s">
        <v>97</v>
      </c>
      <c r="B88" s="21" t="s">
        <v>104</v>
      </c>
      <c r="C88" s="22" t="s">
        <v>105</v>
      </c>
      <c r="D88" s="22">
        <v>2</v>
      </c>
      <c r="E88" s="23">
        <v>467</v>
      </c>
      <c r="F88" s="23">
        <v>64333.9595959596</v>
      </c>
      <c r="G88" s="23">
        <v>167</v>
      </c>
      <c r="H88" s="23">
        <v>49185.8248502994</v>
      </c>
      <c r="I88" s="23">
        <v>177</v>
      </c>
      <c r="J88" s="23">
        <v>42135.9011299435</v>
      </c>
      <c r="K88" s="23">
        <v>27</v>
      </c>
      <c r="L88" s="23">
        <v>36283.7222222222</v>
      </c>
      <c r="M88" s="23">
        <v>6</v>
      </c>
      <c r="N88" s="23">
        <v>30875.7083333333</v>
      </c>
      <c r="O88" s="23">
        <v>0</v>
      </c>
      <c r="P88" s="26">
        <v>0</v>
      </c>
      <c r="Q88" s="46"/>
      <c r="R88" s="23"/>
      <c r="S88" s="23"/>
      <c r="T88" s="23"/>
      <c r="U88" s="23"/>
      <c r="V88" s="23"/>
      <c r="W88" s="23"/>
      <c r="X88" s="23"/>
      <c r="Y88" s="23"/>
      <c r="Z88" s="26"/>
      <c r="AA88" s="38"/>
      <c r="AB88" s="26"/>
      <c r="AC88" s="21"/>
      <c r="AD88" s="47"/>
      <c r="AE88" s="47"/>
      <c r="AF88" s="47"/>
      <c r="AG88" s="47"/>
      <c r="AH88" s="47"/>
      <c r="AI88" s="47"/>
      <c r="AJ88" s="47"/>
      <c r="AK88" s="47"/>
      <c r="AL88" s="45"/>
      <c r="AM88" s="45"/>
    </row>
    <row r="89" spans="1:39" ht="12.75">
      <c r="A89" s="21" t="s">
        <v>97</v>
      </c>
      <c r="B89" s="29" t="s">
        <v>106</v>
      </c>
      <c r="C89" s="30" t="s">
        <v>107</v>
      </c>
      <c r="D89" s="30">
        <v>2</v>
      </c>
      <c r="E89" s="23">
        <v>469</v>
      </c>
      <c r="F89" s="23">
        <v>63633.0013513514</v>
      </c>
      <c r="G89" s="23">
        <v>292</v>
      </c>
      <c r="H89" s="23">
        <v>46856.0582191781</v>
      </c>
      <c r="I89" s="23">
        <v>217</v>
      </c>
      <c r="J89" s="23">
        <v>41827.8778801843</v>
      </c>
      <c r="K89" s="23">
        <v>130</v>
      </c>
      <c r="L89" s="23">
        <v>33774.5538461538</v>
      </c>
      <c r="M89" s="23">
        <v>7</v>
      </c>
      <c r="N89" s="23">
        <v>35095.5714285714</v>
      </c>
      <c r="O89" s="23">
        <v>0</v>
      </c>
      <c r="P89" s="26">
        <v>0</v>
      </c>
      <c r="Q89" s="46"/>
      <c r="R89" s="23"/>
      <c r="S89" s="23"/>
      <c r="T89" s="23"/>
      <c r="U89" s="23"/>
      <c r="V89" s="23"/>
      <c r="W89" s="23"/>
      <c r="X89" s="23"/>
      <c r="Y89" s="23"/>
      <c r="Z89" s="26"/>
      <c r="AA89" s="38"/>
      <c r="AB89" s="26"/>
      <c r="AC89" s="21"/>
      <c r="AD89" s="47"/>
      <c r="AE89" s="47"/>
      <c r="AF89" s="47"/>
      <c r="AG89" s="47"/>
      <c r="AH89" s="47"/>
      <c r="AI89" s="47"/>
      <c r="AJ89" s="47"/>
      <c r="AK89" s="47"/>
      <c r="AL89" s="45"/>
      <c r="AM89" s="45"/>
    </row>
    <row r="90" spans="1:39" ht="12.75">
      <c r="A90" s="21" t="s">
        <v>97</v>
      </c>
      <c r="B90" s="21" t="s">
        <v>108</v>
      </c>
      <c r="C90" s="22" t="s">
        <v>109</v>
      </c>
      <c r="D90" s="22">
        <v>2</v>
      </c>
      <c r="E90" s="23">
        <v>468</v>
      </c>
      <c r="F90" s="23">
        <v>67338.7916666667</v>
      </c>
      <c r="G90" s="23">
        <v>222</v>
      </c>
      <c r="H90" s="23">
        <v>52298.1644144144</v>
      </c>
      <c r="I90" s="23">
        <v>168</v>
      </c>
      <c r="J90" s="23">
        <v>43446.6666666667</v>
      </c>
      <c r="K90" s="23">
        <v>75</v>
      </c>
      <c r="L90" s="23">
        <v>30896.9566666667</v>
      </c>
      <c r="M90" s="23">
        <v>5</v>
      </c>
      <c r="N90" s="23">
        <v>40032.8</v>
      </c>
      <c r="O90" s="23">
        <v>0</v>
      </c>
      <c r="P90" s="26">
        <v>0</v>
      </c>
      <c r="Q90" s="46"/>
      <c r="R90" s="23"/>
      <c r="S90" s="23"/>
      <c r="T90" s="23"/>
      <c r="U90" s="23"/>
      <c r="V90" s="23"/>
      <c r="W90" s="23"/>
      <c r="X90" s="23"/>
      <c r="Y90" s="23"/>
      <c r="Z90" s="26"/>
      <c r="AA90" s="38"/>
      <c r="AB90" s="26"/>
      <c r="AC90" s="21"/>
      <c r="AD90" s="47"/>
      <c r="AE90" s="47"/>
      <c r="AF90" s="47"/>
      <c r="AG90" s="47"/>
      <c r="AH90" s="47"/>
      <c r="AI90" s="47"/>
      <c r="AJ90" s="47"/>
      <c r="AK90" s="47"/>
      <c r="AL90" s="45"/>
      <c r="AM90" s="45"/>
    </row>
    <row r="91" spans="1:39" ht="12.75">
      <c r="A91" s="21" t="s">
        <v>97</v>
      </c>
      <c r="B91" s="29" t="s">
        <v>110</v>
      </c>
      <c r="C91" s="30" t="s">
        <v>111</v>
      </c>
      <c r="D91" s="30">
        <v>3</v>
      </c>
      <c r="E91" s="23">
        <v>118</v>
      </c>
      <c r="F91" s="23">
        <v>58448.2392372881</v>
      </c>
      <c r="G91" s="23">
        <v>127</v>
      </c>
      <c r="H91" s="23">
        <v>51381.9594488189</v>
      </c>
      <c r="I91" s="23">
        <v>180</v>
      </c>
      <c r="J91" s="23">
        <v>42956.1558888889</v>
      </c>
      <c r="K91" s="23">
        <v>85</v>
      </c>
      <c r="L91" s="23">
        <v>33127.2830588235</v>
      </c>
      <c r="M91" s="23">
        <v>1</v>
      </c>
      <c r="N91" s="23">
        <v>31087.5</v>
      </c>
      <c r="O91" s="23">
        <v>0</v>
      </c>
      <c r="P91" s="26">
        <v>0</v>
      </c>
      <c r="Q91" s="46"/>
      <c r="R91" s="23"/>
      <c r="S91" s="23"/>
      <c r="T91" s="23"/>
      <c r="U91" s="23"/>
      <c r="V91" s="23"/>
      <c r="W91" s="23"/>
      <c r="X91" s="23"/>
      <c r="Y91" s="23"/>
      <c r="Z91" s="26"/>
      <c r="AA91" s="38"/>
      <c r="AB91" s="26"/>
      <c r="AC91" s="21"/>
      <c r="AD91" s="47"/>
      <c r="AE91" s="47"/>
      <c r="AF91" s="47"/>
      <c r="AG91" s="47"/>
      <c r="AH91" s="47"/>
      <c r="AI91" s="47"/>
      <c r="AJ91" s="47"/>
      <c r="AK91" s="47"/>
      <c r="AL91" s="45"/>
      <c r="AM91" s="45"/>
    </row>
    <row r="92" spans="1:29" ht="12.75">
      <c r="A92" s="21" t="s">
        <v>97</v>
      </c>
      <c r="B92" s="21" t="s">
        <v>112</v>
      </c>
      <c r="C92" s="22" t="s">
        <v>113</v>
      </c>
      <c r="D92" s="22">
        <v>3</v>
      </c>
      <c r="E92" s="23">
        <v>470</v>
      </c>
      <c r="F92" s="23">
        <v>58123.8867924528</v>
      </c>
      <c r="G92" s="23">
        <v>68</v>
      </c>
      <c r="H92" s="23">
        <v>47912.9411764706</v>
      </c>
      <c r="I92" s="23">
        <v>59</v>
      </c>
      <c r="J92" s="23">
        <v>42029.6440677966</v>
      </c>
      <c r="K92" s="23">
        <v>20</v>
      </c>
      <c r="L92" s="23">
        <v>32036.6</v>
      </c>
      <c r="M92" s="23">
        <v>6</v>
      </c>
      <c r="N92" s="23">
        <v>28264.3333333333</v>
      </c>
      <c r="O92" s="23">
        <v>0</v>
      </c>
      <c r="P92" s="26">
        <v>0</v>
      </c>
      <c r="Q92" s="46"/>
      <c r="R92" s="23"/>
      <c r="S92" s="23"/>
      <c r="T92" s="23"/>
      <c r="U92" s="23"/>
      <c r="V92" s="23"/>
      <c r="W92" s="23"/>
      <c r="X92" s="23"/>
      <c r="Y92" s="23"/>
      <c r="Z92" s="26"/>
      <c r="AA92" s="38"/>
      <c r="AB92" s="26"/>
      <c r="AC92" s="21"/>
    </row>
    <row r="93" spans="1:29" ht="12.75">
      <c r="A93" s="21" t="s">
        <v>97</v>
      </c>
      <c r="B93" s="21" t="s">
        <v>114</v>
      </c>
      <c r="C93" s="22" t="s">
        <v>115</v>
      </c>
      <c r="D93" s="22">
        <v>4</v>
      </c>
      <c r="E93" s="23">
        <v>77</v>
      </c>
      <c r="F93" s="23">
        <v>61011.5584415584</v>
      </c>
      <c r="G93" s="23">
        <v>87</v>
      </c>
      <c r="H93" s="23">
        <v>47420.5229885057</v>
      </c>
      <c r="I93" s="23">
        <v>86</v>
      </c>
      <c r="J93" s="23">
        <v>36825.6279069767</v>
      </c>
      <c r="K93" s="23">
        <v>29</v>
      </c>
      <c r="L93" s="23">
        <v>30044.2413793103</v>
      </c>
      <c r="M93" s="23">
        <v>15</v>
      </c>
      <c r="N93" s="23">
        <v>19109.3666666667</v>
      </c>
      <c r="O93" s="23">
        <v>0</v>
      </c>
      <c r="P93" s="26">
        <v>0</v>
      </c>
      <c r="Q93" s="46"/>
      <c r="R93" s="23"/>
      <c r="S93" s="23"/>
      <c r="T93" s="23"/>
      <c r="U93" s="23"/>
      <c r="V93" s="23"/>
      <c r="W93" s="23"/>
      <c r="X93" s="23"/>
      <c r="Y93" s="23"/>
      <c r="Z93" s="26"/>
      <c r="AA93" s="38"/>
      <c r="AB93" s="26"/>
      <c r="AC93" s="21"/>
    </row>
    <row r="94" spans="1:29" ht="12.75">
      <c r="A94" s="21" t="s">
        <v>97</v>
      </c>
      <c r="B94" s="31" t="s">
        <v>116</v>
      </c>
      <c r="C94" s="48">
        <v>132693</v>
      </c>
      <c r="D94" s="48">
        <v>7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>
        <v>233</v>
      </c>
      <c r="P94" s="26">
        <v>34648</v>
      </c>
      <c r="Q94" s="37"/>
      <c r="R94" s="23"/>
      <c r="S94" s="23"/>
      <c r="T94" s="23"/>
      <c r="U94" s="23"/>
      <c r="V94" s="23"/>
      <c r="W94" s="23"/>
      <c r="X94" s="23"/>
      <c r="Y94" s="23"/>
      <c r="Z94" s="26"/>
      <c r="AA94" s="38"/>
      <c r="AB94" s="26"/>
      <c r="AC94" s="21" t="s">
        <v>117</v>
      </c>
    </row>
    <row r="95" spans="1:29" ht="12.75">
      <c r="A95" s="21" t="s">
        <v>97</v>
      </c>
      <c r="B95" s="31" t="s">
        <v>118</v>
      </c>
      <c r="C95" s="48">
        <v>132709</v>
      </c>
      <c r="D95" s="48">
        <v>7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>
        <v>333</v>
      </c>
      <c r="P95" s="26">
        <v>40764</v>
      </c>
      <c r="Q95" s="37"/>
      <c r="R95" s="23"/>
      <c r="S95" s="23"/>
      <c r="T95" s="23"/>
      <c r="U95" s="23"/>
      <c r="V95" s="23"/>
      <c r="W95" s="23"/>
      <c r="X95" s="23"/>
      <c r="Y95" s="23"/>
      <c r="Z95" s="26"/>
      <c r="AA95" s="38"/>
      <c r="AB95" s="26"/>
      <c r="AC95" s="21" t="s">
        <v>117</v>
      </c>
    </row>
    <row r="96" spans="1:29" ht="12.75">
      <c r="A96" s="21" t="s">
        <v>97</v>
      </c>
      <c r="B96" s="31" t="s">
        <v>119</v>
      </c>
      <c r="C96" s="48">
        <v>132851</v>
      </c>
      <c r="D96" s="48">
        <v>7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>
        <v>93</v>
      </c>
      <c r="P96" s="26">
        <v>34957</v>
      </c>
      <c r="Q96" s="37"/>
      <c r="R96" s="23"/>
      <c r="S96" s="23"/>
      <c r="T96" s="23"/>
      <c r="U96" s="23"/>
      <c r="V96" s="23"/>
      <c r="W96" s="23"/>
      <c r="X96" s="23"/>
      <c r="Y96" s="23"/>
      <c r="Z96" s="26"/>
      <c r="AA96" s="38"/>
      <c r="AB96" s="26"/>
      <c r="AC96" s="21" t="s">
        <v>117</v>
      </c>
    </row>
    <row r="97" spans="1:29" ht="12.75">
      <c r="A97" s="21" t="s">
        <v>97</v>
      </c>
      <c r="B97" s="31" t="s">
        <v>120</v>
      </c>
      <c r="C97" s="48">
        <v>133021</v>
      </c>
      <c r="D97" s="48">
        <v>7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>
        <v>60</v>
      </c>
      <c r="P97" s="26">
        <v>34590</v>
      </c>
      <c r="Q97" s="37"/>
      <c r="R97" s="23"/>
      <c r="S97" s="23"/>
      <c r="T97" s="23"/>
      <c r="U97" s="23"/>
      <c r="V97" s="23"/>
      <c r="W97" s="23"/>
      <c r="X97" s="23"/>
      <c r="Y97" s="23"/>
      <c r="Z97" s="26"/>
      <c r="AA97" s="38"/>
      <c r="AB97" s="26"/>
      <c r="AC97" s="21" t="s">
        <v>117</v>
      </c>
    </row>
    <row r="98" spans="1:29" ht="12.75">
      <c r="A98" s="21" t="s">
        <v>97</v>
      </c>
      <c r="B98" s="31" t="s">
        <v>121</v>
      </c>
      <c r="C98" s="48">
        <v>133386</v>
      </c>
      <c r="D98" s="48">
        <v>7</v>
      </c>
      <c r="E98" s="23"/>
      <c r="F98" s="23"/>
      <c r="G98" s="28"/>
      <c r="H98" s="23"/>
      <c r="I98" s="28"/>
      <c r="J98" s="23"/>
      <c r="K98" s="23"/>
      <c r="L98" s="23"/>
      <c r="M98" s="23"/>
      <c r="N98" s="23"/>
      <c r="O98" s="23">
        <v>204</v>
      </c>
      <c r="P98" s="26">
        <v>37871</v>
      </c>
      <c r="Q98" s="25"/>
      <c r="R98" s="23"/>
      <c r="S98" s="23"/>
      <c r="T98" s="23"/>
      <c r="U98" s="23"/>
      <c r="V98" s="23"/>
      <c r="W98" s="23"/>
      <c r="X98" s="23"/>
      <c r="Y98" s="23"/>
      <c r="Z98" s="26"/>
      <c r="AA98" s="27"/>
      <c r="AB98" s="24"/>
      <c r="AC98" s="21" t="s">
        <v>117</v>
      </c>
    </row>
    <row r="99" spans="1:29" ht="12.75">
      <c r="A99" s="21" t="s">
        <v>97</v>
      </c>
      <c r="B99" s="31" t="s">
        <v>122</v>
      </c>
      <c r="C99" s="48">
        <v>133508</v>
      </c>
      <c r="D99" s="48">
        <v>7</v>
      </c>
      <c r="E99" s="28"/>
      <c r="F99" s="23"/>
      <c r="G99" s="28"/>
      <c r="H99" s="23"/>
      <c r="I99" s="28"/>
      <c r="J99" s="23"/>
      <c r="K99" s="23"/>
      <c r="L99" s="23"/>
      <c r="M99" s="21"/>
      <c r="N99" s="28"/>
      <c r="O99" s="23">
        <v>95</v>
      </c>
      <c r="P99" s="26">
        <v>42600</v>
      </c>
      <c r="Q99" s="25"/>
      <c r="R99" s="23"/>
      <c r="S99" s="23"/>
      <c r="T99" s="23"/>
      <c r="U99" s="23"/>
      <c r="V99" s="23"/>
      <c r="W99" s="28"/>
      <c r="X99" s="28"/>
      <c r="Y99" s="21"/>
      <c r="Z99" s="24"/>
      <c r="AA99" s="27"/>
      <c r="AB99" s="24"/>
      <c r="AC99" s="21" t="s">
        <v>117</v>
      </c>
    </row>
    <row r="100" spans="1:29" ht="12.75">
      <c r="A100" s="21" t="s">
        <v>97</v>
      </c>
      <c r="B100" s="31" t="s">
        <v>123</v>
      </c>
      <c r="C100" s="48">
        <v>133702</v>
      </c>
      <c r="D100" s="48">
        <v>7</v>
      </c>
      <c r="E100" s="28"/>
      <c r="F100" s="23"/>
      <c r="G100" s="28"/>
      <c r="H100" s="23"/>
      <c r="I100" s="28"/>
      <c r="J100" s="23"/>
      <c r="K100" s="28"/>
      <c r="L100" s="23"/>
      <c r="M100" s="21"/>
      <c r="N100" s="28"/>
      <c r="O100" s="23">
        <v>398</v>
      </c>
      <c r="P100" s="26">
        <v>39639</v>
      </c>
      <c r="Q100" s="25"/>
      <c r="R100" s="23"/>
      <c r="S100" s="23"/>
      <c r="T100" s="23"/>
      <c r="U100" s="21"/>
      <c r="V100" s="28"/>
      <c r="W100" s="23"/>
      <c r="X100" s="23"/>
      <c r="Y100" s="21"/>
      <c r="Z100" s="24"/>
      <c r="AA100" s="27"/>
      <c r="AB100" s="24"/>
      <c r="AC100" s="21" t="s">
        <v>117</v>
      </c>
    </row>
    <row r="101" spans="1:29" ht="12.75">
      <c r="A101" s="21" t="s">
        <v>97</v>
      </c>
      <c r="B101" s="31" t="s">
        <v>124</v>
      </c>
      <c r="C101" s="48">
        <v>133960</v>
      </c>
      <c r="D101" s="48">
        <v>7</v>
      </c>
      <c r="E101" s="28"/>
      <c r="F101" s="23"/>
      <c r="G101" s="28"/>
      <c r="H101" s="23"/>
      <c r="I101" s="28"/>
      <c r="J101" s="23"/>
      <c r="K101" s="28"/>
      <c r="L101" s="23"/>
      <c r="M101" s="21"/>
      <c r="N101" s="28"/>
      <c r="O101" s="28">
        <v>29</v>
      </c>
      <c r="P101" s="26">
        <v>30821</v>
      </c>
      <c r="Q101" s="25"/>
      <c r="R101" s="23"/>
      <c r="S101" s="23"/>
      <c r="T101" s="23"/>
      <c r="U101" s="23"/>
      <c r="V101" s="23"/>
      <c r="W101" s="28"/>
      <c r="X101" s="28"/>
      <c r="Y101" s="21"/>
      <c r="Z101" s="24"/>
      <c r="AA101" s="27"/>
      <c r="AB101" s="24"/>
      <c r="AC101" s="21" t="s">
        <v>117</v>
      </c>
    </row>
    <row r="102" spans="1:29" ht="12.75">
      <c r="A102" s="21" t="s">
        <v>97</v>
      </c>
      <c r="B102" s="31" t="s">
        <v>125</v>
      </c>
      <c r="C102" s="48">
        <v>134343</v>
      </c>
      <c r="D102" s="48">
        <v>7</v>
      </c>
      <c r="E102" s="28"/>
      <c r="F102" s="23"/>
      <c r="G102" s="28"/>
      <c r="H102" s="23"/>
      <c r="I102" s="28"/>
      <c r="J102" s="23"/>
      <c r="K102" s="28"/>
      <c r="L102" s="23"/>
      <c r="M102" s="21"/>
      <c r="N102" s="28"/>
      <c r="O102" s="28">
        <v>107</v>
      </c>
      <c r="P102" s="26">
        <v>38155</v>
      </c>
      <c r="Q102" s="25"/>
      <c r="R102" s="23"/>
      <c r="S102" s="23"/>
      <c r="T102" s="23"/>
      <c r="U102" s="23"/>
      <c r="V102" s="23"/>
      <c r="W102" s="23"/>
      <c r="X102" s="23"/>
      <c r="Y102" s="21"/>
      <c r="Z102" s="24"/>
      <c r="AA102" s="27"/>
      <c r="AB102" s="26"/>
      <c r="AC102" s="21" t="s">
        <v>117</v>
      </c>
    </row>
    <row r="103" spans="1:29" ht="12.75">
      <c r="A103" s="21" t="s">
        <v>97</v>
      </c>
      <c r="B103" s="31" t="s">
        <v>126</v>
      </c>
      <c r="C103" s="48">
        <v>134495</v>
      </c>
      <c r="D103" s="48">
        <v>7</v>
      </c>
      <c r="E103" s="28"/>
      <c r="F103" s="23"/>
      <c r="G103" s="28"/>
      <c r="H103" s="23"/>
      <c r="I103" s="28"/>
      <c r="J103" s="23"/>
      <c r="K103" s="28"/>
      <c r="L103" s="23"/>
      <c r="M103" s="21"/>
      <c r="N103" s="28"/>
      <c r="O103" s="28">
        <v>225</v>
      </c>
      <c r="P103" s="26">
        <v>36560</v>
      </c>
      <c r="Q103" s="25"/>
      <c r="R103" s="23"/>
      <c r="S103" s="21"/>
      <c r="T103" s="23"/>
      <c r="U103" s="23"/>
      <c r="V103" s="23"/>
      <c r="W103" s="23"/>
      <c r="X103" s="23"/>
      <c r="Y103" s="21"/>
      <c r="Z103" s="26"/>
      <c r="AA103" s="27"/>
      <c r="AB103" s="24"/>
      <c r="AC103" s="21"/>
    </row>
    <row r="104" spans="1:29" ht="12.75">
      <c r="A104" s="21" t="s">
        <v>97</v>
      </c>
      <c r="B104" s="31" t="s">
        <v>127</v>
      </c>
      <c r="C104" s="48">
        <v>134608</v>
      </c>
      <c r="D104" s="48">
        <v>7</v>
      </c>
      <c r="E104" s="28"/>
      <c r="F104" s="23"/>
      <c r="G104" s="28"/>
      <c r="H104" s="23"/>
      <c r="I104" s="28"/>
      <c r="J104" s="23"/>
      <c r="K104" s="28"/>
      <c r="L104" s="23"/>
      <c r="M104" s="28"/>
      <c r="N104" s="23"/>
      <c r="O104" s="28">
        <v>131</v>
      </c>
      <c r="P104" s="26">
        <v>48076</v>
      </c>
      <c r="Q104" s="36"/>
      <c r="R104" s="28"/>
      <c r="S104" s="21"/>
      <c r="T104" s="28"/>
      <c r="U104" s="21"/>
      <c r="V104" s="28"/>
      <c r="W104" s="23"/>
      <c r="X104" s="28"/>
      <c r="Y104" s="23"/>
      <c r="Z104" s="26"/>
      <c r="AA104" s="27"/>
      <c r="AB104" s="24"/>
      <c r="AC104" s="21"/>
    </row>
    <row r="105" spans="1:29" ht="12.75">
      <c r="A105" s="21" t="s">
        <v>97</v>
      </c>
      <c r="B105" s="31" t="s">
        <v>128</v>
      </c>
      <c r="C105" s="48">
        <v>135160</v>
      </c>
      <c r="D105" s="48">
        <v>7</v>
      </c>
      <c r="E105" s="28"/>
      <c r="F105" s="23"/>
      <c r="G105" s="28"/>
      <c r="H105" s="23"/>
      <c r="I105" s="28"/>
      <c r="J105" s="23"/>
      <c r="K105" s="21"/>
      <c r="L105" s="28"/>
      <c r="M105" s="28"/>
      <c r="N105" s="28"/>
      <c r="O105" s="28">
        <v>57</v>
      </c>
      <c r="P105" s="26">
        <v>33626</v>
      </c>
      <c r="Q105" s="25"/>
      <c r="R105" s="23"/>
      <c r="S105" s="23"/>
      <c r="T105" s="23"/>
      <c r="U105" s="21"/>
      <c r="V105" s="28"/>
      <c r="W105" s="23"/>
      <c r="X105" s="23"/>
      <c r="Y105" s="21"/>
      <c r="Z105" s="24"/>
      <c r="AA105" s="27"/>
      <c r="AB105" s="24"/>
      <c r="AC105" s="21"/>
    </row>
    <row r="106" spans="1:29" ht="12.75">
      <c r="A106" s="21" t="s">
        <v>97</v>
      </c>
      <c r="B106" s="31" t="s">
        <v>129</v>
      </c>
      <c r="C106" s="48">
        <v>135188</v>
      </c>
      <c r="D106" s="48">
        <v>7</v>
      </c>
      <c r="E106" s="28"/>
      <c r="F106" s="23"/>
      <c r="G106" s="28"/>
      <c r="H106" s="23"/>
      <c r="I106" s="28"/>
      <c r="J106" s="23"/>
      <c r="K106" s="28"/>
      <c r="L106" s="23"/>
      <c r="M106" s="21"/>
      <c r="N106" s="28"/>
      <c r="O106" s="23">
        <v>37</v>
      </c>
      <c r="P106" s="26">
        <v>34434</v>
      </c>
      <c r="Q106" s="25"/>
      <c r="R106" s="23"/>
      <c r="S106" s="23"/>
      <c r="T106" s="23"/>
      <c r="U106" s="23"/>
      <c r="V106" s="23"/>
      <c r="W106" s="23"/>
      <c r="X106" s="23"/>
      <c r="Y106" s="21"/>
      <c r="Z106" s="24"/>
      <c r="AA106" s="27"/>
      <c r="AB106" s="24"/>
      <c r="AC106" s="21"/>
    </row>
    <row r="107" spans="1:29" ht="12.75">
      <c r="A107" s="21" t="s">
        <v>97</v>
      </c>
      <c r="B107" s="31" t="s">
        <v>130</v>
      </c>
      <c r="C107" s="48">
        <v>135391</v>
      </c>
      <c r="D107" s="48">
        <v>7</v>
      </c>
      <c r="E107" s="28"/>
      <c r="F107" s="23"/>
      <c r="G107" s="28"/>
      <c r="H107" s="28"/>
      <c r="I107" s="28"/>
      <c r="J107" s="23"/>
      <c r="K107" s="28"/>
      <c r="L107" s="23"/>
      <c r="M107" s="21"/>
      <c r="N107" s="28"/>
      <c r="O107" s="23">
        <v>130</v>
      </c>
      <c r="P107" s="26">
        <v>35259</v>
      </c>
      <c r="Q107" s="25"/>
      <c r="R107" s="23"/>
      <c r="S107" s="23"/>
      <c r="T107" s="28"/>
      <c r="U107" s="23"/>
      <c r="V107" s="23"/>
      <c r="W107" s="23"/>
      <c r="X107" s="23"/>
      <c r="Y107" s="21"/>
      <c r="Z107" s="24"/>
      <c r="AA107" s="27"/>
      <c r="AB107" s="24"/>
      <c r="AC107" s="21"/>
    </row>
    <row r="108" spans="1:29" ht="12.75">
      <c r="A108" s="21" t="s">
        <v>97</v>
      </c>
      <c r="B108" s="31" t="s">
        <v>131</v>
      </c>
      <c r="C108" s="48">
        <v>135717</v>
      </c>
      <c r="D108" s="48">
        <v>7</v>
      </c>
      <c r="E108" s="28"/>
      <c r="F108" s="23"/>
      <c r="G108" s="28"/>
      <c r="H108" s="23"/>
      <c r="I108" s="28"/>
      <c r="J108" s="23"/>
      <c r="K108" s="28"/>
      <c r="L108" s="23"/>
      <c r="M108" s="21"/>
      <c r="N108" s="28"/>
      <c r="O108" s="23">
        <v>676</v>
      </c>
      <c r="P108" s="26">
        <v>44124</v>
      </c>
      <c r="Q108" s="25"/>
      <c r="R108" s="23"/>
      <c r="S108" s="23"/>
      <c r="T108" s="23"/>
      <c r="U108" s="23"/>
      <c r="V108" s="23"/>
      <c r="W108" s="23"/>
      <c r="X108" s="28"/>
      <c r="Y108" s="21"/>
      <c r="Z108" s="24"/>
      <c r="AA108" s="27"/>
      <c r="AB108" s="24"/>
      <c r="AC108" s="21"/>
    </row>
    <row r="109" spans="1:29" ht="12.75">
      <c r="A109" s="21" t="s">
        <v>97</v>
      </c>
      <c r="B109" s="31" t="s">
        <v>132</v>
      </c>
      <c r="C109" s="48">
        <v>136145</v>
      </c>
      <c r="D109" s="48">
        <v>7</v>
      </c>
      <c r="E109" s="28"/>
      <c r="F109" s="23"/>
      <c r="G109" s="28"/>
      <c r="H109" s="23"/>
      <c r="I109" s="28"/>
      <c r="J109" s="23"/>
      <c r="K109" s="28"/>
      <c r="L109" s="23"/>
      <c r="M109" s="21"/>
      <c r="N109" s="28"/>
      <c r="O109" s="23">
        <v>26</v>
      </c>
      <c r="P109" s="26">
        <v>37149</v>
      </c>
      <c r="Q109" s="37"/>
      <c r="R109" s="28"/>
      <c r="S109" s="23"/>
      <c r="T109" s="28"/>
      <c r="U109" s="21"/>
      <c r="V109" s="28"/>
      <c r="W109" s="23"/>
      <c r="X109" s="28"/>
      <c r="Y109" s="21"/>
      <c r="Z109" s="24"/>
      <c r="AA109" s="27"/>
      <c r="AB109" s="24"/>
      <c r="AC109" s="21"/>
    </row>
    <row r="110" spans="1:29" ht="12.75">
      <c r="A110" s="21" t="s">
        <v>97</v>
      </c>
      <c r="B110" s="31" t="s">
        <v>133</v>
      </c>
      <c r="C110" s="48">
        <v>136233</v>
      </c>
      <c r="D110" s="48">
        <v>7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>
        <v>68</v>
      </c>
      <c r="P110" s="26">
        <v>40401</v>
      </c>
      <c r="Q110" s="25"/>
      <c r="R110" s="23"/>
      <c r="S110" s="23"/>
      <c r="T110" s="28"/>
      <c r="U110" s="23"/>
      <c r="V110" s="28"/>
      <c r="W110" s="23"/>
      <c r="X110" s="28"/>
      <c r="Y110" s="23"/>
      <c r="Z110" s="24"/>
      <c r="AA110" s="35"/>
      <c r="AB110" s="24"/>
      <c r="AC110" s="21"/>
    </row>
    <row r="111" spans="1:29" ht="12.75">
      <c r="A111" s="21" t="s">
        <v>97</v>
      </c>
      <c r="B111" s="31" t="s">
        <v>134</v>
      </c>
      <c r="C111" s="48">
        <v>136358</v>
      </c>
      <c r="D111" s="48">
        <v>7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8"/>
      <c r="O111" s="23">
        <v>174</v>
      </c>
      <c r="P111" s="26">
        <v>38927</v>
      </c>
      <c r="Q111" s="25"/>
      <c r="R111" s="23"/>
      <c r="S111" s="23"/>
      <c r="T111" s="28"/>
      <c r="U111" s="23"/>
      <c r="V111" s="28"/>
      <c r="W111" s="23"/>
      <c r="X111" s="28"/>
      <c r="Y111" s="23"/>
      <c r="Z111" s="24"/>
      <c r="AA111" s="35"/>
      <c r="AB111" s="24"/>
      <c r="AC111" s="21"/>
    </row>
    <row r="112" spans="1:29" ht="12.75">
      <c r="A112" s="21" t="s">
        <v>97</v>
      </c>
      <c r="B112" s="31" t="s">
        <v>135</v>
      </c>
      <c r="C112" s="48">
        <v>136400</v>
      </c>
      <c r="D112" s="48">
        <v>7</v>
      </c>
      <c r="E112" s="23"/>
      <c r="F112" s="28"/>
      <c r="G112" s="28"/>
      <c r="H112" s="28"/>
      <c r="I112" s="28"/>
      <c r="J112" s="28"/>
      <c r="K112" s="23"/>
      <c r="L112" s="28"/>
      <c r="M112" s="23"/>
      <c r="N112" s="28"/>
      <c r="O112" s="23">
        <v>78</v>
      </c>
      <c r="P112" s="26">
        <v>36321</v>
      </c>
      <c r="Q112" s="37"/>
      <c r="R112" s="28"/>
      <c r="S112" s="23"/>
      <c r="T112" s="28"/>
      <c r="U112" s="23"/>
      <c r="V112" s="28"/>
      <c r="W112" s="28"/>
      <c r="X112" s="28"/>
      <c r="Y112" s="28"/>
      <c r="Z112" s="24"/>
      <c r="AA112" s="35"/>
      <c r="AB112" s="24"/>
      <c r="AC112" s="21"/>
    </row>
    <row r="113" spans="1:29" ht="12.75">
      <c r="A113" s="21" t="s">
        <v>97</v>
      </c>
      <c r="B113" s="31" t="s">
        <v>136</v>
      </c>
      <c r="C113" s="48">
        <v>136473</v>
      </c>
      <c r="D113" s="48">
        <v>7</v>
      </c>
      <c r="E113" s="23"/>
      <c r="F113" s="28"/>
      <c r="G113" s="28"/>
      <c r="H113" s="28"/>
      <c r="I113" s="28"/>
      <c r="J113" s="28"/>
      <c r="K113" s="23"/>
      <c r="L113" s="28"/>
      <c r="M113" s="28"/>
      <c r="N113" s="28"/>
      <c r="O113" s="23">
        <v>246</v>
      </c>
      <c r="P113" s="26">
        <v>39077</v>
      </c>
      <c r="Q113" s="37"/>
      <c r="R113" s="28"/>
      <c r="S113" s="23"/>
      <c r="T113" s="28"/>
      <c r="U113" s="23"/>
      <c r="V113" s="28"/>
      <c r="W113" s="28"/>
      <c r="X113" s="28"/>
      <c r="Y113" s="28"/>
      <c r="Z113" s="24"/>
      <c r="AA113" s="35"/>
      <c r="AB113" s="24"/>
      <c r="AC113" s="21"/>
    </row>
    <row r="114" spans="1:29" ht="12.75">
      <c r="A114" s="21" t="s">
        <v>97</v>
      </c>
      <c r="B114" s="31" t="s">
        <v>137</v>
      </c>
      <c r="C114" s="48">
        <v>136516</v>
      </c>
      <c r="D114" s="48">
        <v>7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8">
        <v>105</v>
      </c>
      <c r="P114" s="26">
        <v>34501</v>
      </c>
      <c r="Q114" s="37"/>
      <c r="R114" s="23"/>
      <c r="S114" s="23"/>
      <c r="T114" s="23"/>
      <c r="U114" s="23"/>
      <c r="V114" s="23"/>
      <c r="W114" s="23"/>
      <c r="X114" s="23"/>
      <c r="Y114" s="23"/>
      <c r="Z114" s="26"/>
      <c r="AA114" s="38"/>
      <c r="AB114" s="26"/>
      <c r="AC114" s="21"/>
    </row>
    <row r="115" spans="1:29" ht="12.75">
      <c r="A115" s="21" t="s">
        <v>97</v>
      </c>
      <c r="B115" s="31" t="s">
        <v>138</v>
      </c>
      <c r="C115" s="48">
        <v>137096</v>
      </c>
      <c r="D115" s="48">
        <v>7</v>
      </c>
      <c r="E115" s="28"/>
      <c r="F115" s="28"/>
      <c r="G115" s="23"/>
      <c r="H115" s="28"/>
      <c r="I115" s="23"/>
      <c r="J115" s="28"/>
      <c r="K115" s="23"/>
      <c r="L115" s="28"/>
      <c r="M115" s="28"/>
      <c r="N115" s="28"/>
      <c r="O115" s="28">
        <v>224</v>
      </c>
      <c r="P115" s="26">
        <v>37238</v>
      </c>
      <c r="Q115" s="25"/>
      <c r="R115" s="28"/>
      <c r="S115" s="23"/>
      <c r="T115" s="28"/>
      <c r="U115" s="23"/>
      <c r="V115" s="28"/>
      <c r="W115" s="28"/>
      <c r="X115" s="28"/>
      <c r="Y115" s="28"/>
      <c r="Z115" s="24"/>
      <c r="AA115" s="35"/>
      <c r="AB115" s="24"/>
      <c r="AC115" s="21"/>
    </row>
    <row r="116" spans="1:29" ht="12.75">
      <c r="A116" s="21" t="s">
        <v>97</v>
      </c>
      <c r="B116" s="31" t="s">
        <v>139</v>
      </c>
      <c r="C116" s="48">
        <v>137209</v>
      </c>
      <c r="D116" s="48">
        <v>7</v>
      </c>
      <c r="E116" s="28"/>
      <c r="F116" s="28"/>
      <c r="G116" s="23"/>
      <c r="H116" s="28"/>
      <c r="I116" s="23"/>
      <c r="J116" s="28"/>
      <c r="K116" s="23"/>
      <c r="L116" s="28"/>
      <c r="M116" s="28"/>
      <c r="N116" s="28"/>
      <c r="O116" s="28">
        <v>141</v>
      </c>
      <c r="P116" s="26">
        <v>37221</v>
      </c>
      <c r="Q116" s="25"/>
      <c r="R116" s="28"/>
      <c r="S116" s="23"/>
      <c r="T116" s="28"/>
      <c r="U116" s="23"/>
      <c r="V116" s="28"/>
      <c r="W116" s="23"/>
      <c r="X116" s="28"/>
      <c r="Y116" s="28"/>
      <c r="Z116" s="24"/>
      <c r="AA116" s="35"/>
      <c r="AB116" s="24"/>
      <c r="AC116" s="21"/>
    </row>
    <row r="117" spans="1:41" ht="12.75">
      <c r="A117" s="21" t="s">
        <v>97</v>
      </c>
      <c r="B117" s="31" t="s">
        <v>140</v>
      </c>
      <c r="C117" s="48">
        <v>137315</v>
      </c>
      <c r="D117" s="48">
        <v>7</v>
      </c>
      <c r="E117" s="28"/>
      <c r="F117" s="28"/>
      <c r="G117" s="23"/>
      <c r="H117" s="28"/>
      <c r="I117" s="23"/>
      <c r="J117" s="28"/>
      <c r="K117" s="23"/>
      <c r="L117" s="28"/>
      <c r="M117" s="23"/>
      <c r="N117" s="28"/>
      <c r="O117" s="28">
        <v>50</v>
      </c>
      <c r="P117" s="26">
        <v>36104</v>
      </c>
      <c r="Q117" s="25"/>
      <c r="R117" s="28"/>
      <c r="S117" s="23"/>
      <c r="T117" s="28"/>
      <c r="U117" s="23"/>
      <c r="V117" s="28"/>
      <c r="W117" s="23"/>
      <c r="X117" s="28"/>
      <c r="Y117" s="28"/>
      <c r="Z117" s="24"/>
      <c r="AA117" s="35"/>
      <c r="AB117" s="24"/>
      <c r="AC117" s="2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</row>
    <row r="118" spans="1:41" ht="12.75">
      <c r="A118" s="21" t="s">
        <v>97</v>
      </c>
      <c r="B118" s="31" t="s">
        <v>141</v>
      </c>
      <c r="C118" s="48">
        <v>137281</v>
      </c>
      <c r="D118" s="48">
        <v>7</v>
      </c>
      <c r="E118" s="28"/>
      <c r="F118" s="28"/>
      <c r="G118" s="23"/>
      <c r="H118" s="28"/>
      <c r="I118" s="23"/>
      <c r="J118" s="28"/>
      <c r="K118" s="23"/>
      <c r="L118" s="28"/>
      <c r="M118" s="23"/>
      <c r="N118" s="28"/>
      <c r="O118" s="23">
        <v>78</v>
      </c>
      <c r="P118" s="26">
        <v>32512</v>
      </c>
      <c r="Q118" s="25"/>
      <c r="R118" s="28"/>
      <c r="S118" s="28"/>
      <c r="T118" s="28"/>
      <c r="U118" s="28"/>
      <c r="V118" s="28"/>
      <c r="W118" s="23"/>
      <c r="X118" s="28"/>
      <c r="Y118" s="23"/>
      <c r="Z118" s="24"/>
      <c r="AA118" s="35"/>
      <c r="AB118" s="24"/>
      <c r="AC118" s="2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</row>
    <row r="119" spans="1:41" ht="12.75">
      <c r="A119" s="21" t="s">
        <v>97</v>
      </c>
      <c r="B119" s="31" t="s">
        <v>142</v>
      </c>
      <c r="C119" s="48">
        <v>137078</v>
      </c>
      <c r="D119" s="48">
        <v>7</v>
      </c>
      <c r="E119" s="28"/>
      <c r="F119" s="28"/>
      <c r="G119" s="23"/>
      <c r="H119" s="28"/>
      <c r="I119" s="23"/>
      <c r="J119" s="28"/>
      <c r="K119" s="23"/>
      <c r="L119" s="28"/>
      <c r="M119" s="23"/>
      <c r="N119" s="28"/>
      <c r="O119" s="28">
        <v>245</v>
      </c>
      <c r="P119" s="26">
        <v>35860</v>
      </c>
      <c r="Q119" s="37"/>
      <c r="R119" s="28"/>
      <c r="S119" s="23"/>
      <c r="T119" s="28"/>
      <c r="U119" s="23"/>
      <c r="V119" s="28"/>
      <c r="W119" s="23"/>
      <c r="X119" s="28"/>
      <c r="Y119" s="28"/>
      <c r="Z119" s="24"/>
      <c r="AA119" s="35"/>
      <c r="AB119" s="24"/>
      <c r="AC119" s="2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</row>
    <row r="120" spans="1:41" ht="12.75">
      <c r="A120" s="21" t="s">
        <v>97</v>
      </c>
      <c r="B120" s="31" t="s">
        <v>143</v>
      </c>
      <c r="C120" s="48">
        <v>137759</v>
      </c>
      <c r="D120" s="48">
        <v>7</v>
      </c>
      <c r="E120" s="28"/>
      <c r="F120" s="28"/>
      <c r="G120" s="23"/>
      <c r="H120" s="28"/>
      <c r="I120" s="23"/>
      <c r="J120" s="28"/>
      <c r="K120" s="23"/>
      <c r="L120" s="28"/>
      <c r="M120" s="28"/>
      <c r="N120" s="28"/>
      <c r="O120" s="28">
        <v>130</v>
      </c>
      <c r="P120" s="26">
        <v>47668</v>
      </c>
      <c r="Q120" s="37"/>
      <c r="R120" s="28"/>
      <c r="S120" s="23"/>
      <c r="T120" s="28"/>
      <c r="U120" s="23"/>
      <c r="V120" s="28"/>
      <c r="W120" s="23"/>
      <c r="X120" s="28"/>
      <c r="Y120" s="28"/>
      <c r="Z120" s="24"/>
      <c r="AA120" s="35"/>
      <c r="AB120" s="24"/>
      <c r="AC120" s="2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</row>
    <row r="121" spans="1:41" ht="12.75">
      <c r="A121" s="21" t="s">
        <v>97</v>
      </c>
      <c r="B121" s="31" t="s">
        <v>144</v>
      </c>
      <c r="C121" s="48">
        <v>138187</v>
      </c>
      <c r="D121" s="48">
        <v>7</v>
      </c>
      <c r="E121" s="28"/>
      <c r="F121" s="28"/>
      <c r="G121" s="23"/>
      <c r="H121" s="28"/>
      <c r="I121" s="23"/>
      <c r="J121" s="28"/>
      <c r="K121" s="23"/>
      <c r="L121" s="28"/>
      <c r="M121" s="23"/>
      <c r="N121" s="28"/>
      <c r="O121" s="28">
        <v>197</v>
      </c>
      <c r="P121" s="26">
        <v>39657</v>
      </c>
      <c r="Q121" s="37"/>
      <c r="R121" s="28"/>
      <c r="S121" s="23"/>
      <c r="T121" s="28"/>
      <c r="U121" s="23"/>
      <c r="V121" s="28"/>
      <c r="W121" s="28"/>
      <c r="X121" s="28"/>
      <c r="Y121" s="28"/>
      <c r="Z121" s="24"/>
      <c r="AA121" s="35"/>
      <c r="AB121" s="24"/>
      <c r="AC121" s="2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</row>
    <row r="122" spans="1:41" ht="12.75">
      <c r="A122" s="21" t="s">
        <v>145</v>
      </c>
      <c r="B122" s="21" t="s">
        <v>146</v>
      </c>
      <c r="C122" s="22" t="s">
        <v>147</v>
      </c>
      <c r="D122" s="22">
        <v>1</v>
      </c>
      <c r="E122" s="28">
        <v>240</v>
      </c>
      <c r="F122" s="23">
        <v>83464</v>
      </c>
      <c r="G122" s="28">
        <v>267</v>
      </c>
      <c r="H122" s="23">
        <v>57659</v>
      </c>
      <c r="I122" s="28">
        <v>232</v>
      </c>
      <c r="J122" s="23">
        <v>47295</v>
      </c>
      <c r="K122" s="28">
        <v>63</v>
      </c>
      <c r="L122" s="23">
        <v>39301</v>
      </c>
      <c r="M122" s="28"/>
      <c r="N122" s="28"/>
      <c r="O122" s="28"/>
      <c r="P122" s="24"/>
      <c r="Q122" s="34"/>
      <c r="R122" s="49"/>
      <c r="S122" s="21"/>
      <c r="T122" s="49"/>
      <c r="U122" s="21"/>
      <c r="V122" s="49"/>
      <c r="W122" s="21"/>
      <c r="X122" s="49"/>
      <c r="Y122" s="28"/>
      <c r="Z122" s="24"/>
      <c r="AA122" s="35"/>
      <c r="AB122" s="24"/>
      <c r="AC122" s="21" t="s">
        <v>117</v>
      </c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</row>
    <row r="123" spans="1:41" ht="12.75">
      <c r="A123" s="21" t="s">
        <v>145</v>
      </c>
      <c r="B123" s="21" t="s">
        <v>148</v>
      </c>
      <c r="C123" s="22" t="s">
        <v>149</v>
      </c>
      <c r="D123" s="22">
        <v>1</v>
      </c>
      <c r="E123" s="28">
        <v>647</v>
      </c>
      <c r="F123" s="23">
        <v>76405</v>
      </c>
      <c r="G123" s="28">
        <v>502</v>
      </c>
      <c r="H123" s="23">
        <v>53809</v>
      </c>
      <c r="I123" s="28">
        <v>284</v>
      </c>
      <c r="J123" s="23">
        <v>47373</v>
      </c>
      <c r="K123" s="28">
        <v>17</v>
      </c>
      <c r="L123" s="23">
        <v>40114</v>
      </c>
      <c r="M123" s="28">
        <v>168</v>
      </c>
      <c r="N123" s="23">
        <v>46062</v>
      </c>
      <c r="O123" s="28"/>
      <c r="P123" s="24"/>
      <c r="Q123" s="34"/>
      <c r="R123" s="49"/>
      <c r="S123" s="21"/>
      <c r="T123" s="49"/>
      <c r="U123" s="21"/>
      <c r="V123" s="49"/>
      <c r="W123" s="21"/>
      <c r="X123" s="49"/>
      <c r="Y123" s="28"/>
      <c r="Z123" s="24"/>
      <c r="AA123" s="35"/>
      <c r="AB123" s="24"/>
      <c r="AC123" s="21" t="s">
        <v>117</v>
      </c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</row>
    <row r="124" spans="1:41" ht="12.75">
      <c r="A124" s="21" t="s">
        <v>145</v>
      </c>
      <c r="B124" s="21" t="s">
        <v>150</v>
      </c>
      <c r="C124" s="22" t="s">
        <v>151</v>
      </c>
      <c r="D124" s="22">
        <v>2</v>
      </c>
      <c r="E124" s="28">
        <v>287</v>
      </c>
      <c r="F124" s="23">
        <v>89190</v>
      </c>
      <c r="G124" s="28">
        <v>239</v>
      </c>
      <c r="H124" s="23">
        <v>64908</v>
      </c>
      <c r="I124" s="28">
        <v>168</v>
      </c>
      <c r="J124" s="23">
        <v>56019</v>
      </c>
      <c r="K124" s="28">
        <v>22</v>
      </c>
      <c r="L124" s="23">
        <v>29985</v>
      </c>
      <c r="M124" s="28">
        <v>1</v>
      </c>
      <c r="N124" s="23">
        <v>83203</v>
      </c>
      <c r="O124" s="28"/>
      <c r="P124" s="24"/>
      <c r="Q124" s="34"/>
      <c r="R124" s="49"/>
      <c r="S124" s="21"/>
      <c r="T124" s="49"/>
      <c r="U124" s="21"/>
      <c r="V124" s="49"/>
      <c r="W124" s="21"/>
      <c r="X124" s="49"/>
      <c r="Y124" s="28"/>
      <c r="Z124" s="24"/>
      <c r="AA124" s="35"/>
      <c r="AB124" s="24"/>
      <c r="AC124" s="21" t="s">
        <v>117</v>
      </c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</row>
    <row r="125" spans="1:41" ht="12.75">
      <c r="A125" s="21" t="s">
        <v>145</v>
      </c>
      <c r="B125" s="21" t="s">
        <v>152</v>
      </c>
      <c r="C125" s="22" t="s">
        <v>153</v>
      </c>
      <c r="D125" s="22">
        <v>3</v>
      </c>
      <c r="E125" s="28">
        <v>31</v>
      </c>
      <c r="F125" s="23">
        <v>54011</v>
      </c>
      <c r="G125" s="28">
        <v>25</v>
      </c>
      <c r="H125" s="23">
        <v>46919</v>
      </c>
      <c r="I125" s="28">
        <v>45</v>
      </c>
      <c r="J125" s="23">
        <v>38306</v>
      </c>
      <c r="K125" s="28">
        <v>3</v>
      </c>
      <c r="L125" s="23">
        <v>34162</v>
      </c>
      <c r="M125" s="28"/>
      <c r="N125" s="28"/>
      <c r="O125" s="28"/>
      <c r="P125" s="24"/>
      <c r="Q125" s="34"/>
      <c r="R125" s="49"/>
      <c r="S125" s="21"/>
      <c r="T125" s="49"/>
      <c r="U125" s="21"/>
      <c r="V125" s="49"/>
      <c r="W125" s="21"/>
      <c r="X125" s="49"/>
      <c r="Y125" s="28"/>
      <c r="Z125" s="24"/>
      <c r="AA125" s="35"/>
      <c r="AB125" s="24"/>
      <c r="AC125" s="21" t="s">
        <v>117</v>
      </c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</row>
    <row r="126" spans="1:41" ht="12.75">
      <c r="A126" s="21" t="s">
        <v>145</v>
      </c>
      <c r="B126" s="21" t="s">
        <v>154</v>
      </c>
      <c r="C126" s="22" t="s">
        <v>155</v>
      </c>
      <c r="D126" s="22">
        <v>4</v>
      </c>
      <c r="E126" s="28">
        <v>38</v>
      </c>
      <c r="F126" s="23">
        <v>58332</v>
      </c>
      <c r="G126" s="28">
        <v>24</v>
      </c>
      <c r="H126" s="23">
        <v>48358</v>
      </c>
      <c r="I126" s="28">
        <v>66</v>
      </c>
      <c r="J126" s="23">
        <v>43135</v>
      </c>
      <c r="K126" s="28">
        <v>5</v>
      </c>
      <c r="L126" s="23">
        <v>32480</v>
      </c>
      <c r="M126" s="28"/>
      <c r="N126" s="28"/>
      <c r="O126" s="28"/>
      <c r="P126" s="24"/>
      <c r="Q126" s="34"/>
      <c r="R126" s="49"/>
      <c r="S126" s="21"/>
      <c r="T126" s="49"/>
      <c r="U126" s="21"/>
      <c r="V126" s="49"/>
      <c r="W126" s="21"/>
      <c r="X126" s="49"/>
      <c r="Y126" s="28"/>
      <c r="Z126" s="24"/>
      <c r="AA126" s="35"/>
      <c r="AB126" s="24"/>
      <c r="AC126" s="21" t="s">
        <v>117</v>
      </c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</row>
    <row r="127" spans="1:41" ht="12.75">
      <c r="A127" s="21" t="s">
        <v>145</v>
      </c>
      <c r="B127" s="21" t="s">
        <v>156</v>
      </c>
      <c r="C127" s="22" t="s">
        <v>157</v>
      </c>
      <c r="D127" s="22">
        <v>4</v>
      </c>
      <c r="E127" s="28">
        <v>54</v>
      </c>
      <c r="F127" s="23">
        <v>54898</v>
      </c>
      <c r="G127" s="28">
        <v>55</v>
      </c>
      <c r="H127" s="23">
        <v>47355</v>
      </c>
      <c r="I127" s="28">
        <v>56</v>
      </c>
      <c r="J127" s="23">
        <v>41538</v>
      </c>
      <c r="K127" s="28">
        <v>2</v>
      </c>
      <c r="L127" s="23">
        <v>38954</v>
      </c>
      <c r="M127" s="28"/>
      <c r="N127" s="28"/>
      <c r="O127" s="28"/>
      <c r="P127" s="24"/>
      <c r="Q127" s="34"/>
      <c r="R127" s="49"/>
      <c r="S127" s="21"/>
      <c r="T127" s="49"/>
      <c r="U127" s="21"/>
      <c r="V127" s="49"/>
      <c r="W127" s="21"/>
      <c r="X127" s="49"/>
      <c r="Y127" s="28"/>
      <c r="Z127" s="24"/>
      <c r="AA127" s="35"/>
      <c r="AB127" s="24"/>
      <c r="AC127" s="21" t="s">
        <v>117</v>
      </c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</row>
    <row r="128" spans="1:41" ht="12.75">
      <c r="A128" s="21" t="s">
        <v>145</v>
      </c>
      <c r="B128" s="21" t="s">
        <v>158</v>
      </c>
      <c r="C128" s="22" t="s">
        <v>159</v>
      </c>
      <c r="D128" s="22">
        <v>4</v>
      </c>
      <c r="E128" s="28">
        <v>82</v>
      </c>
      <c r="F128" s="23">
        <v>57362</v>
      </c>
      <c r="G128" s="28">
        <v>60</v>
      </c>
      <c r="H128" s="23">
        <v>48010</v>
      </c>
      <c r="I128" s="28">
        <v>103</v>
      </c>
      <c r="J128" s="23">
        <v>42362</v>
      </c>
      <c r="K128" s="28">
        <v>14</v>
      </c>
      <c r="L128" s="23">
        <v>30617</v>
      </c>
      <c r="M128" s="28"/>
      <c r="N128" s="28"/>
      <c r="O128" s="28"/>
      <c r="P128" s="24"/>
      <c r="Q128" s="34"/>
      <c r="R128" s="49"/>
      <c r="S128" s="21"/>
      <c r="T128" s="49"/>
      <c r="U128" s="21"/>
      <c r="V128" s="49"/>
      <c r="W128" s="21"/>
      <c r="X128" s="49"/>
      <c r="Y128" s="28"/>
      <c r="Z128" s="24"/>
      <c r="AA128" s="35"/>
      <c r="AB128" s="24"/>
      <c r="AC128" s="21" t="s">
        <v>117</v>
      </c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</row>
    <row r="129" spans="1:41" ht="12.75">
      <c r="A129" s="21" t="s">
        <v>145</v>
      </c>
      <c r="B129" s="21" t="s">
        <v>160</v>
      </c>
      <c r="C129" s="22" t="s">
        <v>161</v>
      </c>
      <c r="D129" s="22">
        <v>4</v>
      </c>
      <c r="E129" s="28">
        <v>101</v>
      </c>
      <c r="F129" s="23">
        <v>57725</v>
      </c>
      <c r="G129" s="28">
        <v>101</v>
      </c>
      <c r="H129" s="23">
        <v>49184</v>
      </c>
      <c r="I129" s="28">
        <v>136</v>
      </c>
      <c r="J129" s="23">
        <v>40991</v>
      </c>
      <c r="K129" s="28">
        <v>29</v>
      </c>
      <c r="L129" s="23">
        <v>32527</v>
      </c>
      <c r="M129" s="28"/>
      <c r="N129" s="28"/>
      <c r="O129" s="28"/>
      <c r="P129" s="24"/>
      <c r="Q129" s="34"/>
      <c r="R129" s="49"/>
      <c r="S129" s="21"/>
      <c r="T129" s="49"/>
      <c r="U129" s="21"/>
      <c r="V129" s="49"/>
      <c r="W129" s="21"/>
      <c r="X129" s="49"/>
      <c r="Y129" s="28"/>
      <c r="Z129" s="24"/>
      <c r="AA129" s="35"/>
      <c r="AB129" s="24"/>
      <c r="AC129" s="21" t="s">
        <v>117</v>
      </c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</row>
    <row r="130" spans="1:41" ht="12.75">
      <c r="A130" s="21" t="s">
        <v>145</v>
      </c>
      <c r="B130" s="21" t="s">
        <v>162</v>
      </c>
      <c r="C130" s="22" t="s">
        <v>163</v>
      </c>
      <c r="D130" s="22">
        <v>5</v>
      </c>
      <c r="E130" s="28">
        <v>41</v>
      </c>
      <c r="F130" s="23">
        <v>59131</v>
      </c>
      <c r="G130" s="28">
        <v>53</v>
      </c>
      <c r="H130" s="23">
        <v>48747</v>
      </c>
      <c r="I130" s="28">
        <v>69</v>
      </c>
      <c r="J130" s="23">
        <v>39494</v>
      </c>
      <c r="K130" s="28">
        <v>6</v>
      </c>
      <c r="L130" s="23">
        <v>37181</v>
      </c>
      <c r="M130" s="28"/>
      <c r="N130" s="28"/>
      <c r="O130" s="28"/>
      <c r="P130" s="24"/>
      <c r="Q130" s="34"/>
      <c r="R130" s="49"/>
      <c r="S130" s="21"/>
      <c r="T130" s="49"/>
      <c r="U130" s="21"/>
      <c r="V130" s="49"/>
      <c r="W130" s="21"/>
      <c r="X130" s="49"/>
      <c r="Y130" s="28"/>
      <c r="Z130" s="24"/>
      <c r="AA130" s="35"/>
      <c r="AB130" s="24"/>
      <c r="AC130" s="21" t="s">
        <v>117</v>
      </c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</row>
    <row r="131" spans="1:41" ht="12.75">
      <c r="A131" s="21" t="s">
        <v>145</v>
      </c>
      <c r="B131" s="21" t="s">
        <v>164</v>
      </c>
      <c r="C131" s="22" t="s">
        <v>165</v>
      </c>
      <c r="D131" s="22">
        <v>5</v>
      </c>
      <c r="E131" s="28">
        <v>59</v>
      </c>
      <c r="F131" s="23">
        <v>55955</v>
      </c>
      <c r="G131" s="28">
        <v>52</v>
      </c>
      <c r="H131" s="23">
        <v>46742</v>
      </c>
      <c r="I131" s="28">
        <v>55</v>
      </c>
      <c r="J131" s="23">
        <v>41498</v>
      </c>
      <c r="K131" s="28">
        <v>2</v>
      </c>
      <c r="L131" s="23">
        <v>35530</v>
      </c>
      <c r="M131" s="28"/>
      <c r="N131" s="28"/>
      <c r="O131" s="28"/>
      <c r="P131" s="24"/>
      <c r="Q131" s="34"/>
      <c r="R131" s="49"/>
      <c r="S131" s="21"/>
      <c r="T131" s="49"/>
      <c r="U131" s="21"/>
      <c r="V131" s="49"/>
      <c r="W131" s="21"/>
      <c r="X131" s="49"/>
      <c r="Y131" s="28"/>
      <c r="Z131" s="24"/>
      <c r="AA131" s="35"/>
      <c r="AB131" s="24"/>
      <c r="AC131" s="21" t="s">
        <v>117</v>
      </c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</row>
    <row r="132" spans="1:41" ht="12.75">
      <c r="A132" s="21" t="s">
        <v>145</v>
      </c>
      <c r="B132" s="21" t="s">
        <v>166</v>
      </c>
      <c r="C132" s="22" t="s">
        <v>167</v>
      </c>
      <c r="D132" s="22">
        <v>5</v>
      </c>
      <c r="E132" s="28">
        <v>14</v>
      </c>
      <c r="F132" s="23">
        <v>56811</v>
      </c>
      <c r="G132" s="28">
        <v>27</v>
      </c>
      <c r="H132" s="23">
        <v>49622</v>
      </c>
      <c r="I132" s="28">
        <v>51</v>
      </c>
      <c r="J132" s="23">
        <v>39824</v>
      </c>
      <c r="K132" s="28">
        <v>11</v>
      </c>
      <c r="L132" s="23">
        <v>32641</v>
      </c>
      <c r="M132" s="28"/>
      <c r="N132" s="28"/>
      <c r="O132" s="28"/>
      <c r="P132" s="24"/>
      <c r="Q132" s="34"/>
      <c r="R132" s="49"/>
      <c r="S132" s="21"/>
      <c r="T132" s="49"/>
      <c r="U132" s="21"/>
      <c r="V132" s="49"/>
      <c r="W132" s="21"/>
      <c r="X132" s="49"/>
      <c r="Y132" s="28"/>
      <c r="Z132" s="24"/>
      <c r="AA132" s="35"/>
      <c r="AB132" s="24"/>
      <c r="AC132" s="21" t="s">
        <v>117</v>
      </c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</row>
    <row r="133" spans="1:41" ht="12.75">
      <c r="A133" s="21" t="s">
        <v>145</v>
      </c>
      <c r="B133" s="21" t="s">
        <v>168</v>
      </c>
      <c r="C133" s="22" t="s">
        <v>169</v>
      </c>
      <c r="D133" s="22">
        <v>5</v>
      </c>
      <c r="E133" s="28">
        <v>31</v>
      </c>
      <c r="F133" s="23">
        <v>54011</v>
      </c>
      <c r="G133" s="28">
        <v>25</v>
      </c>
      <c r="H133" s="23">
        <v>46919</v>
      </c>
      <c r="I133" s="28">
        <v>45</v>
      </c>
      <c r="J133" s="23">
        <v>38306</v>
      </c>
      <c r="K133" s="28">
        <v>3</v>
      </c>
      <c r="L133" s="23">
        <v>34162</v>
      </c>
      <c r="M133" s="28"/>
      <c r="N133" s="28"/>
      <c r="O133" s="28"/>
      <c r="P133" s="24"/>
      <c r="Q133" s="34"/>
      <c r="R133" s="49"/>
      <c r="S133" s="21"/>
      <c r="T133" s="49"/>
      <c r="U133" s="21"/>
      <c r="V133" s="49"/>
      <c r="W133" s="21"/>
      <c r="X133" s="49"/>
      <c r="Y133" s="28"/>
      <c r="Z133" s="24"/>
      <c r="AA133" s="35"/>
      <c r="AB133" s="24"/>
      <c r="AC133" s="21" t="s">
        <v>117</v>
      </c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</row>
    <row r="134" spans="1:41" ht="12.75">
      <c r="A134" s="21" t="s">
        <v>145</v>
      </c>
      <c r="B134" s="21" t="s">
        <v>170</v>
      </c>
      <c r="C134" s="22" t="s">
        <v>171</v>
      </c>
      <c r="D134" s="22">
        <v>5</v>
      </c>
      <c r="E134" s="28">
        <v>69</v>
      </c>
      <c r="F134" s="23">
        <v>63191</v>
      </c>
      <c r="G134" s="28">
        <v>119</v>
      </c>
      <c r="H134" s="23">
        <v>53567</v>
      </c>
      <c r="I134" s="28">
        <v>89</v>
      </c>
      <c r="J134" s="23">
        <v>41670</v>
      </c>
      <c r="K134" s="28">
        <v>18</v>
      </c>
      <c r="L134" s="23">
        <v>33476</v>
      </c>
      <c r="M134" s="28"/>
      <c r="N134" s="28"/>
      <c r="O134" s="28"/>
      <c r="P134" s="24"/>
      <c r="Q134" s="34"/>
      <c r="R134" s="49"/>
      <c r="S134" s="21"/>
      <c r="T134" s="49"/>
      <c r="U134" s="21"/>
      <c r="V134" s="49"/>
      <c r="W134" s="21"/>
      <c r="X134" s="49"/>
      <c r="Y134" s="28"/>
      <c r="Z134" s="24"/>
      <c r="AA134" s="35"/>
      <c r="AB134" s="24"/>
      <c r="AC134" s="21" t="s">
        <v>117</v>
      </c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</row>
    <row r="135" spans="1:41" ht="12.75">
      <c r="A135" s="21" t="s">
        <v>145</v>
      </c>
      <c r="B135" s="21" t="s">
        <v>172</v>
      </c>
      <c r="C135" s="22" t="s">
        <v>173</v>
      </c>
      <c r="D135" s="22">
        <v>5</v>
      </c>
      <c r="E135" s="28">
        <v>37</v>
      </c>
      <c r="F135" s="23">
        <v>53219</v>
      </c>
      <c r="G135" s="28">
        <v>33</v>
      </c>
      <c r="H135" s="23">
        <v>47475</v>
      </c>
      <c r="I135" s="28">
        <v>58</v>
      </c>
      <c r="J135" s="23">
        <v>41256</v>
      </c>
      <c r="K135" s="28">
        <v>4</v>
      </c>
      <c r="L135" s="23">
        <v>33053</v>
      </c>
      <c r="M135" s="28"/>
      <c r="N135" s="28"/>
      <c r="O135" s="28"/>
      <c r="P135" s="24"/>
      <c r="Q135" s="34"/>
      <c r="R135" s="49"/>
      <c r="S135" s="21"/>
      <c r="T135" s="49"/>
      <c r="U135" s="21"/>
      <c r="V135" s="49"/>
      <c r="W135" s="21"/>
      <c r="X135" s="49"/>
      <c r="Y135" s="28"/>
      <c r="Z135" s="24"/>
      <c r="AA135" s="35"/>
      <c r="AB135" s="24"/>
      <c r="AC135" s="21" t="s">
        <v>117</v>
      </c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</row>
    <row r="136" spans="1:41" ht="12.75">
      <c r="A136" s="21" t="s">
        <v>145</v>
      </c>
      <c r="B136" s="21" t="s">
        <v>174</v>
      </c>
      <c r="C136" s="22" t="s">
        <v>175</v>
      </c>
      <c r="D136" s="22">
        <v>6</v>
      </c>
      <c r="E136" s="28">
        <v>36</v>
      </c>
      <c r="F136" s="23">
        <v>53822</v>
      </c>
      <c r="G136" s="28">
        <v>49</v>
      </c>
      <c r="H136" s="23">
        <v>46174</v>
      </c>
      <c r="I136" s="28">
        <v>110</v>
      </c>
      <c r="J136" s="23">
        <v>39201</v>
      </c>
      <c r="K136" s="28">
        <v>4</v>
      </c>
      <c r="L136" s="23">
        <v>32610</v>
      </c>
      <c r="M136" s="28"/>
      <c r="N136" s="28"/>
      <c r="O136" s="28"/>
      <c r="P136" s="24"/>
      <c r="Q136" s="34"/>
      <c r="R136" s="49"/>
      <c r="S136" s="21"/>
      <c r="T136" s="49"/>
      <c r="U136" s="21"/>
      <c r="V136" s="49"/>
      <c r="W136" s="21"/>
      <c r="X136" s="49"/>
      <c r="Y136" s="28"/>
      <c r="Z136" s="24"/>
      <c r="AA136" s="35"/>
      <c r="AB136" s="24"/>
      <c r="AC136" s="21" t="s">
        <v>117</v>
      </c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</row>
    <row r="137" spans="1:41" ht="12.75">
      <c r="A137" s="21" t="s">
        <v>145</v>
      </c>
      <c r="B137" s="21" t="s">
        <v>176</v>
      </c>
      <c r="C137" s="22" t="s">
        <v>177</v>
      </c>
      <c r="D137" s="22">
        <v>6</v>
      </c>
      <c r="E137" s="28">
        <v>34</v>
      </c>
      <c r="F137" s="23">
        <v>61004</v>
      </c>
      <c r="G137" s="28">
        <v>26</v>
      </c>
      <c r="H137" s="23">
        <v>50202</v>
      </c>
      <c r="I137" s="28">
        <v>48</v>
      </c>
      <c r="J137" s="23">
        <v>44384</v>
      </c>
      <c r="K137" s="28">
        <v>17</v>
      </c>
      <c r="L137" s="23">
        <v>36026</v>
      </c>
      <c r="M137" s="28"/>
      <c r="N137" s="28"/>
      <c r="O137" s="28"/>
      <c r="P137" s="24"/>
      <c r="Q137" s="34"/>
      <c r="R137" s="49"/>
      <c r="S137" s="21"/>
      <c r="T137" s="49"/>
      <c r="U137" s="21"/>
      <c r="V137" s="49"/>
      <c r="W137" s="21"/>
      <c r="X137" s="49"/>
      <c r="Y137" s="28"/>
      <c r="Z137" s="24"/>
      <c r="AA137" s="35"/>
      <c r="AB137" s="24"/>
      <c r="AC137" s="21" t="s">
        <v>117</v>
      </c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</row>
    <row r="138" spans="1:41" ht="12.75">
      <c r="A138" s="21" t="s">
        <v>145</v>
      </c>
      <c r="B138" s="21" t="s">
        <v>178</v>
      </c>
      <c r="C138" s="22" t="s">
        <v>179</v>
      </c>
      <c r="D138" s="22">
        <v>6</v>
      </c>
      <c r="E138" s="28">
        <v>44</v>
      </c>
      <c r="F138" s="23">
        <v>55157</v>
      </c>
      <c r="G138" s="28">
        <v>59</v>
      </c>
      <c r="H138" s="23">
        <v>45011</v>
      </c>
      <c r="I138" s="28">
        <v>29</v>
      </c>
      <c r="J138" s="23">
        <v>40682</v>
      </c>
      <c r="K138" s="28">
        <v>3</v>
      </c>
      <c r="L138" s="23">
        <v>32443</v>
      </c>
      <c r="M138" s="21"/>
      <c r="N138" s="21"/>
      <c r="O138" s="21"/>
      <c r="P138" s="32"/>
      <c r="Q138" s="34"/>
      <c r="R138" s="49"/>
      <c r="S138" s="21"/>
      <c r="T138" s="49"/>
      <c r="U138" s="21"/>
      <c r="V138" s="49"/>
      <c r="W138" s="21"/>
      <c r="X138" s="49"/>
      <c r="Y138" s="21"/>
      <c r="Z138" s="32"/>
      <c r="AA138" s="27"/>
      <c r="AB138" s="32"/>
      <c r="AC138" s="21" t="s">
        <v>117</v>
      </c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</row>
    <row r="139" spans="1:41" ht="12.75">
      <c r="A139" s="21" t="s">
        <v>145</v>
      </c>
      <c r="B139" s="21" t="s">
        <v>180</v>
      </c>
      <c r="C139" s="22" t="s">
        <v>181</v>
      </c>
      <c r="D139" s="22">
        <v>7</v>
      </c>
      <c r="E139" s="28">
        <v>12</v>
      </c>
      <c r="F139" s="23">
        <v>49824</v>
      </c>
      <c r="G139" s="28">
        <v>24</v>
      </c>
      <c r="H139" s="23">
        <v>45352</v>
      </c>
      <c r="I139" s="28">
        <v>47</v>
      </c>
      <c r="J139" s="23">
        <v>37827</v>
      </c>
      <c r="K139" s="28">
        <v>13</v>
      </c>
      <c r="L139" s="23">
        <v>32342</v>
      </c>
      <c r="M139" s="23"/>
      <c r="N139" s="23"/>
      <c r="O139" s="23"/>
      <c r="P139" s="26"/>
      <c r="Q139" s="34"/>
      <c r="R139" s="49"/>
      <c r="S139" s="21"/>
      <c r="T139" s="49"/>
      <c r="U139" s="21"/>
      <c r="V139" s="49"/>
      <c r="W139" s="21"/>
      <c r="X139" s="49"/>
      <c r="Y139" s="23"/>
      <c r="Z139" s="26"/>
      <c r="AA139" s="38"/>
      <c r="AB139" s="26"/>
      <c r="AC139" s="21" t="s">
        <v>117</v>
      </c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</row>
    <row r="140" spans="1:41" ht="12.75">
      <c r="A140" s="21" t="s">
        <v>145</v>
      </c>
      <c r="B140" s="21" t="s">
        <v>182</v>
      </c>
      <c r="C140" s="22" t="s">
        <v>183</v>
      </c>
      <c r="D140" s="22">
        <v>7</v>
      </c>
      <c r="E140" s="28">
        <v>10</v>
      </c>
      <c r="F140" s="23">
        <v>49881</v>
      </c>
      <c r="G140" s="28">
        <v>23</v>
      </c>
      <c r="H140" s="23">
        <v>45012</v>
      </c>
      <c r="I140" s="28">
        <v>14</v>
      </c>
      <c r="J140" s="23">
        <v>39607</v>
      </c>
      <c r="K140" s="28">
        <v>4</v>
      </c>
      <c r="L140" s="23">
        <v>38154</v>
      </c>
      <c r="M140" s="50"/>
      <c r="N140" s="50"/>
      <c r="O140" s="50"/>
      <c r="P140" s="51"/>
      <c r="Q140" s="34"/>
      <c r="R140" s="49"/>
      <c r="S140" s="21"/>
      <c r="T140" s="49"/>
      <c r="U140" s="21"/>
      <c r="V140" s="49"/>
      <c r="W140" s="21"/>
      <c r="X140" s="49"/>
      <c r="Y140" s="50"/>
      <c r="Z140" s="51"/>
      <c r="AA140" s="52"/>
      <c r="AB140" s="51"/>
      <c r="AC140" s="21" t="s">
        <v>117</v>
      </c>
      <c r="AD140" s="45"/>
      <c r="AE140" s="41"/>
      <c r="AF140" s="41"/>
      <c r="AG140" s="41"/>
      <c r="AH140" s="41"/>
      <c r="AI140" s="41"/>
      <c r="AJ140" s="41"/>
      <c r="AK140" s="41"/>
      <c r="AL140" s="41"/>
      <c r="AM140" s="41"/>
      <c r="AN140" s="45"/>
      <c r="AO140" s="41"/>
    </row>
    <row r="141" spans="1:41" ht="12.75">
      <c r="A141" s="21" t="s">
        <v>145</v>
      </c>
      <c r="B141" s="21" t="s">
        <v>184</v>
      </c>
      <c r="C141" s="22" t="s">
        <v>185</v>
      </c>
      <c r="D141" s="22">
        <v>7</v>
      </c>
      <c r="E141" s="28">
        <v>12</v>
      </c>
      <c r="F141" s="23">
        <v>47281</v>
      </c>
      <c r="G141" s="28">
        <v>2</v>
      </c>
      <c r="H141" s="23">
        <v>37761</v>
      </c>
      <c r="I141" s="28">
        <v>3</v>
      </c>
      <c r="J141" s="23">
        <v>37491</v>
      </c>
      <c r="K141" s="28">
        <v>5</v>
      </c>
      <c r="L141" s="23">
        <v>30869</v>
      </c>
      <c r="M141" s="23"/>
      <c r="N141" s="23"/>
      <c r="O141" s="23"/>
      <c r="P141" s="26"/>
      <c r="Q141" s="34"/>
      <c r="R141" s="49"/>
      <c r="S141" s="21"/>
      <c r="T141" s="49"/>
      <c r="U141" s="21"/>
      <c r="V141" s="49"/>
      <c r="W141" s="21"/>
      <c r="X141" s="49"/>
      <c r="Y141" s="23"/>
      <c r="Z141" s="26"/>
      <c r="AA141" s="38"/>
      <c r="AB141" s="26"/>
      <c r="AC141" s="21" t="s">
        <v>117</v>
      </c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</row>
    <row r="142" spans="1:41" ht="12.75">
      <c r="A142" s="21" t="s">
        <v>145</v>
      </c>
      <c r="B142" s="21" t="s">
        <v>186</v>
      </c>
      <c r="C142" s="22" t="s">
        <v>187</v>
      </c>
      <c r="D142" s="22">
        <v>7</v>
      </c>
      <c r="E142" s="28">
        <v>7</v>
      </c>
      <c r="F142" s="23">
        <v>51515</v>
      </c>
      <c r="G142" s="28">
        <v>6</v>
      </c>
      <c r="H142" s="23">
        <v>44537</v>
      </c>
      <c r="I142" s="28">
        <v>22</v>
      </c>
      <c r="J142" s="23">
        <v>40505</v>
      </c>
      <c r="K142" s="28">
        <v>14</v>
      </c>
      <c r="L142" s="23">
        <v>34629</v>
      </c>
      <c r="M142" s="23"/>
      <c r="N142" s="23"/>
      <c r="O142" s="23"/>
      <c r="P142" s="26"/>
      <c r="Q142" s="34"/>
      <c r="R142" s="49"/>
      <c r="S142" s="21"/>
      <c r="T142" s="49"/>
      <c r="U142" s="21"/>
      <c r="V142" s="49"/>
      <c r="W142" s="21"/>
      <c r="X142" s="49"/>
      <c r="Y142" s="23"/>
      <c r="Z142" s="26"/>
      <c r="AA142" s="38"/>
      <c r="AB142" s="26"/>
      <c r="AC142" s="21" t="s">
        <v>117</v>
      </c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</row>
    <row r="143" spans="1:41" ht="12.75">
      <c r="A143" s="21" t="s">
        <v>145</v>
      </c>
      <c r="B143" s="21" t="s">
        <v>188</v>
      </c>
      <c r="C143" s="22" t="s">
        <v>189</v>
      </c>
      <c r="D143" s="22">
        <v>7</v>
      </c>
      <c r="E143" s="28">
        <v>9</v>
      </c>
      <c r="F143" s="23">
        <v>53655</v>
      </c>
      <c r="G143" s="28">
        <v>15</v>
      </c>
      <c r="H143" s="23">
        <v>46101</v>
      </c>
      <c r="I143" s="28">
        <v>36</v>
      </c>
      <c r="J143" s="23">
        <v>37914</v>
      </c>
      <c r="K143" s="28">
        <v>16</v>
      </c>
      <c r="L143" s="23">
        <v>34413</v>
      </c>
      <c r="M143" s="23"/>
      <c r="N143" s="23"/>
      <c r="O143" s="23"/>
      <c r="P143" s="26"/>
      <c r="Q143" s="34"/>
      <c r="R143" s="49"/>
      <c r="S143" s="21"/>
      <c r="T143" s="49"/>
      <c r="U143" s="21"/>
      <c r="V143" s="49"/>
      <c r="W143" s="21"/>
      <c r="X143" s="49"/>
      <c r="Y143" s="23"/>
      <c r="Z143" s="26"/>
      <c r="AA143" s="38"/>
      <c r="AB143" s="26"/>
      <c r="AC143" s="21" t="s">
        <v>117</v>
      </c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</row>
    <row r="144" spans="1:41" ht="12.75">
      <c r="A144" s="21" t="s">
        <v>145</v>
      </c>
      <c r="B144" s="21" t="s">
        <v>190</v>
      </c>
      <c r="C144" s="22" t="s">
        <v>191</v>
      </c>
      <c r="D144" s="22">
        <v>7</v>
      </c>
      <c r="E144" s="28">
        <v>13</v>
      </c>
      <c r="F144" s="23">
        <v>48056</v>
      </c>
      <c r="G144" s="28">
        <v>8</v>
      </c>
      <c r="H144" s="23">
        <v>45107</v>
      </c>
      <c r="I144" s="28">
        <v>34</v>
      </c>
      <c r="J144" s="23">
        <v>41975</v>
      </c>
      <c r="K144" s="28">
        <v>9</v>
      </c>
      <c r="L144" s="23">
        <v>35765</v>
      </c>
      <c r="M144" s="23"/>
      <c r="N144" s="23"/>
      <c r="O144" s="23"/>
      <c r="P144" s="26"/>
      <c r="Q144" s="34"/>
      <c r="R144" s="49"/>
      <c r="S144" s="21"/>
      <c r="T144" s="49"/>
      <c r="U144" s="21"/>
      <c r="V144" s="49"/>
      <c r="W144" s="21"/>
      <c r="X144" s="49"/>
      <c r="Y144" s="23"/>
      <c r="Z144" s="26"/>
      <c r="AA144" s="38"/>
      <c r="AB144" s="26"/>
      <c r="AC144" s="21" t="s">
        <v>117</v>
      </c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</row>
    <row r="145" spans="1:41" ht="12.75">
      <c r="A145" s="21" t="s">
        <v>145</v>
      </c>
      <c r="B145" s="21" t="s">
        <v>192</v>
      </c>
      <c r="C145" s="22" t="s">
        <v>193</v>
      </c>
      <c r="D145" s="22">
        <v>7</v>
      </c>
      <c r="E145" s="28">
        <v>20</v>
      </c>
      <c r="F145" s="23">
        <v>51488</v>
      </c>
      <c r="G145" s="28">
        <v>84</v>
      </c>
      <c r="H145" s="23">
        <v>44589</v>
      </c>
      <c r="I145" s="28">
        <v>164</v>
      </c>
      <c r="J145" s="23">
        <v>37735</v>
      </c>
      <c r="K145" s="28">
        <v>27</v>
      </c>
      <c r="L145" s="23">
        <v>32104</v>
      </c>
      <c r="M145" s="23"/>
      <c r="N145" s="23"/>
      <c r="O145" s="23"/>
      <c r="P145" s="26"/>
      <c r="Q145" s="34"/>
      <c r="R145" s="49"/>
      <c r="S145" s="21"/>
      <c r="T145" s="49"/>
      <c r="U145" s="21"/>
      <c r="V145" s="49"/>
      <c r="W145" s="21"/>
      <c r="X145" s="49"/>
      <c r="Y145" s="23"/>
      <c r="Z145" s="26"/>
      <c r="AA145" s="38"/>
      <c r="AB145" s="26"/>
      <c r="AC145" s="21" t="s">
        <v>117</v>
      </c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</row>
    <row r="146" spans="1:41" ht="12.75">
      <c r="A146" s="21" t="s">
        <v>145</v>
      </c>
      <c r="B146" s="21" t="s">
        <v>194</v>
      </c>
      <c r="C146" s="22" t="s">
        <v>195</v>
      </c>
      <c r="D146" s="22">
        <v>7</v>
      </c>
      <c r="E146" s="28">
        <v>3</v>
      </c>
      <c r="F146" s="23">
        <v>48836</v>
      </c>
      <c r="G146" s="28">
        <v>5</v>
      </c>
      <c r="H146" s="23">
        <v>45175</v>
      </c>
      <c r="I146" s="28">
        <v>6</v>
      </c>
      <c r="J146" s="23">
        <v>39551</v>
      </c>
      <c r="K146" s="28">
        <v>6</v>
      </c>
      <c r="L146" s="23">
        <v>32822</v>
      </c>
      <c r="M146" s="23"/>
      <c r="N146" s="23"/>
      <c r="O146" s="23"/>
      <c r="P146" s="26"/>
      <c r="Q146" s="34"/>
      <c r="R146" s="49"/>
      <c r="S146" s="21"/>
      <c r="T146" s="49"/>
      <c r="U146" s="21"/>
      <c r="V146" s="49"/>
      <c r="W146" s="21"/>
      <c r="X146" s="49"/>
      <c r="Y146" s="23"/>
      <c r="Z146" s="26"/>
      <c r="AA146" s="38"/>
      <c r="AB146" s="26"/>
      <c r="AC146" s="21" t="s">
        <v>117</v>
      </c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</row>
    <row r="147" spans="1:41" ht="12.75">
      <c r="A147" s="21" t="s">
        <v>145</v>
      </c>
      <c r="B147" s="21" t="s">
        <v>196</v>
      </c>
      <c r="C147" s="22" t="s">
        <v>197</v>
      </c>
      <c r="D147" s="22">
        <v>7</v>
      </c>
      <c r="E147" s="28">
        <v>13</v>
      </c>
      <c r="F147" s="23">
        <v>50491</v>
      </c>
      <c r="G147" s="28">
        <v>14</v>
      </c>
      <c r="H147" s="23">
        <v>42168</v>
      </c>
      <c r="I147" s="28">
        <v>26</v>
      </c>
      <c r="J147" s="23">
        <v>36311</v>
      </c>
      <c r="K147" s="28">
        <v>7</v>
      </c>
      <c r="L147" s="23">
        <v>36080</v>
      </c>
      <c r="M147" s="23"/>
      <c r="N147" s="23"/>
      <c r="O147" s="23"/>
      <c r="P147" s="26"/>
      <c r="Q147" s="34"/>
      <c r="R147" s="49"/>
      <c r="S147" s="21"/>
      <c r="T147" s="49"/>
      <c r="U147" s="21"/>
      <c r="V147" s="49"/>
      <c r="W147" s="21"/>
      <c r="X147" s="49"/>
      <c r="Y147" s="23"/>
      <c r="Z147" s="26"/>
      <c r="AA147" s="38"/>
      <c r="AB147" s="26"/>
      <c r="AC147" s="21" t="s">
        <v>117</v>
      </c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</row>
    <row r="148" spans="1:41" ht="12.75">
      <c r="A148" s="21" t="s">
        <v>145</v>
      </c>
      <c r="B148" s="21" t="s">
        <v>198</v>
      </c>
      <c r="C148" s="22" t="s">
        <v>199</v>
      </c>
      <c r="D148" s="22">
        <v>7</v>
      </c>
      <c r="E148" s="28">
        <v>10</v>
      </c>
      <c r="F148" s="23">
        <v>53285</v>
      </c>
      <c r="G148" s="28">
        <v>27</v>
      </c>
      <c r="H148" s="23">
        <v>43270</v>
      </c>
      <c r="I148" s="28">
        <v>36</v>
      </c>
      <c r="J148" s="23">
        <v>36550</v>
      </c>
      <c r="K148" s="28">
        <v>7</v>
      </c>
      <c r="L148" s="23">
        <v>30173</v>
      </c>
      <c r="M148" s="23"/>
      <c r="N148" s="23"/>
      <c r="O148" s="23"/>
      <c r="P148" s="26"/>
      <c r="Q148" s="34"/>
      <c r="R148" s="49"/>
      <c r="S148" s="21"/>
      <c r="T148" s="49"/>
      <c r="U148" s="21"/>
      <c r="V148" s="49"/>
      <c r="W148" s="21"/>
      <c r="X148" s="49"/>
      <c r="Y148" s="23"/>
      <c r="Z148" s="26"/>
      <c r="AA148" s="38"/>
      <c r="AB148" s="26"/>
      <c r="AC148" s="21" t="s">
        <v>117</v>
      </c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</row>
    <row r="149" spans="1:29" ht="12.75">
      <c r="A149" s="21" t="s">
        <v>145</v>
      </c>
      <c r="B149" s="21" t="s">
        <v>200</v>
      </c>
      <c r="C149" s="22" t="s">
        <v>201</v>
      </c>
      <c r="D149" s="22">
        <v>7</v>
      </c>
      <c r="E149" s="28">
        <v>12</v>
      </c>
      <c r="F149" s="23">
        <v>49325</v>
      </c>
      <c r="G149" s="28">
        <v>14</v>
      </c>
      <c r="H149" s="23">
        <v>43627</v>
      </c>
      <c r="I149" s="28">
        <v>37</v>
      </c>
      <c r="J149" s="23">
        <v>34458</v>
      </c>
      <c r="K149" s="28">
        <v>5</v>
      </c>
      <c r="L149" s="23">
        <v>31401</v>
      </c>
      <c r="M149" s="23"/>
      <c r="N149" s="23"/>
      <c r="O149" s="23"/>
      <c r="P149" s="26"/>
      <c r="Q149" s="34"/>
      <c r="R149" s="49"/>
      <c r="S149" s="21"/>
      <c r="T149" s="49"/>
      <c r="U149" s="21"/>
      <c r="V149" s="49"/>
      <c r="W149" s="21"/>
      <c r="X149" s="49"/>
      <c r="Y149" s="23"/>
      <c r="Z149" s="26"/>
      <c r="AA149" s="38"/>
      <c r="AB149" s="26"/>
      <c r="AC149" s="21" t="s">
        <v>117</v>
      </c>
    </row>
    <row r="150" spans="1:29" ht="12.75">
      <c r="A150" s="21" t="s">
        <v>145</v>
      </c>
      <c r="B150" s="21" t="s">
        <v>202</v>
      </c>
      <c r="C150" s="22" t="s">
        <v>203</v>
      </c>
      <c r="D150" s="22">
        <v>7</v>
      </c>
      <c r="E150" s="28">
        <v>20</v>
      </c>
      <c r="F150" s="23">
        <v>52925</v>
      </c>
      <c r="G150" s="28">
        <v>23</v>
      </c>
      <c r="H150" s="23">
        <v>45671</v>
      </c>
      <c r="I150" s="28">
        <v>44</v>
      </c>
      <c r="J150" s="23">
        <v>39371</v>
      </c>
      <c r="K150" s="28">
        <v>11</v>
      </c>
      <c r="L150" s="23">
        <v>35433</v>
      </c>
      <c r="M150" s="23"/>
      <c r="N150" s="23"/>
      <c r="O150" s="23"/>
      <c r="P150" s="26"/>
      <c r="Q150" s="34"/>
      <c r="R150" s="49"/>
      <c r="S150" s="21"/>
      <c r="T150" s="49"/>
      <c r="U150" s="21"/>
      <c r="V150" s="49"/>
      <c r="W150" s="21"/>
      <c r="X150" s="49"/>
      <c r="Y150" s="23"/>
      <c r="Z150" s="26"/>
      <c r="AA150" s="38"/>
      <c r="AB150" s="26"/>
      <c r="AC150" s="21" t="s">
        <v>117</v>
      </c>
    </row>
    <row r="151" spans="1:29" ht="12.75">
      <c r="A151" s="21" t="s">
        <v>145</v>
      </c>
      <c r="B151" s="21" t="s">
        <v>204</v>
      </c>
      <c r="C151" s="22" t="s">
        <v>205</v>
      </c>
      <c r="D151" s="22">
        <v>7</v>
      </c>
      <c r="E151" s="28">
        <v>13</v>
      </c>
      <c r="F151" s="23">
        <v>51387</v>
      </c>
      <c r="G151" s="28">
        <v>24</v>
      </c>
      <c r="H151" s="23">
        <v>42740</v>
      </c>
      <c r="I151" s="28">
        <v>19</v>
      </c>
      <c r="J151" s="23">
        <v>36432</v>
      </c>
      <c r="K151" s="28">
        <v>9</v>
      </c>
      <c r="L151" s="23">
        <v>32160</v>
      </c>
      <c r="M151" s="23"/>
      <c r="N151" s="23"/>
      <c r="O151" s="23"/>
      <c r="P151" s="26"/>
      <c r="Q151" s="34"/>
      <c r="R151" s="49"/>
      <c r="S151" s="21"/>
      <c r="T151" s="49"/>
      <c r="U151" s="21"/>
      <c r="V151" s="49"/>
      <c r="W151" s="21"/>
      <c r="X151" s="49"/>
      <c r="Y151" s="23"/>
      <c r="Z151" s="26"/>
      <c r="AA151" s="38"/>
      <c r="AB151" s="26"/>
      <c r="AC151" s="21" t="s">
        <v>117</v>
      </c>
    </row>
    <row r="152" spans="1:29" ht="12.75">
      <c r="A152" s="21" t="s">
        <v>145</v>
      </c>
      <c r="B152" s="21" t="s">
        <v>206</v>
      </c>
      <c r="C152" s="21">
        <v>140997</v>
      </c>
      <c r="D152" s="22">
        <v>7</v>
      </c>
      <c r="E152" s="28">
        <v>6</v>
      </c>
      <c r="F152" s="23">
        <v>51914</v>
      </c>
      <c r="G152" s="28">
        <v>9</v>
      </c>
      <c r="H152" s="23">
        <v>42449</v>
      </c>
      <c r="I152" s="28">
        <v>20</v>
      </c>
      <c r="J152" s="23">
        <v>36989</v>
      </c>
      <c r="K152" s="28">
        <v>2</v>
      </c>
      <c r="L152" s="23">
        <v>34302</v>
      </c>
      <c r="M152" s="23"/>
      <c r="N152" s="23"/>
      <c r="O152" s="23"/>
      <c r="P152" s="26"/>
      <c r="Q152" s="34"/>
      <c r="R152" s="49"/>
      <c r="S152" s="21"/>
      <c r="T152" s="49"/>
      <c r="U152" s="21"/>
      <c r="V152" s="49"/>
      <c r="W152" s="21"/>
      <c r="X152" s="49"/>
      <c r="Y152" s="23"/>
      <c r="Z152" s="26"/>
      <c r="AA152" s="38"/>
      <c r="AB152" s="26"/>
      <c r="AC152" s="21" t="s">
        <v>117</v>
      </c>
    </row>
    <row r="153" spans="1:29" ht="12.75">
      <c r="A153" s="21" t="s">
        <v>145</v>
      </c>
      <c r="B153" s="21" t="s">
        <v>207</v>
      </c>
      <c r="C153" s="22" t="s">
        <v>208</v>
      </c>
      <c r="D153" s="22">
        <v>7</v>
      </c>
      <c r="E153" s="28">
        <v>3</v>
      </c>
      <c r="F153" s="23">
        <v>51338</v>
      </c>
      <c r="G153" s="28">
        <v>3</v>
      </c>
      <c r="H153" s="23">
        <v>44071</v>
      </c>
      <c r="I153" s="28">
        <v>9</v>
      </c>
      <c r="J153" s="23">
        <v>38529</v>
      </c>
      <c r="K153" s="28">
        <v>5</v>
      </c>
      <c r="L153" s="23">
        <v>33707</v>
      </c>
      <c r="M153" s="23"/>
      <c r="N153" s="23"/>
      <c r="O153" s="23"/>
      <c r="P153" s="26"/>
      <c r="Q153" s="34"/>
      <c r="R153" s="49"/>
      <c r="S153" s="21"/>
      <c r="T153" s="49"/>
      <c r="U153" s="21"/>
      <c r="V153" s="49"/>
      <c r="W153" s="21"/>
      <c r="X153" s="49"/>
      <c r="Y153" s="23"/>
      <c r="Z153" s="26"/>
      <c r="AA153" s="38"/>
      <c r="AB153" s="26"/>
      <c r="AC153" s="21" t="s">
        <v>117</v>
      </c>
    </row>
    <row r="154" spans="1:29" ht="12.75">
      <c r="A154" s="2" t="s">
        <v>145</v>
      </c>
      <c r="B154" s="53" t="s">
        <v>209</v>
      </c>
      <c r="C154" s="54">
        <v>138682</v>
      </c>
      <c r="D154" s="54">
        <v>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55">
        <v>4</v>
      </c>
      <c r="P154" s="56">
        <v>22823.75</v>
      </c>
      <c r="Q154" s="34"/>
      <c r="R154" s="21"/>
      <c r="S154" s="21"/>
      <c r="T154" s="21"/>
      <c r="U154" s="21"/>
      <c r="V154" s="21"/>
      <c r="W154" s="21"/>
      <c r="X154" s="21"/>
      <c r="Y154" s="21"/>
      <c r="Z154" s="32"/>
      <c r="AA154" s="57">
        <v>51</v>
      </c>
      <c r="AB154" s="56">
        <v>46142.177254902</v>
      </c>
      <c r="AC154" s="21"/>
    </row>
    <row r="155" spans="1:29" ht="12.75">
      <c r="A155" s="2" t="s">
        <v>145</v>
      </c>
      <c r="B155" s="53" t="s">
        <v>210</v>
      </c>
      <c r="C155" s="54">
        <v>366447</v>
      </c>
      <c r="D155" s="54">
        <v>8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55">
        <v>7</v>
      </c>
      <c r="P155" s="56">
        <v>34921.4285714286</v>
      </c>
      <c r="Q155" s="34"/>
      <c r="R155" s="21"/>
      <c r="S155" s="21"/>
      <c r="T155" s="21"/>
      <c r="U155" s="21"/>
      <c r="V155" s="21"/>
      <c r="W155" s="21"/>
      <c r="X155" s="21"/>
      <c r="Y155" s="21"/>
      <c r="Z155" s="32"/>
      <c r="AA155" s="57">
        <v>12</v>
      </c>
      <c r="AB155" s="56">
        <v>38506.8333333333</v>
      </c>
      <c r="AC155" s="21"/>
    </row>
    <row r="156" spans="1:29" ht="12.75">
      <c r="A156" s="2" t="s">
        <v>145</v>
      </c>
      <c r="B156" s="53" t="s">
        <v>211</v>
      </c>
      <c r="C156" s="54">
        <v>246813</v>
      </c>
      <c r="D156" s="54">
        <v>8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55">
        <v>15</v>
      </c>
      <c r="P156" s="56">
        <v>38054.5333333333</v>
      </c>
      <c r="Q156" s="34"/>
      <c r="R156" s="21"/>
      <c r="S156" s="21"/>
      <c r="T156" s="21"/>
      <c r="U156" s="21"/>
      <c r="V156" s="21"/>
      <c r="W156" s="21"/>
      <c r="X156" s="21"/>
      <c r="Y156" s="21"/>
      <c r="Z156" s="32"/>
      <c r="AA156" s="57">
        <v>52</v>
      </c>
      <c r="AB156" s="56">
        <v>54264.4230769231</v>
      </c>
      <c r="AC156" s="21"/>
    </row>
    <row r="157" spans="1:29" ht="12.75">
      <c r="A157" s="2" t="s">
        <v>145</v>
      </c>
      <c r="B157" s="53" t="s">
        <v>212</v>
      </c>
      <c r="C157" s="54">
        <v>138840</v>
      </c>
      <c r="D157" s="54">
        <v>8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55"/>
      <c r="P157" s="56"/>
      <c r="Q157" s="34"/>
      <c r="R157" s="21"/>
      <c r="S157" s="21"/>
      <c r="T157" s="21"/>
      <c r="U157" s="21"/>
      <c r="V157" s="21"/>
      <c r="W157" s="21"/>
      <c r="X157" s="21"/>
      <c r="Y157" s="21"/>
      <c r="Z157" s="32"/>
      <c r="AA157" s="57">
        <v>80</v>
      </c>
      <c r="AB157" s="56">
        <v>49438.54125</v>
      </c>
      <c r="AC157" s="21"/>
    </row>
    <row r="158" spans="1:29" ht="12.75">
      <c r="A158" s="2" t="s">
        <v>145</v>
      </c>
      <c r="B158" s="53" t="s">
        <v>213</v>
      </c>
      <c r="C158" s="54">
        <v>138956</v>
      </c>
      <c r="D158" s="54">
        <v>8</v>
      </c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55">
        <v>5</v>
      </c>
      <c r="P158" s="56">
        <v>35896.6</v>
      </c>
      <c r="Q158" s="34"/>
      <c r="R158" s="21"/>
      <c r="S158" s="21"/>
      <c r="T158" s="21"/>
      <c r="U158" s="21"/>
      <c r="V158" s="21"/>
      <c r="W158" s="21"/>
      <c r="X158" s="21"/>
      <c r="Y158" s="21"/>
      <c r="Z158" s="32"/>
      <c r="AA158" s="57">
        <v>91</v>
      </c>
      <c r="AB158" s="56">
        <v>48172.9230769231</v>
      </c>
      <c r="AC158" s="21"/>
    </row>
    <row r="159" spans="1:29" ht="12.75">
      <c r="A159" s="2" t="s">
        <v>145</v>
      </c>
      <c r="B159" s="53" t="s">
        <v>214</v>
      </c>
      <c r="C159" s="54">
        <v>139126</v>
      </c>
      <c r="D159" s="54">
        <v>8</v>
      </c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55"/>
      <c r="P159" s="56"/>
      <c r="Q159" s="34"/>
      <c r="R159" s="21"/>
      <c r="S159" s="21"/>
      <c r="T159" s="21"/>
      <c r="U159" s="21"/>
      <c r="V159" s="21"/>
      <c r="W159" s="21"/>
      <c r="X159" s="21"/>
      <c r="Y159" s="21"/>
      <c r="Z159" s="32"/>
      <c r="AA159" s="57">
        <v>46</v>
      </c>
      <c r="AB159" s="56">
        <v>44432.347826087</v>
      </c>
      <c r="AC159" s="21"/>
    </row>
    <row r="160" spans="1:29" ht="12.75">
      <c r="A160" s="2" t="s">
        <v>145</v>
      </c>
      <c r="B160" s="53" t="s">
        <v>215</v>
      </c>
      <c r="C160" s="54">
        <v>139278</v>
      </c>
      <c r="D160" s="54">
        <v>8</v>
      </c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55">
        <v>5</v>
      </c>
      <c r="P160" s="56">
        <v>37087.4</v>
      </c>
      <c r="Q160" s="34"/>
      <c r="R160" s="21"/>
      <c r="S160" s="21"/>
      <c r="T160" s="21"/>
      <c r="U160" s="21"/>
      <c r="V160" s="21"/>
      <c r="W160" s="21"/>
      <c r="X160" s="21"/>
      <c r="Y160" s="21"/>
      <c r="Z160" s="32"/>
      <c r="AA160" s="57">
        <v>43</v>
      </c>
      <c r="AB160" s="56">
        <v>53760.6976744186</v>
      </c>
      <c r="AC160" s="21"/>
    </row>
    <row r="161" spans="1:29" ht="12.75">
      <c r="A161" s="2" t="s">
        <v>145</v>
      </c>
      <c r="B161" s="53" t="s">
        <v>216</v>
      </c>
      <c r="C161" s="54">
        <v>140331</v>
      </c>
      <c r="D161" s="54">
        <v>8</v>
      </c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55">
        <v>20</v>
      </c>
      <c r="P161" s="56">
        <v>37995.3</v>
      </c>
      <c r="Q161" s="34"/>
      <c r="R161" s="21"/>
      <c r="S161" s="21"/>
      <c r="T161" s="21"/>
      <c r="U161" s="21"/>
      <c r="V161" s="21"/>
      <c r="W161" s="21"/>
      <c r="X161" s="21"/>
      <c r="Y161" s="21"/>
      <c r="Z161" s="32"/>
      <c r="AA161" s="57">
        <v>68</v>
      </c>
      <c r="AB161" s="56">
        <v>47071.3382352941</v>
      </c>
      <c r="AC161" s="21"/>
    </row>
    <row r="162" spans="1:29" ht="12.75">
      <c r="A162" s="2" t="s">
        <v>145</v>
      </c>
      <c r="B162" s="53" t="s">
        <v>217</v>
      </c>
      <c r="C162" s="54">
        <v>139357</v>
      </c>
      <c r="D162" s="54">
        <v>8</v>
      </c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55">
        <v>2</v>
      </c>
      <c r="P162" s="56">
        <v>39807.5</v>
      </c>
      <c r="Q162" s="34"/>
      <c r="R162" s="21"/>
      <c r="S162" s="21"/>
      <c r="T162" s="21"/>
      <c r="U162" s="21"/>
      <c r="V162" s="21"/>
      <c r="W162" s="21"/>
      <c r="X162" s="21"/>
      <c r="Y162" s="21"/>
      <c r="Z162" s="32"/>
      <c r="AA162" s="57">
        <v>42</v>
      </c>
      <c r="AB162" s="56">
        <v>48211.2857142857</v>
      </c>
      <c r="AC162" s="21"/>
    </row>
    <row r="163" spans="1:29" ht="12.75">
      <c r="A163" s="2" t="s">
        <v>145</v>
      </c>
      <c r="B163" s="53" t="s">
        <v>218</v>
      </c>
      <c r="C163" s="54">
        <v>139384</v>
      </c>
      <c r="D163" s="54">
        <v>8</v>
      </c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55">
        <v>6</v>
      </c>
      <c r="P163" s="56">
        <v>32292</v>
      </c>
      <c r="Q163" s="34"/>
      <c r="R163" s="21"/>
      <c r="S163" s="21"/>
      <c r="T163" s="21"/>
      <c r="U163" s="21"/>
      <c r="V163" s="21"/>
      <c r="W163" s="21"/>
      <c r="X163" s="21"/>
      <c r="Y163" s="21"/>
      <c r="Z163" s="32"/>
      <c r="AA163" s="57">
        <v>101</v>
      </c>
      <c r="AB163" s="56">
        <v>55320.6732673267</v>
      </c>
      <c r="AC163" s="21"/>
    </row>
    <row r="164" spans="1:29" ht="12.75">
      <c r="A164" s="2" t="s">
        <v>145</v>
      </c>
      <c r="B164" s="53" t="s">
        <v>219</v>
      </c>
      <c r="C164" s="54">
        <v>244446</v>
      </c>
      <c r="D164" s="54">
        <v>8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55"/>
      <c r="P164" s="56"/>
      <c r="Q164" s="34"/>
      <c r="R164" s="21"/>
      <c r="S164" s="21"/>
      <c r="T164" s="21"/>
      <c r="U164" s="21"/>
      <c r="V164" s="21"/>
      <c r="W164" s="21"/>
      <c r="X164" s="21"/>
      <c r="Y164" s="21"/>
      <c r="Z164" s="32"/>
      <c r="AA164" s="57">
        <v>40</v>
      </c>
      <c r="AB164" s="56">
        <v>41082.9</v>
      </c>
      <c r="AC164" s="21"/>
    </row>
    <row r="165" spans="1:29" ht="12.75">
      <c r="A165" s="2" t="s">
        <v>145</v>
      </c>
      <c r="B165" s="53" t="s">
        <v>220</v>
      </c>
      <c r="C165" s="54">
        <v>248794</v>
      </c>
      <c r="D165" s="54">
        <v>8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55">
        <v>17</v>
      </c>
      <c r="P165" s="56">
        <v>37134.9411764706</v>
      </c>
      <c r="Q165" s="34"/>
      <c r="R165" s="21"/>
      <c r="S165" s="21"/>
      <c r="T165" s="21"/>
      <c r="U165" s="21"/>
      <c r="V165" s="21"/>
      <c r="W165" s="21"/>
      <c r="X165" s="21"/>
      <c r="Y165" s="21"/>
      <c r="Z165" s="32"/>
      <c r="AA165" s="57">
        <v>10</v>
      </c>
      <c r="AB165" s="56">
        <v>53807.2</v>
      </c>
      <c r="AC165" s="21"/>
    </row>
    <row r="166" spans="1:29" ht="12.75">
      <c r="A166" s="2" t="s">
        <v>145</v>
      </c>
      <c r="B166" s="53" t="s">
        <v>221</v>
      </c>
      <c r="C166" s="54">
        <v>139986</v>
      </c>
      <c r="D166" s="54">
        <v>8</v>
      </c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55"/>
      <c r="P166" s="56"/>
      <c r="Q166" s="34"/>
      <c r="R166" s="21"/>
      <c r="S166" s="21"/>
      <c r="T166" s="21"/>
      <c r="U166" s="21"/>
      <c r="V166" s="21"/>
      <c r="W166" s="21"/>
      <c r="X166" s="21"/>
      <c r="Y166" s="21"/>
      <c r="Z166" s="32"/>
      <c r="AA166" s="57">
        <v>36</v>
      </c>
      <c r="AB166" s="56">
        <v>43618.9166666667</v>
      </c>
      <c r="AC166" s="21"/>
    </row>
    <row r="167" spans="1:29" ht="12.75">
      <c r="A167" s="2" t="s">
        <v>145</v>
      </c>
      <c r="B167" s="53" t="s">
        <v>222</v>
      </c>
      <c r="C167" s="54">
        <v>140012</v>
      </c>
      <c r="D167" s="54">
        <v>8</v>
      </c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55"/>
      <c r="P167" s="56"/>
      <c r="Q167" s="34"/>
      <c r="R167" s="21"/>
      <c r="S167" s="21"/>
      <c r="T167" s="21"/>
      <c r="U167" s="21"/>
      <c r="V167" s="21"/>
      <c r="W167" s="21"/>
      <c r="X167" s="21"/>
      <c r="Y167" s="21"/>
      <c r="Z167" s="32"/>
      <c r="AA167" s="57">
        <v>82</v>
      </c>
      <c r="AB167" s="56">
        <v>56059.9756097561</v>
      </c>
      <c r="AC167" s="21"/>
    </row>
    <row r="168" spans="1:29" ht="12.75">
      <c r="A168" s="2" t="s">
        <v>145</v>
      </c>
      <c r="B168" s="53" t="s">
        <v>223</v>
      </c>
      <c r="C168" s="54">
        <v>140076</v>
      </c>
      <c r="D168" s="54">
        <v>8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55"/>
      <c r="P168" s="56"/>
      <c r="Q168" s="34"/>
      <c r="R168" s="21"/>
      <c r="S168" s="21"/>
      <c r="T168" s="21"/>
      <c r="U168" s="21"/>
      <c r="V168" s="21"/>
      <c r="W168" s="21"/>
      <c r="X168" s="21"/>
      <c r="Y168" s="21"/>
      <c r="Z168" s="32"/>
      <c r="AA168" s="57">
        <v>42</v>
      </c>
      <c r="AB168" s="56">
        <v>38263.9523809524</v>
      </c>
      <c r="AC168" s="21"/>
    </row>
    <row r="169" spans="1:29" ht="12.75">
      <c r="A169" s="2" t="s">
        <v>145</v>
      </c>
      <c r="B169" s="53" t="s">
        <v>224</v>
      </c>
      <c r="C169" s="54">
        <v>140243</v>
      </c>
      <c r="D169" s="54">
        <v>8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55">
        <v>2</v>
      </c>
      <c r="P169" s="56">
        <v>35640</v>
      </c>
      <c r="Q169" s="34"/>
      <c r="R169" s="21"/>
      <c r="S169" s="21"/>
      <c r="T169" s="21"/>
      <c r="U169" s="21"/>
      <c r="V169" s="21"/>
      <c r="W169" s="21"/>
      <c r="X169" s="21"/>
      <c r="Y169" s="21"/>
      <c r="Z169" s="32"/>
      <c r="AA169" s="57">
        <v>49</v>
      </c>
      <c r="AB169" s="56">
        <v>44840.9591836735</v>
      </c>
      <c r="AC169" s="21"/>
    </row>
    <row r="170" spans="1:29" ht="12.75">
      <c r="A170" s="2" t="s">
        <v>145</v>
      </c>
      <c r="B170" s="53" t="s">
        <v>225</v>
      </c>
      <c r="C170" s="54">
        <v>140304</v>
      </c>
      <c r="D170" s="54">
        <v>8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55"/>
      <c r="P170" s="56"/>
      <c r="Q170" s="34"/>
      <c r="R170" s="21"/>
      <c r="S170" s="21"/>
      <c r="T170" s="21"/>
      <c r="U170" s="21"/>
      <c r="V170" s="21"/>
      <c r="W170" s="21"/>
      <c r="X170" s="21"/>
      <c r="Y170" s="21"/>
      <c r="Z170" s="32"/>
      <c r="AA170" s="57">
        <v>77</v>
      </c>
      <c r="AB170" s="56">
        <v>44960.987012987</v>
      </c>
      <c r="AC170" s="21"/>
    </row>
    <row r="171" spans="1:29" ht="12.75">
      <c r="A171" s="2" t="s">
        <v>145</v>
      </c>
      <c r="B171" s="53" t="s">
        <v>226</v>
      </c>
      <c r="C171" s="54">
        <v>140085</v>
      </c>
      <c r="D171" s="54">
        <v>8</v>
      </c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55"/>
      <c r="P171" s="56"/>
      <c r="Q171" s="34"/>
      <c r="R171" s="21"/>
      <c r="S171" s="21"/>
      <c r="T171" s="21"/>
      <c r="U171" s="21"/>
      <c r="V171" s="21"/>
      <c r="W171" s="21"/>
      <c r="X171" s="21"/>
      <c r="Y171" s="21"/>
      <c r="Z171" s="32"/>
      <c r="AA171" s="57">
        <v>51</v>
      </c>
      <c r="AB171" s="56">
        <v>42072.1568627451</v>
      </c>
      <c r="AC171" s="21"/>
    </row>
    <row r="172" spans="1:29" ht="12.75">
      <c r="A172" s="2" t="s">
        <v>145</v>
      </c>
      <c r="B172" s="53" t="s">
        <v>227</v>
      </c>
      <c r="C172" s="54">
        <v>140599</v>
      </c>
      <c r="D172" s="54">
        <v>8</v>
      </c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55">
        <v>1</v>
      </c>
      <c r="P172" s="56">
        <v>32202</v>
      </c>
      <c r="Q172" s="34"/>
      <c r="R172" s="21"/>
      <c r="S172" s="21"/>
      <c r="T172" s="21"/>
      <c r="U172" s="21"/>
      <c r="V172" s="21"/>
      <c r="W172" s="21"/>
      <c r="X172" s="21"/>
      <c r="Y172" s="21"/>
      <c r="Z172" s="32"/>
      <c r="AA172" s="57">
        <v>27</v>
      </c>
      <c r="AB172" s="56">
        <v>48614.037037037</v>
      </c>
      <c r="AC172" s="21"/>
    </row>
    <row r="173" spans="1:41" ht="12.75">
      <c r="A173" s="2" t="s">
        <v>145</v>
      </c>
      <c r="B173" s="53" t="s">
        <v>228</v>
      </c>
      <c r="C173" s="54">
        <v>140678</v>
      </c>
      <c r="D173" s="54">
        <v>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55">
        <v>7</v>
      </c>
      <c r="P173" s="56">
        <v>31521.9771428571</v>
      </c>
      <c r="Q173" s="34"/>
      <c r="R173" s="21"/>
      <c r="S173" s="21"/>
      <c r="T173" s="21"/>
      <c r="U173" s="21"/>
      <c r="V173" s="21"/>
      <c r="W173" s="21"/>
      <c r="X173" s="21"/>
      <c r="Y173" s="21"/>
      <c r="Z173" s="32"/>
      <c r="AA173" s="57">
        <v>37</v>
      </c>
      <c r="AB173" s="56">
        <v>43662.7972972973</v>
      </c>
      <c r="AC173" s="2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</row>
    <row r="174" spans="1:29" ht="12.75">
      <c r="A174" s="2" t="s">
        <v>145</v>
      </c>
      <c r="B174" s="53" t="s">
        <v>229</v>
      </c>
      <c r="C174" s="54">
        <v>366456</v>
      </c>
      <c r="D174" s="54">
        <v>8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55"/>
      <c r="P174" s="56"/>
      <c r="Q174" s="34"/>
      <c r="R174" s="21"/>
      <c r="S174" s="21"/>
      <c r="T174" s="21"/>
      <c r="U174" s="21"/>
      <c r="V174" s="21"/>
      <c r="W174" s="21"/>
      <c r="X174" s="21"/>
      <c r="Y174" s="21"/>
      <c r="Z174" s="32"/>
      <c r="AA174" s="57">
        <v>23</v>
      </c>
      <c r="AB174" s="56">
        <v>42982.932173913</v>
      </c>
      <c r="AC174" s="21"/>
    </row>
    <row r="175" spans="1:29" ht="12.75">
      <c r="A175" s="2" t="s">
        <v>145</v>
      </c>
      <c r="B175" s="53" t="s">
        <v>230</v>
      </c>
      <c r="C175" s="54">
        <v>366465</v>
      </c>
      <c r="D175" s="54">
        <v>8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55">
        <v>2</v>
      </c>
      <c r="P175" s="56">
        <v>42082</v>
      </c>
      <c r="Q175" s="34"/>
      <c r="R175" s="21"/>
      <c r="S175" s="21"/>
      <c r="T175" s="21"/>
      <c r="U175" s="21"/>
      <c r="V175" s="21"/>
      <c r="W175" s="21"/>
      <c r="X175" s="21"/>
      <c r="Y175" s="21"/>
      <c r="Z175" s="32"/>
      <c r="AA175" s="57">
        <v>31</v>
      </c>
      <c r="AB175" s="56">
        <v>49539.8387096774</v>
      </c>
      <c r="AC175" s="21"/>
    </row>
    <row r="176" spans="1:29" ht="12.75">
      <c r="A176" s="2" t="s">
        <v>145</v>
      </c>
      <c r="B176" s="53" t="s">
        <v>231</v>
      </c>
      <c r="C176" s="54">
        <v>248776</v>
      </c>
      <c r="D176" s="54">
        <v>8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55"/>
      <c r="P176" s="56"/>
      <c r="Q176" s="34"/>
      <c r="R176" s="21"/>
      <c r="S176" s="21"/>
      <c r="T176" s="21"/>
      <c r="U176" s="21"/>
      <c r="V176" s="21"/>
      <c r="W176" s="21"/>
      <c r="X176" s="21"/>
      <c r="Y176" s="21"/>
      <c r="Z176" s="32"/>
      <c r="AA176" s="57">
        <v>34</v>
      </c>
      <c r="AB176" s="56">
        <v>43540.9705882353</v>
      </c>
      <c r="AC176" s="21"/>
    </row>
    <row r="177" spans="1:29" ht="12.75">
      <c r="A177" s="2" t="s">
        <v>145</v>
      </c>
      <c r="B177" s="53" t="s">
        <v>232</v>
      </c>
      <c r="C177" s="54">
        <v>140809</v>
      </c>
      <c r="D177" s="54">
        <v>8</v>
      </c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55">
        <v>8</v>
      </c>
      <c r="P177" s="56">
        <v>32775.75</v>
      </c>
      <c r="Q177" s="34"/>
      <c r="R177" s="21"/>
      <c r="S177" s="21"/>
      <c r="T177" s="21"/>
      <c r="U177" s="21"/>
      <c r="V177" s="21"/>
      <c r="W177" s="21"/>
      <c r="X177" s="21"/>
      <c r="Y177" s="21"/>
      <c r="Z177" s="32"/>
      <c r="AA177" s="57">
        <v>19</v>
      </c>
      <c r="AB177" s="56">
        <v>44860.7368421053</v>
      </c>
      <c r="AC177" s="21"/>
    </row>
    <row r="178" spans="1:41" ht="12.75">
      <c r="A178" s="2" t="s">
        <v>145</v>
      </c>
      <c r="B178" s="53" t="s">
        <v>233</v>
      </c>
      <c r="C178" s="2">
        <v>420431</v>
      </c>
      <c r="D178" s="54">
        <v>8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55"/>
      <c r="P178" s="56"/>
      <c r="Q178" s="34"/>
      <c r="R178" s="21"/>
      <c r="S178" s="21"/>
      <c r="T178" s="21"/>
      <c r="U178" s="21"/>
      <c r="V178" s="21"/>
      <c r="W178" s="21"/>
      <c r="X178" s="21"/>
      <c r="Y178" s="21"/>
      <c r="Z178" s="32"/>
      <c r="AA178" s="57">
        <v>18</v>
      </c>
      <c r="AB178" s="56">
        <v>36563.7733333333</v>
      </c>
      <c r="AC178" s="21"/>
      <c r="AL178" s="41"/>
      <c r="AM178" s="41"/>
      <c r="AN178" s="41"/>
      <c r="AO178" s="41"/>
    </row>
    <row r="179" spans="1:41" ht="12.75">
      <c r="A179" s="2" t="s">
        <v>145</v>
      </c>
      <c r="B179" s="53" t="s">
        <v>234</v>
      </c>
      <c r="C179" s="54">
        <v>140942</v>
      </c>
      <c r="D179" s="54">
        <v>8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55">
        <v>3</v>
      </c>
      <c r="P179" s="56">
        <v>31032</v>
      </c>
      <c r="Q179" s="34"/>
      <c r="R179" s="21"/>
      <c r="S179" s="21"/>
      <c r="T179" s="21"/>
      <c r="U179" s="21"/>
      <c r="V179" s="21"/>
      <c r="W179" s="21"/>
      <c r="X179" s="21"/>
      <c r="Y179" s="21"/>
      <c r="Z179" s="32"/>
      <c r="AA179" s="57">
        <v>57</v>
      </c>
      <c r="AB179" s="56">
        <v>51322.649122807</v>
      </c>
      <c r="AC179" s="21"/>
      <c r="AL179" s="41"/>
      <c r="AM179" s="41"/>
      <c r="AN179" s="41"/>
      <c r="AO179" s="41"/>
    </row>
    <row r="180" spans="1:41" ht="12.75">
      <c r="A180" s="2" t="s">
        <v>145</v>
      </c>
      <c r="B180" s="53" t="s">
        <v>235</v>
      </c>
      <c r="C180" s="54">
        <v>141006</v>
      </c>
      <c r="D180" s="54">
        <v>8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55">
        <v>1</v>
      </c>
      <c r="P180" s="56">
        <v>43650</v>
      </c>
      <c r="Q180" s="34"/>
      <c r="R180" s="21"/>
      <c r="S180" s="21"/>
      <c r="T180" s="21"/>
      <c r="U180" s="21"/>
      <c r="V180" s="21"/>
      <c r="W180" s="21"/>
      <c r="X180" s="21"/>
      <c r="Y180" s="21"/>
      <c r="Z180" s="32"/>
      <c r="AA180" s="57">
        <v>48</v>
      </c>
      <c r="AB180" s="56">
        <v>40732.2083333333</v>
      </c>
      <c r="AC180" s="21"/>
      <c r="AL180" s="41"/>
      <c r="AM180" s="41"/>
      <c r="AN180" s="41"/>
      <c r="AO180" s="41"/>
    </row>
    <row r="181" spans="1:41" ht="12.75">
      <c r="A181" s="2" t="s">
        <v>145</v>
      </c>
      <c r="B181" s="53" t="s">
        <v>236</v>
      </c>
      <c r="C181" s="54">
        <v>368911</v>
      </c>
      <c r="D181" s="54">
        <v>8</v>
      </c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55">
        <v>2</v>
      </c>
      <c r="P181" s="56">
        <v>43852</v>
      </c>
      <c r="Q181" s="34"/>
      <c r="R181" s="21"/>
      <c r="S181" s="21"/>
      <c r="T181" s="21"/>
      <c r="U181" s="21"/>
      <c r="V181" s="21"/>
      <c r="W181" s="21"/>
      <c r="X181" s="21"/>
      <c r="Y181" s="21"/>
      <c r="Z181" s="32"/>
      <c r="AA181" s="57">
        <v>23</v>
      </c>
      <c r="AB181" s="56">
        <v>43650</v>
      </c>
      <c r="AC181" s="21"/>
      <c r="AL181" s="41"/>
      <c r="AM181" s="41"/>
      <c r="AN181" s="41"/>
      <c r="AO181" s="41"/>
    </row>
    <row r="182" spans="1:41" ht="12.75">
      <c r="A182" s="2" t="s">
        <v>145</v>
      </c>
      <c r="B182" s="53" t="s">
        <v>237</v>
      </c>
      <c r="C182" s="54">
        <v>141121</v>
      </c>
      <c r="D182" s="54">
        <v>8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55">
        <v>3</v>
      </c>
      <c r="P182" s="56">
        <v>35100.3333333333</v>
      </c>
      <c r="Q182" s="34"/>
      <c r="R182" s="21"/>
      <c r="S182" s="21"/>
      <c r="T182" s="21"/>
      <c r="U182" s="21"/>
      <c r="V182" s="21"/>
      <c r="W182" s="21"/>
      <c r="X182" s="21"/>
      <c r="Y182" s="21"/>
      <c r="Z182" s="32"/>
      <c r="AA182" s="57">
        <v>27</v>
      </c>
      <c r="AB182" s="56">
        <v>49886.5925925926</v>
      </c>
      <c r="AC182" s="21"/>
      <c r="AL182" s="41"/>
      <c r="AM182" s="41"/>
      <c r="AN182" s="41"/>
      <c r="AO182" s="41"/>
    </row>
    <row r="183" spans="1:41" ht="12.75">
      <c r="A183" s="2" t="s">
        <v>145</v>
      </c>
      <c r="B183" s="53" t="s">
        <v>238</v>
      </c>
      <c r="C183" s="54">
        <v>141158</v>
      </c>
      <c r="D183" s="54">
        <v>8</v>
      </c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55"/>
      <c r="P183" s="56"/>
      <c r="Q183" s="34"/>
      <c r="R183" s="21"/>
      <c r="S183" s="21"/>
      <c r="T183" s="21"/>
      <c r="U183" s="21"/>
      <c r="V183" s="21"/>
      <c r="W183" s="21"/>
      <c r="X183" s="21"/>
      <c r="Y183" s="21"/>
      <c r="Z183" s="32"/>
      <c r="AA183" s="57">
        <v>40</v>
      </c>
      <c r="AB183" s="56">
        <v>44322.15</v>
      </c>
      <c r="AC183" s="21"/>
      <c r="AL183" s="41"/>
      <c r="AM183" s="41"/>
      <c r="AN183" s="41"/>
      <c r="AO183" s="41"/>
    </row>
    <row r="184" spans="1:41" ht="12.75">
      <c r="A184" s="2" t="s">
        <v>145</v>
      </c>
      <c r="B184" s="53" t="s">
        <v>239</v>
      </c>
      <c r="C184" s="54">
        <v>141255</v>
      </c>
      <c r="D184" s="54">
        <v>8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55"/>
      <c r="P184" s="56"/>
      <c r="Q184" s="34"/>
      <c r="R184" s="21"/>
      <c r="S184" s="21"/>
      <c r="T184" s="21"/>
      <c r="U184" s="21"/>
      <c r="V184" s="21"/>
      <c r="W184" s="21"/>
      <c r="X184" s="21"/>
      <c r="Y184" s="21"/>
      <c r="Z184" s="32"/>
      <c r="AA184" s="57">
        <v>46</v>
      </c>
      <c r="AB184" s="56">
        <v>45474.6956521739</v>
      </c>
      <c r="AC184" s="21"/>
      <c r="AL184" s="41"/>
      <c r="AM184" s="41"/>
      <c r="AN184" s="41"/>
      <c r="AO184" s="41"/>
    </row>
    <row r="185" spans="1:41" ht="12.75">
      <c r="A185" s="2" t="s">
        <v>145</v>
      </c>
      <c r="B185" s="53" t="s">
        <v>240</v>
      </c>
      <c r="C185" s="54">
        <v>141273</v>
      </c>
      <c r="D185" s="54">
        <v>8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55">
        <v>6</v>
      </c>
      <c r="P185" s="56">
        <v>33247.5</v>
      </c>
      <c r="Q185" s="34"/>
      <c r="R185" s="21"/>
      <c r="S185" s="21"/>
      <c r="T185" s="21"/>
      <c r="U185" s="21"/>
      <c r="V185" s="21"/>
      <c r="W185" s="21"/>
      <c r="X185" s="21"/>
      <c r="Y185" s="21"/>
      <c r="Z185" s="32"/>
      <c r="AA185" s="57">
        <v>32</v>
      </c>
      <c r="AB185" s="56">
        <v>42276</v>
      </c>
      <c r="AC185" s="21"/>
      <c r="AL185" s="41"/>
      <c r="AM185" s="41"/>
      <c r="AN185" s="41"/>
      <c r="AO185" s="41"/>
    </row>
    <row r="186" spans="1:41" ht="12.75">
      <c r="A186" s="2" t="s">
        <v>145</v>
      </c>
      <c r="B186" s="53" t="s">
        <v>241</v>
      </c>
      <c r="C186" s="54">
        <v>141228</v>
      </c>
      <c r="D186" s="54">
        <v>8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55"/>
      <c r="P186" s="56"/>
      <c r="Q186" s="34"/>
      <c r="R186" s="21"/>
      <c r="S186" s="21"/>
      <c r="T186" s="21"/>
      <c r="U186" s="21"/>
      <c r="V186" s="21"/>
      <c r="W186" s="21"/>
      <c r="X186" s="21"/>
      <c r="Y186" s="21"/>
      <c r="Z186" s="32"/>
      <c r="AA186" s="57">
        <v>35</v>
      </c>
      <c r="AB186" s="56">
        <v>46925.5428571429</v>
      </c>
      <c r="AC186" s="21"/>
      <c r="AL186" s="41"/>
      <c r="AM186" s="41"/>
      <c r="AN186" s="41"/>
      <c r="AO186" s="41"/>
    </row>
    <row r="187" spans="1:41" ht="12.75">
      <c r="A187" s="21" t="s">
        <v>242</v>
      </c>
      <c r="B187" s="58" t="s">
        <v>243</v>
      </c>
      <c r="C187" s="59">
        <v>157085</v>
      </c>
      <c r="D187" s="59">
        <v>1</v>
      </c>
      <c r="E187" s="28">
        <v>307</v>
      </c>
      <c r="F187" s="23">
        <v>72985</v>
      </c>
      <c r="G187" s="28">
        <v>315</v>
      </c>
      <c r="H187" s="23">
        <v>52437</v>
      </c>
      <c r="I187" s="28">
        <v>185</v>
      </c>
      <c r="J187" s="23">
        <v>44828</v>
      </c>
      <c r="K187" s="23">
        <v>3</v>
      </c>
      <c r="L187" s="23">
        <v>44839</v>
      </c>
      <c r="M187" s="23">
        <v>0</v>
      </c>
      <c r="N187" s="23">
        <v>0</v>
      </c>
      <c r="O187" s="23"/>
      <c r="P187" s="26"/>
      <c r="Q187" s="25">
        <v>181</v>
      </c>
      <c r="R187" s="23">
        <v>83405</v>
      </c>
      <c r="S187" s="23">
        <v>158</v>
      </c>
      <c r="T187" s="23">
        <v>66326</v>
      </c>
      <c r="U187" s="23">
        <v>71</v>
      </c>
      <c r="V187" s="23">
        <v>56979</v>
      </c>
      <c r="W187" s="23">
        <v>2</v>
      </c>
      <c r="X187" s="23">
        <v>57573</v>
      </c>
      <c r="Y187" s="23">
        <v>0</v>
      </c>
      <c r="Z187" s="26">
        <v>0</v>
      </c>
      <c r="AA187" s="35"/>
      <c r="AB187" s="24"/>
      <c r="AC187" s="21"/>
      <c r="AL187" s="41"/>
      <c r="AM187" s="41"/>
      <c r="AN187" s="41"/>
      <c r="AO187" s="41"/>
    </row>
    <row r="188" spans="1:41" ht="12.75">
      <c r="A188" s="21" t="s">
        <v>242</v>
      </c>
      <c r="B188" s="58" t="s">
        <v>244</v>
      </c>
      <c r="C188" s="59">
        <v>157289</v>
      </c>
      <c r="D188" s="59">
        <v>2</v>
      </c>
      <c r="E188" s="28">
        <v>187</v>
      </c>
      <c r="F188" s="23">
        <v>64651</v>
      </c>
      <c r="G188" s="28">
        <v>141</v>
      </c>
      <c r="H188" s="23">
        <v>48560</v>
      </c>
      <c r="I188" s="28">
        <v>134</v>
      </c>
      <c r="J188" s="23">
        <v>40468</v>
      </c>
      <c r="K188" s="28">
        <v>9</v>
      </c>
      <c r="L188" s="23">
        <v>35863</v>
      </c>
      <c r="M188" s="28">
        <v>7</v>
      </c>
      <c r="N188" s="23">
        <v>29810</v>
      </c>
      <c r="O188" s="23"/>
      <c r="P188" s="26"/>
      <c r="Q188" s="25">
        <v>121</v>
      </c>
      <c r="R188" s="23">
        <v>85214</v>
      </c>
      <c r="S188" s="23">
        <v>66</v>
      </c>
      <c r="T188" s="23">
        <v>62260</v>
      </c>
      <c r="U188" s="23">
        <v>22</v>
      </c>
      <c r="V188" s="23">
        <v>57483</v>
      </c>
      <c r="W188" s="23">
        <v>8</v>
      </c>
      <c r="X188" s="23">
        <v>36352</v>
      </c>
      <c r="Y188" s="23">
        <v>9</v>
      </c>
      <c r="Z188" s="26">
        <v>27394</v>
      </c>
      <c r="AA188" s="35"/>
      <c r="AB188" s="32"/>
      <c r="AC188" s="21"/>
      <c r="AL188" s="41"/>
      <c r="AM188" s="41"/>
      <c r="AN188" s="41"/>
      <c r="AO188" s="41"/>
    </row>
    <row r="189" spans="1:41" ht="12.75">
      <c r="A189" s="21" t="s">
        <v>242</v>
      </c>
      <c r="B189" s="58" t="s">
        <v>245</v>
      </c>
      <c r="C189" s="59">
        <v>156620</v>
      </c>
      <c r="D189" s="59">
        <v>3</v>
      </c>
      <c r="E189" s="28">
        <v>174</v>
      </c>
      <c r="F189" s="23">
        <v>60010</v>
      </c>
      <c r="G189" s="28">
        <v>154</v>
      </c>
      <c r="H189" s="23">
        <v>50983</v>
      </c>
      <c r="I189" s="28">
        <v>186</v>
      </c>
      <c r="J189" s="23">
        <v>41284</v>
      </c>
      <c r="K189" s="28">
        <v>25</v>
      </c>
      <c r="L189" s="23">
        <v>30540</v>
      </c>
      <c r="M189" s="28">
        <v>0</v>
      </c>
      <c r="N189" s="23">
        <v>0</v>
      </c>
      <c r="O189" s="23"/>
      <c r="P189" s="26"/>
      <c r="Q189" s="25">
        <v>38</v>
      </c>
      <c r="R189" s="23">
        <v>75482</v>
      </c>
      <c r="S189" s="23">
        <v>6</v>
      </c>
      <c r="T189" s="23">
        <v>70070</v>
      </c>
      <c r="U189" s="23">
        <v>2</v>
      </c>
      <c r="V189" s="23">
        <v>53370</v>
      </c>
      <c r="W189" s="23">
        <v>0</v>
      </c>
      <c r="X189" s="23">
        <v>0</v>
      </c>
      <c r="Y189" s="23">
        <v>0</v>
      </c>
      <c r="Z189" s="26">
        <v>0</v>
      </c>
      <c r="AA189" s="35"/>
      <c r="AB189" s="32"/>
      <c r="AC189" s="21"/>
      <c r="AL189" s="41"/>
      <c r="AM189" s="41"/>
      <c r="AN189" s="41"/>
      <c r="AO189" s="41"/>
    </row>
    <row r="190" spans="1:41" ht="12.75">
      <c r="A190" s="21" t="s">
        <v>242</v>
      </c>
      <c r="B190" s="58" t="s">
        <v>246</v>
      </c>
      <c r="C190" s="59">
        <v>157401</v>
      </c>
      <c r="D190" s="59">
        <v>3</v>
      </c>
      <c r="E190" s="28">
        <v>74</v>
      </c>
      <c r="F190" s="23">
        <v>54819</v>
      </c>
      <c r="G190" s="28">
        <v>88</v>
      </c>
      <c r="H190" s="23">
        <v>45040</v>
      </c>
      <c r="I190" s="28">
        <v>100</v>
      </c>
      <c r="J190" s="23">
        <v>37599</v>
      </c>
      <c r="K190" s="28">
        <v>2</v>
      </c>
      <c r="L190" s="23">
        <v>27460</v>
      </c>
      <c r="M190" s="28">
        <v>52</v>
      </c>
      <c r="N190" s="28">
        <v>31618</v>
      </c>
      <c r="O190" s="28"/>
      <c r="P190" s="24"/>
      <c r="Q190" s="25">
        <v>24</v>
      </c>
      <c r="R190" s="23">
        <v>64974</v>
      </c>
      <c r="S190" s="23">
        <v>9</v>
      </c>
      <c r="T190" s="23">
        <v>61869</v>
      </c>
      <c r="U190" s="23">
        <v>4</v>
      </c>
      <c r="V190" s="23">
        <v>51170</v>
      </c>
      <c r="W190" s="23">
        <v>1</v>
      </c>
      <c r="X190" s="23">
        <v>20000</v>
      </c>
      <c r="Y190" s="23">
        <v>1</v>
      </c>
      <c r="Z190" s="24">
        <v>43159</v>
      </c>
      <c r="AA190" s="52"/>
      <c r="AB190" s="51"/>
      <c r="AC190" s="50"/>
      <c r="AL190" s="41"/>
      <c r="AM190" s="41"/>
      <c r="AN190" s="41"/>
      <c r="AO190" s="41"/>
    </row>
    <row r="191" spans="1:41" ht="12.75">
      <c r="A191" s="21" t="s">
        <v>242</v>
      </c>
      <c r="B191" s="58" t="s">
        <v>247</v>
      </c>
      <c r="C191" s="59">
        <v>157951</v>
      </c>
      <c r="D191" s="59">
        <v>3</v>
      </c>
      <c r="E191" s="28">
        <v>172</v>
      </c>
      <c r="F191" s="23">
        <v>57536</v>
      </c>
      <c r="G191" s="28">
        <v>135</v>
      </c>
      <c r="H191" s="28">
        <v>45469</v>
      </c>
      <c r="I191" s="28">
        <v>140</v>
      </c>
      <c r="J191" s="23">
        <v>38193</v>
      </c>
      <c r="K191" s="28">
        <v>55</v>
      </c>
      <c r="L191" s="23">
        <v>31501</v>
      </c>
      <c r="M191" s="28">
        <v>5</v>
      </c>
      <c r="N191" s="28">
        <v>46152</v>
      </c>
      <c r="O191" s="28"/>
      <c r="P191" s="24"/>
      <c r="Q191" s="25">
        <v>27</v>
      </c>
      <c r="R191" s="23">
        <v>73022</v>
      </c>
      <c r="S191" s="23">
        <v>7</v>
      </c>
      <c r="T191" s="23">
        <v>59453</v>
      </c>
      <c r="U191" s="23">
        <v>1</v>
      </c>
      <c r="V191" s="23">
        <v>47556</v>
      </c>
      <c r="W191" s="23">
        <v>0</v>
      </c>
      <c r="X191" s="23">
        <v>0</v>
      </c>
      <c r="Y191" s="23">
        <v>0</v>
      </c>
      <c r="Z191" s="24">
        <v>0</v>
      </c>
      <c r="AA191" s="38"/>
      <c r="AB191" s="26"/>
      <c r="AC191" s="50"/>
      <c r="AL191" s="41"/>
      <c r="AM191" s="41"/>
      <c r="AN191" s="41"/>
      <c r="AO191" s="41"/>
    </row>
    <row r="192" spans="1:41" ht="12.75">
      <c r="A192" s="21" t="s">
        <v>242</v>
      </c>
      <c r="B192" s="58" t="s">
        <v>248</v>
      </c>
      <c r="C192" s="59">
        <v>157386</v>
      </c>
      <c r="D192" s="59">
        <v>4</v>
      </c>
      <c r="E192" s="28">
        <v>66</v>
      </c>
      <c r="F192" s="23">
        <v>55776</v>
      </c>
      <c r="G192" s="28">
        <v>81</v>
      </c>
      <c r="H192" s="23">
        <v>43274</v>
      </c>
      <c r="I192" s="28">
        <v>148</v>
      </c>
      <c r="J192" s="23">
        <v>36911</v>
      </c>
      <c r="K192" s="28">
        <v>22</v>
      </c>
      <c r="L192" s="23">
        <v>25011</v>
      </c>
      <c r="M192" s="28">
        <v>0</v>
      </c>
      <c r="N192" s="28">
        <v>0</v>
      </c>
      <c r="O192" s="28"/>
      <c r="P192" s="24"/>
      <c r="Q192" s="25"/>
      <c r="R192" s="23"/>
      <c r="S192" s="23"/>
      <c r="T192" s="23"/>
      <c r="U192" s="23"/>
      <c r="V192" s="23"/>
      <c r="W192" s="23"/>
      <c r="X192" s="23"/>
      <c r="Y192" s="23"/>
      <c r="Z192" s="24"/>
      <c r="AA192" s="38"/>
      <c r="AB192" s="26"/>
      <c r="AC192" s="50"/>
      <c r="AL192" s="41"/>
      <c r="AM192" s="41"/>
      <c r="AN192" s="41"/>
      <c r="AO192" s="41"/>
    </row>
    <row r="193" spans="1:29" ht="12.75">
      <c r="A193" s="21" t="s">
        <v>242</v>
      </c>
      <c r="B193" s="58" t="s">
        <v>249</v>
      </c>
      <c r="C193" s="59">
        <v>157447</v>
      </c>
      <c r="D193" s="59">
        <v>5</v>
      </c>
      <c r="E193" s="23">
        <v>96</v>
      </c>
      <c r="F193" s="23">
        <v>61898</v>
      </c>
      <c r="G193" s="23">
        <v>109</v>
      </c>
      <c r="H193" s="23">
        <v>44829</v>
      </c>
      <c r="I193" s="23">
        <v>72</v>
      </c>
      <c r="J193" s="23">
        <v>37981</v>
      </c>
      <c r="K193" s="23">
        <v>6</v>
      </c>
      <c r="L193" s="23">
        <v>27205</v>
      </c>
      <c r="M193" s="23">
        <v>64</v>
      </c>
      <c r="N193" s="23">
        <v>25826</v>
      </c>
      <c r="O193" s="23"/>
      <c r="P193" s="26"/>
      <c r="Q193" s="25">
        <v>16</v>
      </c>
      <c r="R193" s="23">
        <v>73225</v>
      </c>
      <c r="S193" s="23">
        <v>7</v>
      </c>
      <c r="T193" s="23">
        <v>61959</v>
      </c>
      <c r="U193" s="23">
        <v>4</v>
      </c>
      <c r="V193" s="23">
        <v>40625</v>
      </c>
      <c r="W193" s="23">
        <v>0</v>
      </c>
      <c r="X193" s="23">
        <v>0</v>
      </c>
      <c r="Y193" s="23">
        <v>4</v>
      </c>
      <c r="Z193" s="26">
        <v>32810</v>
      </c>
      <c r="AA193" s="38"/>
      <c r="AB193" s="26"/>
      <c r="AC193" s="50"/>
    </row>
    <row r="194" spans="1:41" ht="12.75">
      <c r="A194" s="21" t="s">
        <v>242</v>
      </c>
      <c r="B194" s="58" t="s">
        <v>250</v>
      </c>
      <c r="C194" s="59">
        <v>157058</v>
      </c>
      <c r="D194" s="59">
        <v>6</v>
      </c>
      <c r="E194" s="23">
        <v>23</v>
      </c>
      <c r="F194" s="23">
        <v>53596</v>
      </c>
      <c r="G194" s="23">
        <v>33</v>
      </c>
      <c r="H194" s="23">
        <v>44515</v>
      </c>
      <c r="I194" s="23">
        <v>45</v>
      </c>
      <c r="J194" s="23">
        <v>37843</v>
      </c>
      <c r="K194" s="23">
        <v>5</v>
      </c>
      <c r="L194" s="23">
        <v>29544</v>
      </c>
      <c r="M194" s="23">
        <v>3</v>
      </c>
      <c r="N194" s="23">
        <v>28730</v>
      </c>
      <c r="O194" s="23"/>
      <c r="P194" s="26"/>
      <c r="Q194" s="25">
        <v>6</v>
      </c>
      <c r="R194" s="23">
        <v>57933</v>
      </c>
      <c r="S194" s="23">
        <v>3</v>
      </c>
      <c r="T194" s="23">
        <v>51890</v>
      </c>
      <c r="U194" s="23">
        <v>3</v>
      </c>
      <c r="V194" s="23">
        <v>40339</v>
      </c>
      <c r="W194" s="23">
        <v>0</v>
      </c>
      <c r="X194" s="23">
        <v>0</v>
      </c>
      <c r="Y194" s="23">
        <v>0</v>
      </c>
      <c r="Z194" s="24">
        <v>0</v>
      </c>
      <c r="AA194" s="38"/>
      <c r="AB194" s="26"/>
      <c r="AC194" s="50"/>
      <c r="AD194" s="41"/>
      <c r="AE194" s="41"/>
      <c r="AF194" s="41"/>
      <c r="AG194" s="41"/>
      <c r="AH194" s="41"/>
      <c r="AI194" s="41"/>
      <c r="AJ194" s="41"/>
      <c r="AL194" s="41"/>
      <c r="AM194" s="41"/>
      <c r="AN194" s="41"/>
      <c r="AO194" s="41"/>
    </row>
    <row r="195" spans="1:41" ht="12.75">
      <c r="A195" s="21" t="s">
        <v>242</v>
      </c>
      <c r="B195" s="58" t="s">
        <v>251</v>
      </c>
      <c r="C195" s="60"/>
      <c r="D195" s="59">
        <v>7</v>
      </c>
      <c r="E195" s="23">
        <v>191</v>
      </c>
      <c r="F195" s="23">
        <v>45959</v>
      </c>
      <c r="G195" s="23">
        <v>444</v>
      </c>
      <c r="H195" s="23">
        <v>35849</v>
      </c>
      <c r="I195" s="23">
        <v>159</v>
      </c>
      <c r="J195" s="23">
        <v>32416</v>
      </c>
      <c r="K195" s="23">
        <v>105</v>
      </c>
      <c r="L195" s="23">
        <v>29269</v>
      </c>
      <c r="M195" s="23">
        <v>0</v>
      </c>
      <c r="N195" s="23">
        <v>0</v>
      </c>
      <c r="O195" s="23"/>
      <c r="P195" s="26"/>
      <c r="Q195" s="25">
        <v>14</v>
      </c>
      <c r="R195" s="28">
        <v>54850</v>
      </c>
      <c r="S195" s="28">
        <v>21</v>
      </c>
      <c r="T195" s="28">
        <v>46283</v>
      </c>
      <c r="U195" s="28">
        <v>6</v>
      </c>
      <c r="V195" s="28">
        <v>37573</v>
      </c>
      <c r="W195" s="28">
        <v>3</v>
      </c>
      <c r="X195" s="28">
        <v>35153</v>
      </c>
      <c r="Y195" s="28">
        <v>0</v>
      </c>
      <c r="Z195" s="24">
        <v>0</v>
      </c>
      <c r="AA195" s="38"/>
      <c r="AB195" s="26"/>
      <c r="AC195" s="50"/>
      <c r="AD195" s="41"/>
      <c r="AE195" s="41"/>
      <c r="AF195" s="41"/>
      <c r="AG195" s="41"/>
      <c r="AH195" s="41"/>
      <c r="AI195" s="41"/>
      <c r="AJ195" s="41"/>
      <c r="AL195" s="41"/>
      <c r="AM195" s="41"/>
      <c r="AN195" s="41"/>
      <c r="AO195" s="41"/>
    </row>
    <row r="196" spans="1:41" ht="12.75">
      <c r="A196" s="21" t="s">
        <v>252</v>
      </c>
      <c r="B196" s="21" t="s">
        <v>253</v>
      </c>
      <c r="C196" s="22">
        <v>159391</v>
      </c>
      <c r="D196" s="22">
        <v>1</v>
      </c>
      <c r="E196" s="21">
        <v>470</v>
      </c>
      <c r="F196" s="21">
        <v>68505</v>
      </c>
      <c r="G196" s="21">
        <v>309</v>
      </c>
      <c r="H196" s="21">
        <v>49805</v>
      </c>
      <c r="I196" s="21">
        <v>227</v>
      </c>
      <c r="J196" s="21">
        <v>41701</v>
      </c>
      <c r="K196" s="21">
        <v>295</v>
      </c>
      <c r="L196" s="21">
        <v>30019</v>
      </c>
      <c r="M196" s="28"/>
      <c r="N196" s="28"/>
      <c r="O196" s="28"/>
      <c r="P196" s="24"/>
      <c r="Q196" s="37"/>
      <c r="R196" s="28"/>
      <c r="S196" s="23"/>
      <c r="T196" s="28"/>
      <c r="U196" s="23"/>
      <c r="V196" s="28"/>
      <c r="W196" s="28"/>
      <c r="X196" s="28"/>
      <c r="Y196" s="28"/>
      <c r="Z196" s="24"/>
      <c r="AA196" s="35"/>
      <c r="AB196" s="24"/>
      <c r="AC196" s="21"/>
      <c r="AD196" s="41"/>
      <c r="AE196" s="41"/>
      <c r="AF196" s="41"/>
      <c r="AG196" s="41"/>
      <c r="AH196" s="41"/>
      <c r="AI196" s="41"/>
      <c r="AJ196" s="41"/>
      <c r="AL196" s="41"/>
      <c r="AM196" s="41"/>
      <c r="AN196" s="41"/>
      <c r="AO196" s="41"/>
    </row>
    <row r="197" spans="1:41" ht="12.75">
      <c r="A197" s="21" t="s">
        <v>252</v>
      </c>
      <c r="B197" s="21" t="s">
        <v>254</v>
      </c>
      <c r="C197" s="22">
        <v>159939</v>
      </c>
      <c r="D197" s="22">
        <v>2</v>
      </c>
      <c r="E197" s="28">
        <v>240</v>
      </c>
      <c r="F197" s="28">
        <v>62475</v>
      </c>
      <c r="G197" s="28">
        <v>145</v>
      </c>
      <c r="H197" s="28">
        <v>44496</v>
      </c>
      <c r="I197" s="28">
        <v>98</v>
      </c>
      <c r="J197" s="28">
        <v>40031</v>
      </c>
      <c r="K197" s="28">
        <v>95</v>
      </c>
      <c r="L197" s="28">
        <v>27814</v>
      </c>
      <c r="M197" s="28"/>
      <c r="N197" s="28"/>
      <c r="O197" s="28"/>
      <c r="P197" s="24"/>
      <c r="Q197" s="37"/>
      <c r="R197" s="28"/>
      <c r="S197" s="28"/>
      <c r="T197" s="28"/>
      <c r="U197" s="28"/>
      <c r="V197" s="28"/>
      <c r="W197" s="28"/>
      <c r="X197" s="28"/>
      <c r="Y197" s="28"/>
      <c r="Z197" s="24"/>
      <c r="AA197" s="35"/>
      <c r="AB197" s="24"/>
      <c r="AC197" s="21"/>
      <c r="AD197" s="41"/>
      <c r="AE197" s="41"/>
      <c r="AF197" s="41"/>
      <c r="AG197" s="41"/>
      <c r="AH197" s="41"/>
      <c r="AI197" s="41"/>
      <c r="AJ197" s="41"/>
      <c r="AL197" s="41"/>
      <c r="AM197" s="41"/>
      <c r="AN197" s="41"/>
      <c r="AO197" s="41"/>
    </row>
    <row r="198" spans="1:41" ht="12.75">
      <c r="A198" s="21" t="s">
        <v>252</v>
      </c>
      <c r="B198" s="21" t="s">
        <v>255</v>
      </c>
      <c r="C198" s="22">
        <v>160658</v>
      </c>
      <c r="D198" s="22">
        <v>2</v>
      </c>
      <c r="E198" s="28">
        <v>153</v>
      </c>
      <c r="F198" s="28">
        <v>64436</v>
      </c>
      <c r="G198" s="28">
        <v>144</v>
      </c>
      <c r="H198" s="28">
        <v>49020</v>
      </c>
      <c r="I198" s="28">
        <v>139</v>
      </c>
      <c r="J198" s="28">
        <v>40096</v>
      </c>
      <c r="K198" s="28">
        <v>88</v>
      </c>
      <c r="L198" s="28">
        <v>31337</v>
      </c>
      <c r="M198" s="23"/>
      <c r="N198" s="28"/>
      <c r="O198" s="28"/>
      <c r="P198" s="24"/>
      <c r="Q198" s="37"/>
      <c r="R198" s="28"/>
      <c r="S198" s="23"/>
      <c r="T198" s="28"/>
      <c r="U198" s="23"/>
      <c r="V198" s="28"/>
      <c r="W198" s="23"/>
      <c r="X198" s="28"/>
      <c r="Y198" s="28"/>
      <c r="Z198" s="24"/>
      <c r="AA198" s="35"/>
      <c r="AB198" s="26"/>
      <c r="AC198" s="21"/>
      <c r="AD198" s="41"/>
      <c r="AE198" s="41"/>
      <c r="AF198" s="41"/>
      <c r="AG198" s="41"/>
      <c r="AH198" s="41"/>
      <c r="AI198" s="41"/>
      <c r="AJ198" s="41"/>
      <c r="AL198" s="41"/>
      <c r="AM198" s="41"/>
      <c r="AN198" s="41"/>
      <c r="AO198" s="41"/>
    </row>
    <row r="199" spans="1:41" ht="12.75">
      <c r="A199" s="21" t="s">
        <v>252</v>
      </c>
      <c r="B199" s="21" t="s">
        <v>256</v>
      </c>
      <c r="C199" s="22">
        <v>159647</v>
      </c>
      <c r="D199" s="22">
        <v>3</v>
      </c>
      <c r="E199" s="28">
        <v>135</v>
      </c>
      <c r="F199" s="28">
        <v>63052</v>
      </c>
      <c r="G199" s="28">
        <v>94</v>
      </c>
      <c r="H199" s="28">
        <v>49004</v>
      </c>
      <c r="I199" s="28">
        <v>126</v>
      </c>
      <c r="J199" s="28">
        <v>39312</v>
      </c>
      <c r="K199" s="28">
        <v>58</v>
      </c>
      <c r="L199" s="28">
        <v>25372</v>
      </c>
      <c r="M199" s="28"/>
      <c r="N199" s="28"/>
      <c r="O199" s="28"/>
      <c r="P199" s="24"/>
      <c r="Q199" s="37"/>
      <c r="R199" s="28"/>
      <c r="S199" s="28"/>
      <c r="T199" s="28"/>
      <c r="U199" s="28"/>
      <c r="V199" s="28"/>
      <c r="W199" s="28"/>
      <c r="X199" s="28"/>
      <c r="Y199" s="28"/>
      <c r="Z199" s="24"/>
      <c r="AA199" s="35"/>
      <c r="AB199" s="26"/>
      <c r="AC199" s="21"/>
      <c r="AD199" s="41"/>
      <c r="AE199" s="41"/>
      <c r="AF199" s="41"/>
      <c r="AG199" s="41"/>
      <c r="AH199" s="41"/>
      <c r="AI199" s="41"/>
      <c r="AJ199" s="41"/>
      <c r="AL199" s="41"/>
      <c r="AM199" s="41"/>
      <c r="AN199" s="41"/>
      <c r="AO199" s="41"/>
    </row>
    <row r="200" spans="1:41" ht="12.75">
      <c r="A200" s="21" t="s">
        <v>252</v>
      </c>
      <c r="B200" s="29" t="s">
        <v>257</v>
      </c>
      <c r="C200" s="30">
        <v>159717</v>
      </c>
      <c r="D200" s="30">
        <v>3</v>
      </c>
      <c r="E200" s="28">
        <v>98</v>
      </c>
      <c r="F200" s="28">
        <v>52969</v>
      </c>
      <c r="G200" s="28">
        <v>86</v>
      </c>
      <c r="H200" s="28">
        <v>42319</v>
      </c>
      <c r="I200" s="28">
        <v>96</v>
      </c>
      <c r="J200" s="28">
        <v>35955</v>
      </c>
      <c r="K200" s="28">
        <v>40</v>
      </c>
      <c r="L200" s="28">
        <v>31450</v>
      </c>
      <c r="M200" s="28"/>
      <c r="N200" s="28"/>
      <c r="O200" s="28"/>
      <c r="P200" s="24"/>
      <c r="Q200" s="37"/>
      <c r="R200" s="28"/>
      <c r="S200" s="28"/>
      <c r="T200" s="28"/>
      <c r="U200" s="28"/>
      <c r="V200" s="28"/>
      <c r="W200" s="28"/>
      <c r="X200" s="28"/>
      <c r="Y200" s="28"/>
      <c r="Z200" s="24"/>
      <c r="AA200" s="35"/>
      <c r="AB200" s="26"/>
      <c r="AC200" s="21"/>
      <c r="AD200" s="41"/>
      <c r="AE200" s="41"/>
      <c r="AF200" s="41"/>
      <c r="AG200" s="41"/>
      <c r="AH200" s="41"/>
      <c r="AI200" s="41"/>
      <c r="AJ200" s="41"/>
      <c r="AL200" s="41"/>
      <c r="AM200" s="41"/>
      <c r="AN200" s="41"/>
      <c r="AO200" s="41"/>
    </row>
    <row r="201" spans="1:41" ht="12.75">
      <c r="A201" s="21" t="s">
        <v>252</v>
      </c>
      <c r="B201" s="21" t="s">
        <v>258</v>
      </c>
      <c r="C201" s="22">
        <v>159993</v>
      </c>
      <c r="D201" s="22">
        <v>3</v>
      </c>
      <c r="E201" s="28">
        <v>98</v>
      </c>
      <c r="F201" s="28">
        <v>55131</v>
      </c>
      <c r="G201" s="28">
        <v>123</v>
      </c>
      <c r="H201" s="28">
        <v>43800</v>
      </c>
      <c r="I201" s="28">
        <v>158</v>
      </c>
      <c r="J201" s="28">
        <v>36640</v>
      </c>
      <c r="K201" s="28">
        <v>117</v>
      </c>
      <c r="L201" s="28">
        <v>28435</v>
      </c>
      <c r="M201" s="28"/>
      <c r="N201" s="28"/>
      <c r="O201" s="28"/>
      <c r="P201" s="24"/>
      <c r="Q201" s="37"/>
      <c r="R201" s="23"/>
      <c r="S201" s="28"/>
      <c r="T201" s="23"/>
      <c r="U201" s="28"/>
      <c r="V201" s="28"/>
      <c r="W201" s="28"/>
      <c r="X201" s="23"/>
      <c r="Y201" s="28"/>
      <c r="Z201" s="24"/>
      <c r="AA201" s="35"/>
      <c r="AB201" s="26"/>
      <c r="AC201" s="21"/>
      <c r="AD201" s="41"/>
      <c r="AE201" s="41"/>
      <c r="AF201" s="41"/>
      <c r="AG201" s="41"/>
      <c r="AH201" s="41"/>
      <c r="AI201" s="41"/>
      <c r="AJ201" s="41"/>
      <c r="AL201" s="41"/>
      <c r="AM201" s="41"/>
      <c r="AN201" s="41"/>
      <c r="AO201" s="41"/>
    </row>
    <row r="202" spans="1:41" ht="12.75">
      <c r="A202" s="21" t="s">
        <v>252</v>
      </c>
      <c r="B202" s="21" t="s">
        <v>259</v>
      </c>
      <c r="C202" s="22">
        <v>160621</v>
      </c>
      <c r="D202" s="22">
        <v>3</v>
      </c>
      <c r="E202" s="28">
        <v>104</v>
      </c>
      <c r="F202" s="28">
        <v>55786</v>
      </c>
      <c r="G202" s="28">
        <v>74</v>
      </c>
      <c r="H202" s="28">
        <v>46821</v>
      </c>
      <c r="I202" s="28">
        <v>216</v>
      </c>
      <c r="J202" s="28">
        <v>39671</v>
      </c>
      <c r="K202" s="28">
        <v>93</v>
      </c>
      <c r="L202" s="28">
        <v>29620</v>
      </c>
      <c r="M202" s="21"/>
      <c r="N202" s="21"/>
      <c r="O202" s="21"/>
      <c r="P202" s="32"/>
      <c r="Q202" s="37"/>
      <c r="R202" s="21"/>
      <c r="S202" s="21"/>
      <c r="T202" s="21"/>
      <c r="U202" s="21"/>
      <c r="V202" s="21"/>
      <c r="W202" s="21"/>
      <c r="X202" s="21"/>
      <c r="Y202" s="21"/>
      <c r="Z202" s="32"/>
      <c r="AA202" s="27"/>
      <c r="AB202" s="32"/>
      <c r="AC202" s="21"/>
      <c r="AD202" s="41"/>
      <c r="AE202" s="41"/>
      <c r="AF202" s="41"/>
      <c r="AG202" s="41"/>
      <c r="AH202" s="41"/>
      <c r="AI202" s="41"/>
      <c r="AJ202" s="41"/>
      <c r="AL202" s="41"/>
      <c r="AM202" s="41"/>
      <c r="AN202" s="41"/>
      <c r="AO202" s="41"/>
    </row>
    <row r="203" spans="1:41" ht="12.75">
      <c r="A203" s="21" t="s">
        <v>252</v>
      </c>
      <c r="B203" s="21" t="s">
        <v>260</v>
      </c>
      <c r="C203" s="22">
        <v>159009</v>
      </c>
      <c r="D203" s="22">
        <v>4</v>
      </c>
      <c r="E203" s="28">
        <v>58</v>
      </c>
      <c r="F203" s="28">
        <v>53595</v>
      </c>
      <c r="G203" s="28">
        <v>54</v>
      </c>
      <c r="H203" s="28">
        <v>45775</v>
      </c>
      <c r="I203" s="28">
        <v>143</v>
      </c>
      <c r="J203" s="28">
        <v>38668</v>
      </c>
      <c r="K203" s="28">
        <v>56</v>
      </c>
      <c r="L203" s="28">
        <v>29802</v>
      </c>
      <c r="M203" s="21"/>
      <c r="N203" s="21"/>
      <c r="O203" s="21"/>
      <c r="P203" s="32"/>
      <c r="Q203" s="37"/>
      <c r="R203" s="21"/>
      <c r="S203" s="21"/>
      <c r="T203" s="21"/>
      <c r="U203" s="21"/>
      <c r="V203" s="21"/>
      <c r="W203" s="21"/>
      <c r="X203" s="21"/>
      <c r="Y203" s="21"/>
      <c r="Z203" s="32"/>
      <c r="AA203" s="27"/>
      <c r="AB203" s="32"/>
      <c r="AC203" s="21"/>
      <c r="AD203" s="41"/>
      <c r="AE203" s="41"/>
      <c r="AF203" s="41"/>
      <c r="AG203" s="41"/>
      <c r="AH203" s="41"/>
      <c r="AI203" s="41"/>
      <c r="AJ203" s="41"/>
      <c r="AL203" s="41"/>
      <c r="AM203" s="41"/>
      <c r="AN203" s="41"/>
      <c r="AO203" s="41"/>
    </row>
    <row r="204" spans="1:41" ht="12.75">
      <c r="A204" s="21" t="s">
        <v>252</v>
      </c>
      <c r="B204" s="21" t="s">
        <v>261</v>
      </c>
      <c r="C204" s="22">
        <v>160038</v>
      </c>
      <c r="D204" s="22">
        <v>4</v>
      </c>
      <c r="E204" s="28">
        <v>64</v>
      </c>
      <c r="F204" s="28">
        <v>54675</v>
      </c>
      <c r="G204" s="28">
        <v>67</v>
      </c>
      <c r="H204" s="28">
        <v>45011</v>
      </c>
      <c r="I204" s="28">
        <v>125</v>
      </c>
      <c r="J204" s="28">
        <v>35079</v>
      </c>
      <c r="K204" s="28">
        <v>84</v>
      </c>
      <c r="L204" s="28">
        <v>27316</v>
      </c>
      <c r="M204" s="21"/>
      <c r="N204" s="21"/>
      <c r="O204" s="21"/>
      <c r="P204" s="32"/>
      <c r="Q204" s="37"/>
      <c r="R204" s="21"/>
      <c r="S204" s="21"/>
      <c r="T204" s="21"/>
      <c r="U204" s="21"/>
      <c r="V204" s="21"/>
      <c r="W204" s="21"/>
      <c r="X204" s="21"/>
      <c r="Y204" s="21"/>
      <c r="Z204" s="32"/>
      <c r="AA204" s="27"/>
      <c r="AB204" s="32"/>
      <c r="AC204" s="21"/>
      <c r="AD204" s="41"/>
      <c r="AE204" s="41"/>
      <c r="AF204" s="41"/>
      <c r="AG204" s="41"/>
      <c r="AH204" s="41"/>
      <c r="AI204" s="41"/>
      <c r="AJ204" s="41"/>
      <c r="AL204" s="41"/>
      <c r="AM204" s="41"/>
      <c r="AN204" s="41"/>
      <c r="AO204" s="41"/>
    </row>
    <row r="205" spans="1:41" ht="12.75">
      <c r="A205" s="21" t="s">
        <v>252</v>
      </c>
      <c r="B205" s="21" t="s">
        <v>262</v>
      </c>
      <c r="C205" s="22">
        <v>160612</v>
      </c>
      <c r="D205" s="22">
        <v>4</v>
      </c>
      <c r="E205" s="28">
        <v>86</v>
      </c>
      <c r="F205" s="28">
        <v>56329</v>
      </c>
      <c r="G205" s="28">
        <v>102</v>
      </c>
      <c r="H205" s="28">
        <v>45799</v>
      </c>
      <c r="I205" s="28">
        <v>167</v>
      </c>
      <c r="J205" s="28">
        <v>37596</v>
      </c>
      <c r="K205" s="28">
        <v>133</v>
      </c>
      <c r="L205" s="28">
        <v>28830</v>
      </c>
      <c r="M205" s="21"/>
      <c r="N205" s="21"/>
      <c r="O205" s="21"/>
      <c r="P205" s="32"/>
      <c r="Q205" s="37"/>
      <c r="R205" s="21"/>
      <c r="S205" s="21"/>
      <c r="T205" s="21"/>
      <c r="U205" s="21"/>
      <c r="V205" s="21"/>
      <c r="W205" s="21"/>
      <c r="X205" s="21"/>
      <c r="Y205" s="21"/>
      <c r="Z205" s="32"/>
      <c r="AA205" s="27"/>
      <c r="AB205" s="32"/>
      <c r="AC205" s="21"/>
      <c r="AD205" s="41"/>
      <c r="AE205" s="41"/>
      <c r="AF205" s="41"/>
      <c r="AG205" s="41"/>
      <c r="AH205" s="41"/>
      <c r="AI205" s="41"/>
      <c r="AJ205" s="41"/>
      <c r="AL205" s="41"/>
      <c r="AM205" s="41"/>
      <c r="AN205" s="41"/>
      <c r="AO205" s="41"/>
    </row>
    <row r="206" spans="1:41" ht="12.75">
      <c r="A206" s="21" t="s">
        <v>252</v>
      </c>
      <c r="B206" s="21" t="s">
        <v>263</v>
      </c>
      <c r="C206" s="22">
        <v>159416</v>
      </c>
      <c r="D206" s="22">
        <v>5</v>
      </c>
      <c r="E206" s="28">
        <v>66</v>
      </c>
      <c r="F206" s="28">
        <v>54644</v>
      </c>
      <c r="G206" s="28">
        <v>37</v>
      </c>
      <c r="H206" s="28">
        <v>42657</v>
      </c>
      <c r="I206" s="28">
        <v>38</v>
      </c>
      <c r="J206" s="28">
        <v>35729</v>
      </c>
      <c r="K206" s="28">
        <v>14</v>
      </c>
      <c r="L206" s="28">
        <v>22959</v>
      </c>
      <c r="M206" s="21"/>
      <c r="N206" s="21"/>
      <c r="O206" s="21"/>
      <c r="P206" s="32"/>
      <c r="Q206" s="34"/>
      <c r="R206" s="21"/>
      <c r="S206" s="21"/>
      <c r="T206" s="21"/>
      <c r="U206" s="21"/>
      <c r="V206" s="21"/>
      <c r="W206" s="21"/>
      <c r="X206" s="21"/>
      <c r="Y206" s="21"/>
      <c r="Z206" s="32"/>
      <c r="AA206" s="27"/>
      <c r="AB206" s="32"/>
      <c r="AC206" s="21"/>
      <c r="AD206" s="41"/>
      <c r="AE206" s="41"/>
      <c r="AF206" s="41"/>
      <c r="AG206" s="41"/>
      <c r="AH206" s="41"/>
      <c r="AI206" s="41"/>
      <c r="AJ206" s="41"/>
      <c r="AL206" s="41"/>
      <c r="AM206" s="41"/>
      <c r="AN206" s="41"/>
      <c r="AO206" s="41"/>
    </row>
    <row r="207" spans="1:41" ht="12.75">
      <c r="A207" s="21" t="s">
        <v>252</v>
      </c>
      <c r="B207" s="21" t="s">
        <v>264</v>
      </c>
      <c r="C207" s="22">
        <v>159966</v>
      </c>
      <c r="D207" s="22">
        <v>5</v>
      </c>
      <c r="E207" s="28">
        <v>61</v>
      </c>
      <c r="F207" s="28">
        <v>52155</v>
      </c>
      <c r="G207" s="28">
        <v>58</v>
      </c>
      <c r="H207" s="28">
        <v>42930</v>
      </c>
      <c r="I207" s="28">
        <v>88</v>
      </c>
      <c r="J207" s="28">
        <v>37018</v>
      </c>
      <c r="K207" s="28">
        <v>57</v>
      </c>
      <c r="L207" s="28">
        <v>28154</v>
      </c>
      <c r="M207" s="21"/>
      <c r="N207" s="21"/>
      <c r="O207" s="21"/>
      <c r="P207" s="32"/>
      <c r="Q207" s="34"/>
      <c r="R207" s="21"/>
      <c r="S207" s="21"/>
      <c r="T207" s="21"/>
      <c r="U207" s="21"/>
      <c r="V207" s="21"/>
      <c r="W207" s="21"/>
      <c r="X207" s="21"/>
      <c r="Y207" s="21"/>
      <c r="Z207" s="32"/>
      <c r="AA207" s="27"/>
      <c r="AB207" s="32"/>
      <c r="AC207" s="21"/>
      <c r="AD207" s="41"/>
      <c r="AE207" s="41"/>
      <c r="AF207" s="41"/>
      <c r="AG207" s="41"/>
      <c r="AH207" s="41"/>
      <c r="AI207" s="41"/>
      <c r="AJ207" s="41"/>
      <c r="AL207" s="41"/>
      <c r="AM207" s="41"/>
      <c r="AN207" s="41"/>
      <c r="AO207" s="41"/>
    </row>
    <row r="208" spans="1:41" ht="12.75">
      <c r="A208" s="21" t="s">
        <v>252</v>
      </c>
      <c r="B208" s="21" t="s">
        <v>265</v>
      </c>
      <c r="C208" s="22">
        <v>160360</v>
      </c>
      <c r="D208" s="22">
        <v>5</v>
      </c>
      <c r="E208" s="28">
        <v>21</v>
      </c>
      <c r="F208" s="28">
        <v>53658</v>
      </c>
      <c r="G208" s="28">
        <v>34</v>
      </c>
      <c r="H208" s="28">
        <v>44966</v>
      </c>
      <c r="I208" s="28">
        <v>84</v>
      </c>
      <c r="J208" s="28">
        <v>38009</v>
      </c>
      <c r="K208" s="28">
        <v>28</v>
      </c>
      <c r="L208" s="28">
        <v>32245</v>
      </c>
      <c r="M208" s="21"/>
      <c r="N208" s="21"/>
      <c r="O208" s="21"/>
      <c r="P208" s="32"/>
      <c r="Q208" s="34"/>
      <c r="R208" s="21"/>
      <c r="S208" s="21"/>
      <c r="T208" s="21"/>
      <c r="U208" s="21"/>
      <c r="V208" s="21"/>
      <c r="W208" s="21"/>
      <c r="X208" s="21"/>
      <c r="Y208" s="21"/>
      <c r="Z208" s="32"/>
      <c r="AA208" s="27"/>
      <c r="AB208" s="32"/>
      <c r="AC208" s="21"/>
      <c r="AD208" s="41"/>
      <c r="AE208" s="41"/>
      <c r="AF208" s="41"/>
      <c r="AG208" s="41"/>
      <c r="AH208" s="41"/>
      <c r="AI208" s="41"/>
      <c r="AJ208" s="41"/>
      <c r="AL208" s="41"/>
      <c r="AM208" s="41"/>
      <c r="AN208" s="41"/>
      <c r="AO208" s="41"/>
    </row>
    <row r="209" spans="1:41" ht="12.75">
      <c r="A209" s="21" t="s">
        <v>252</v>
      </c>
      <c r="B209" s="21" t="s">
        <v>266</v>
      </c>
      <c r="C209" s="22">
        <v>158431</v>
      </c>
      <c r="D209" s="22">
        <v>7</v>
      </c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32"/>
      <c r="Q209" s="34"/>
      <c r="R209" s="21"/>
      <c r="S209" s="21"/>
      <c r="T209" s="21"/>
      <c r="U209" s="21"/>
      <c r="V209" s="21"/>
      <c r="W209" s="21"/>
      <c r="X209" s="21"/>
      <c r="Y209" s="21"/>
      <c r="Z209" s="32"/>
      <c r="AA209" s="27"/>
      <c r="AB209" s="32"/>
      <c r="AC209" s="21"/>
      <c r="AD209" s="41"/>
      <c r="AE209" s="41"/>
      <c r="AF209" s="41"/>
      <c r="AG209" s="41"/>
      <c r="AH209" s="41"/>
      <c r="AI209" s="41"/>
      <c r="AJ209" s="41"/>
      <c r="AL209" s="41"/>
      <c r="AM209" s="41"/>
      <c r="AN209" s="41"/>
      <c r="AO209" s="41"/>
    </row>
    <row r="210" spans="1:41" ht="12.75">
      <c r="A210" s="21" t="s">
        <v>252</v>
      </c>
      <c r="B210" s="21" t="s">
        <v>267</v>
      </c>
      <c r="C210" s="22">
        <v>158662</v>
      </c>
      <c r="D210" s="22">
        <v>7</v>
      </c>
      <c r="E210" s="28">
        <v>38</v>
      </c>
      <c r="F210" s="28">
        <v>48913</v>
      </c>
      <c r="G210" s="28">
        <v>101</v>
      </c>
      <c r="H210" s="28">
        <v>40610</v>
      </c>
      <c r="I210" s="28">
        <v>101</v>
      </c>
      <c r="J210" s="28">
        <v>34177</v>
      </c>
      <c r="K210" s="28">
        <v>119</v>
      </c>
      <c r="L210" s="28">
        <v>28462</v>
      </c>
      <c r="M210" s="21"/>
      <c r="N210" s="21"/>
      <c r="O210" s="21"/>
      <c r="P210" s="32"/>
      <c r="Q210" s="34"/>
      <c r="R210" s="21"/>
      <c r="S210" s="21"/>
      <c r="T210" s="21"/>
      <c r="U210" s="21"/>
      <c r="V210" s="21"/>
      <c r="W210" s="21"/>
      <c r="X210" s="21"/>
      <c r="Y210" s="21"/>
      <c r="Z210" s="32"/>
      <c r="AA210" s="27"/>
      <c r="AB210" s="32"/>
      <c r="AC210" s="21"/>
      <c r="AD210" s="41"/>
      <c r="AE210" s="41"/>
      <c r="AF210" s="41"/>
      <c r="AG210" s="41"/>
      <c r="AH210" s="41"/>
      <c r="AI210" s="41"/>
      <c r="AJ210" s="41"/>
      <c r="AL210" s="41"/>
      <c r="AM210" s="41"/>
      <c r="AN210" s="41"/>
      <c r="AO210" s="41"/>
    </row>
    <row r="211" spans="1:41" ht="12.75">
      <c r="A211" s="21" t="s">
        <v>252</v>
      </c>
      <c r="B211" s="21" t="s">
        <v>268</v>
      </c>
      <c r="C211" s="22">
        <v>159382</v>
      </c>
      <c r="D211" s="22">
        <v>7</v>
      </c>
      <c r="E211" s="28">
        <v>20</v>
      </c>
      <c r="F211" s="28">
        <v>44480</v>
      </c>
      <c r="G211" s="28">
        <v>26</v>
      </c>
      <c r="H211" s="28">
        <v>36961</v>
      </c>
      <c r="I211" s="28">
        <v>17</v>
      </c>
      <c r="J211" s="28">
        <v>30776</v>
      </c>
      <c r="K211" s="28">
        <v>7</v>
      </c>
      <c r="L211" s="28">
        <v>31202</v>
      </c>
      <c r="M211" s="21"/>
      <c r="N211" s="21"/>
      <c r="O211" s="21"/>
      <c r="P211" s="32"/>
      <c r="Q211" s="34"/>
      <c r="R211" s="21"/>
      <c r="S211" s="21"/>
      <c r="T211" s="21"/>
      <c r="U211" s="21"/>
      <c r="V211" s="21"/>
      <c r="W211" s="21"/>
      <c r="X211" s="21"/>
      <c r="Y211" s="21"/>
      <c r="Z211" s="32"/>
      <c r="AA211" s="27"/>
      <c r="AB211" s="32"/>
      <c r="AC211" s="21"/>
      <c r="AD211" s="41"/>
      <c r="AE211" s="41"/>
      <c r="AF211" s="41"/>
      <c r="AG211" s="41"/>
      <c r="AH211" s="41"/>
      <c r="AI211" s="41"/>
      <c r="AJ211" s="41"/>
      <c r="AL211" s="41"/>
      <c r="AM211" s="41"/>
      <c r="AN211" s="41"/>
      <c r="AO211" s="41"/>
    </row>
    <row r="212" spans="1:41" ht="12.75">
      <c r="A212" s="21" t="s">
        <v>252</v>
      </c>
      <c r="B212" s="21" t="s">
        <v>268</v>
      </c>
      <c r="C212" s="22">
        <v>159382</v>
      </c>
      <c r="D212" s="22">
        <v>7</v>
      </c>
      <c r="E212" s="21" t="s">
        <v>65</v>
      </c>
      <c r="F212" s="49" t="s">
        <v>65</v>
      </c>
      <c r="G212" s="21" t="s">
        <v>65</v>
      </c>
      <c r="H212" s="49" t="s">
        <v>65</v>
      </c>
      <c r="I212" s="21" t="s">
        <v>65</v>
      </c>
      <c r="J212" s="49" t="s">
        <v>65</v>
      </c>
      <c r="K212" s="21" t="s">
        <v>65</v>
      </c>
      <c r="L212" s="49" t="s">
        <v>65</v>
      </c>
      <c r="M212" s="21"/>
      <c r="N212" s="23"/>
      <c r="O212" s="28"/>
      <c r="P212" s="24"/>
      <c r="Q212" s="34" t="s">
        <v>65</v>
      </c>
      <c r="R212" s="49" t="s">
        <v>65</v>
      </c>
      <c r="S212" s="21" t="s">
        <v>65</v>
      </c>
      <c r="T212" s="49" t="s">
        <v>65</v>
      </c>
      <c r="U212" s="21" t="s">
        <v>65</v>
      </c>
      <c r="V212" s="49" t="s">
        <v>65</v>
      </c>
      <c r="W212" s="21" t="s">
        <v>65</v>
      </c>
      <c r="X212" s="49" t="s">
        <v>65</v>
      </c>
      <c r="Y212" s="21"/>
      <c r="Z212" s="24"/>
      <c r="AA212" s="27"/>
      <c r="AB212" s="24"/>
      <c r="AC212" s="21"/>
      <c r="AD212" s="41"/>
      <c r="AE212" s="41"/>
      <c r="AF212" s="41"/>
      <c r="AG212" s="41"/>
      <c r="AH212" s="41"/>
      <c r="AI212" s="41"/>
      <c r="AJ212" s="41"/>
      <c r="AL212" s="41"/>
      <c r="AM212" s="41"/>
      <c r="AN212" s="45"/>
      <c r="AO212" s="41"/>
    </row>
    <row r="213" spans="1:41" ht="12.75">
      <c r="A213" s="21" t="s">
        <v>252</v>
      </c>
      <c r="B213" s="21" t="s">
        <v>269</v>
      </c>
      <c r="C213" s="22">
        <v>159407</v>
      </c>
      <c r="D213" s="22">
        <v>7</v>
      </c>
      <c r="E213" s="28">
        <v>15</v>
      </c>
      <c r="F213" s="28">
        <v>49623</v>
      </c>
      <c r="G213" s="28">
        <v>17</v>
      </c>
      <c r="H213" s="28">
        <v>40673</v>
      </c>
      <c r="I213" s="28">
        <v>26</v>
      </c>
      <c r="J213" s="28">
        <v>33826</v>
      </c>
      <c r="K213" s="28">
        <v>14</v>
      </c>
      <c r="L213" s="28">
        <v>28607</v>
      </c>
      <c r="M213" s="21"/>
      <c r="N213" s="21"/>
      <c r="O213" s="21"/>
      <c r="P213" s="32"/>
      <c r="Q213" s="34"/>
      <c r="R213" s="21"/>
      <c r="S213" s="21"/>
      <c r="T213" s="21"/>
      <c r="U213" s="21"/>
      <c r="V213" s="21"/>
      <c r="W213" s="21"/>
      <c r="X213" s="21"/>
      <c r="Y213" s="21"/>
      <c r="Z213" s="32"/>
      <c r="AA213" s="27"/>
      <c r="AB213" s="32"/>
      <c r="AC213" s="21"/>
      <c r="AD213" s="41"/>
      <c r="AE213" s="41"/>
      <c r="AF213" s="41"/>
      <c r="AG213" s="41"/>
      <c r="AH213" s="41"/>
      <c r="AI213" s="41"/>
      <c r="AJ213" s="41"/>
      <c r="AL213" s="41"/>
      <c r="AM213" s="41"/>
      <c r="AN213" s="41"/>
      <c r="AO213" s="41"/>
    </row>
    <row r="214" spans="1:41" ht="12.75">
      <c r="A214" s="21" t="s">
        <v>252</v>
      </c>
      <c r="B214" s="21" t="s">
        <v>270</v>
      </c>
      <c r="C214" s="22">
        <v>158884</v>
      </c>
      <c r="D214" s="22">
        <v>7</v>
      </c>
      <c r="E214" s="28"/>
      <c r="F214" s="28"/>
      <c r="G214" s="28">
        <v>8</v>
      </c>
      <c r="H214" s="28">
        <v>36321</v>
      </c>
      <c r="I214" s="28">
        <v>10</v>
      </c>
      <c r="J214" s="28">
        <v>32197</v>
      </c>
      <c r="K214" s="28">
        <v>29</v>
      </c>
      <c r="L214" s="28">
        <v>24512</v>
      </c>
      <c r="M214" s="21"/>
      <c r="N214" s="21"/>
      <c r="O214" s="21"/>
      <c r="P214" s="32"/>
      <c r="Q214" s="34"/>
      <c r="R214" s="21"/>
      <c r="S214" s="21"/>
      <c r="T214" s="21"/>
      <c r="U214" s="21"/>
      <c r="V214" s="21"/>
      <c r="W214" s="21"/>
      <c r="X214" s="21"/>
      <c r="Y214" s="21"/>
      <c r="Z214" s="32"/>
      <c r="AA214" s="27"/>
      <c r="AB214" s="32"/>
      <c r="AC214" s="21"/>
      <c r="AD214" s="41"/>
      <c r="AE214" s="41"/>
      <c r="AF214" s="41"/>
      <c r="AG214" s="41"/>
      <c r="AH214" s="41"/>
      <c r="AI214" s="41"/>
      <c r="AJ214" s="41"/>
      <c r="AL214" s="41"/>
      <c r="AM214" s="41"/>
      <c r="AN214" s="41"/>
      <c r="AO214" s="41"/>
    </row>
    <row r="215" spans="1:41" ht="12.75">
      <c r="A215" s="21" t="s">
        <v>252</v>
      </c>
      <c r="B215" s="21" t="s">
        <v>271</v>
      </c>
      <c r="C215" s="22">
        <v>160649</v>
      </c>
      <c r="D215" s="22">
        <v>7</v>
      </c>
      <c r="E215" s="28">
        <v>3</v>
      </c>
      <c r="F215" s="28">
        <v>45764</v>
      </c>
      <c r="G215" s="28">
        <v>7</v>
      </c>
      <c r="H215" s="28">
        <v>39354</v>
      </c>
      <c r="I215" s="28">
        <v>14</v>
      </c>
      <c r="J215" s="28">
        <v>32911</v>
      </c>
      <c r="K215" s="28">
        <v>25</v>
      </c>
      <c r="L215" s="28">
        <v>29709</v>
      </c>
      <c r="M215" s="21"/>
      <c r="N215" s="21"/>
      <c r="O215" s="21"/>
      <c r="P215" s="32"/>
      <c r="Q215" s="34"/>
      <c r="R215" s="21"/>
      <c r="S215" s="21"/>
      <c r="T215" s="21"/>
      <c r="U215" s="21"/>
      <c r="V215" s="21"/>
      <c r="W215" s="21"/>
      <c r="X215" s="21"/>
      <c r="Y215" s="21"/>
      <c r="Z215" s="32"/>
      <c r="AA215" s="27"/>
      <c r="AB215" s="32"/>
      <c r="AC215" s="21"/>
      <c r="AD215" s="41"/>
      <c r="AE215" s="41"/>
      <c r="AF215" s="41"/>
      <c r="AG215" s="41"/>
      <c r="AH215" s="41"/>
      <c r="AI215" s="41"/>
      <c r="AJ215" s="41"/>
      <c r="AL215" s="41"/>
      <c r="AM215" s="41"/>
      <c r="AN215" s="41"/>
      <c r="AO215" s="41"/>
    </row>
    <row r="216" spans="1:41" ht="12.75">
      <c r="A216" s="21" t="s">
        <v>252</v>
      </c>
      <c r="B216" s="21" t="s">
        <v>272</v>
      </c>
      <c r="C216" s="22">
        <v>160560</v>
      </c>
      <c r="D216" s="22">
        <v>8</v>
      </c>
      <c r="E216" s="23"/>
      <c r="F216" s="28"/>
      <c r="G216" s="28"/>
      <c r="H216" s="28"/>
      <c r="I216" s="28"/>
      <c r="J216" s="28"/>
      <c r="K216" s="21"/>
      <c r="L216" s="21"/>
      <c r="M216" s="28"/>
      <c r="N216" s="28"/>
      <c r="O216" s="23">
        <v>25</v>
      </c>
      <c r="P216" s="26">
        <v>34059</v>
      </c>
      <c r="Q216" s="37"/>
      <c r="R216" s="28"/>
      <c r="S216" s="28"/>
      <c r="T216" s="28"/>
      <c r="U216" s="28"/>
      <c r="V216" s="28"/>
      <c r="W216" s="28"/>
      <c r="X216" s="28"/>
      <c r="Y216" s="28"/>
      <c r="Z216" s="24"/>
      <c r="AA216" s="35"/>
      <c r="AB216" s="24"/>
      <c r="AC216" s="21"/>
      <c r="AD216" s="41"/>
      <c r="AE216" s="41"/>
      <c r="AF216" s="41"/>
      <c r="AG216" s="41"/>
      <c r="AH216" s="41"/>
      <c r="AI216" s="41"/>
      <c r="AJ216" s="41"/>
      <c r="AL216" s="41"/>
      <c r="AM216" s="41"/>
      <c r="AN216" s="41"/>
      <c r="AO216" s="41"/>
    </row>
    <row r="217" spans="1:41" ht="12.75">
      <c r="A217" s="21" t="s">
        <v>252</v>
      </c>
      <c r="B217" s="21" t="s">
        <v>273</v>
      </c>
      <c r="C217" s="22">
        <v>158088</v>
      </c>
      <c r="D217" s="22">
        <v>8</v>
      </c>
      <c r="E217" s="28"/>
      <c r="F217" s="28"/>
      <c r="G217" s="28"/>
      <c r="H217" s="28"/>
      <c r="I217" s="28"/>
      <c r="J217" s="28"/>
      <c r="K217" s="21"/>
      <c r="L217" s="21"/>
      <c r="M217" s="28"/>
      <c r="N217" s="28"/>
      <c r="O217" s="23">
        <v>10</v>
      </c>
      <c r="P217" s="26">
        <v>32893</v>
      </c>
      <c r="Q217" s="37"/>
      <c r="R217" s="28"/>
      <c r="S217" s="28"/>
      <c r="T217" s="28"/>
      <c r="U217" s="28"/>
      <c r="V217" s="28"/>
      <c r="W217" s="28"/>
      <c r="X217" s="28"/>
      <c r="Y217" s="28"/>
      <c r="Z217" s="24"/>
      <c r="AA217" s="35"/>
      <c r="AB217" s="24"/>
      <c r="AC217" s="21"/>
      <c r="AD217" s="41"/>
      <c r="AE217" s="41"/>
      <c r="AF217" s="41"/>
      <c r="AG217" s="41"/>
      <c r="AH217" s="41"/>
      <c r="AI217" s="41"/>
      <c r="AJ217" s="41"/>
      <c r="AL217" s="41"/>
      <c r="AM217" s="41"/>
      <c r="AN217" s="41"/>
      <c r="AO217" s="41"/>
    </row>
    <row r="218" spans="1:41" ht="12.75">
      <c r="A218" s="21" t="s">
        <v>252</v>
      </c>
      <c r="B218" s="21" t="s">
        <v>274</v>
      </c>
      <c r="C218" s="22">
        <v>158219</v>
      </c>
      <c r="D218" s="22">
        <v>8</v>
      </c>
      <c r="E218" s="28"/>
      <c r="F218" s="28"/>
      <c r="G218" s="28"/>
      <c r="H218" s="28"/>
      <c r="I218" s="28"/>
      <c r="J218" s="28"/>
      <c r="K218" s="21"/>
      <c r="L218" s="21"/>
      <c r="M218" s="28"/>
      <c r="N218" s="28"/>
      <c r="O218" s="28">
        <v>20</v>
      </c>
      <c r="P218" s="26">
        <v>30981</v>
      </c>
      <c r="Q218" s="37"/>
      <c r="R218" s="28"/>
      <c r="S218" s="28"/>
      <c r="T218" s="28"/>
      <c r="U218" s="28"/>
      <c r="V218" s="28"/>
      <c r="W218" s="28"/>
      <c r="X218" s="28"/>
      <c r="Y218" s="28"/>
      <c r="Z218" s="24"/>
      <c r="AA218" s="35"/>
      <c r="AB218" s="24"/>
      <c r="AC218" s="21"/>
      <c r="AD218" s="41"/>
      <c r="AE218" s="41"/>
      <c r="AF218" s="41"/>
      <c r="AG218" s="41"/>
      <c r="AH218" s="41"/>
      <c r="AI218" s="41"/>
      <c r="AJ218" s="41"/>
      <c r="AL218" s="41"/>
      <c r="AM218" s="41"/>
      <c r="AN218" s="41"/>
      <c r="AO218" s="41"/>
    </row>
    <row r="219" spans="1:41" ht="12.75">
      <c r="A219" s="21" t="s">
        <v>252</v>
      </c>
      <c r="B219" s="21" t="s">
        <v>275</v>
      </c>
      <c r="C219" s="22">
        <v>158237</v>
      </c>
      <c r="D219" s="22">
        <v>8</v>
      </c>
      <c r="E219" s="28"/>
      <c r="F219" s="28"/>
      <c r="G219" s="28"/>
      <c r="H219" s="28"/>
      <c r="I219" s="28"/>
      <c r="J219" s="28"/>
      <c r="K219" s="21"/>
      <c r="L219" s="21"/>
      <c r="M219" s="28"/>
      <c r="N219" s="28"/>
      <c r="O219" s="28">
        <v>14</v>
      </c>
      <c r="P219" s="26">
        <v>32090</v>
      </c>
      <c r="Q219" s="37"/>
      <c r="R219" s="28"/>
      <c r="S219" s="28"/>
      <c r="T219" s="28"/>
      <c r="U219" s="28"/>
      <c r="V219" s="28"/>
      <c r="W219" s="28"/>
      <c r="X219" s="28"/>
      <c r="Y219" s="28"/>
      <c r="Z219" s="24"/>
      <c r="AA219" s="35"/>
      <c r="AB219" s="24"/>
      <c r="AC219" s="21"/>
      <c r="AD219" s="41"/>
      <c r="AE219" s="41"/>
      <c r="AF219" s="41"/>
      <c r="AG219" s="41"/>
      <c r="AH219" s="41"/>
      <c r="AI219" s="41"/>
      <c r="AJ219" s="41"/>
      <c r="AL219" s="41"/>
      <c r="AM219" s="41"/>
      <c r="AN219" s="41"/>
      <c r="AO219" s="41"/>
    </row>
    <row r="220" spans="1:41" ht="12.75">
      <c r="A220" s="21" t="s">
        <v>252</v>
      </c>
      <c r="B220" s="21" t="s">
        <v>276</v>
      </c>
      <c r="C220" s="22">
        <v>158307</v>
      </c>
      <c r="D220" s="22">
        <v>8</v>
      </c>
      <c r="E220" s="28"/>
      <c r="F220" s="23"/>
      <c r="G220" s="28"/>
      <c r="H220" s="23"/>
      <c r="I220" s="28"/>
      <c r="J220" s="23"/>
      <c r="K220" s="21"/>
      <c r="L220" s="21"/>
      <c r="M220" s="23"/>
      <c r="N220" s="23"/>
      <c r="O220" s="28">
        <v>39</v>
      </c>
      <c r="P220" s="26">
        <v>32948</v>
      </c>
      <c r="Q220" s="34"/>
      <c r="R220" s="28"/>
      <c r="S220" s="23"/>
      <c r="T220" s="23"/>
      <c r="U220" s="23"/>
      <c r="V220" s="23"/>
      <c r="W220" s="23"/>
      <c r="X220" s="23"/>
      <c r="Y220" s="23"/>
      <c r="Z220" s="26"/>
      <c r="AA220" s="38"/>
      <c r="AB220" s="26"/>
      <c r="AC220" s="21"/>
      <c r="AD220" s="41"/>
      <c r="AE220" s="41"/>
      <c r="AF220" s="41"/>
      <c r="AG220" s="41"/>
      <c r="AH220" s="41"/>
      <c r="AI220" s="41"/>
      <c r="AJ220" s="41"/>
      <c r="AL220" s="41"/>
      <c r="AM220" s="41"/>
      <c r="AN220" s="41"/>
      <c r="AO220" s="41"/>
    </row>
    <row r="221" spans="1:41" ht="12.75">
      <c r="A221" s="21" t="s">
        <v>252</v>
      </c>
      <c r="B221" s="21" t="s">
        <v>277</v>
      </c>
      <c r="C221" s="22">
        <v>158352</v>
      </c>
      <c r="D221" s="22">
        <v>8</v>
      </c>
      <c r="E221" s="28"/>
      <c r="F221" s="28"/>
      <c r="G221" s="28"/>
      <c r="H221" s="28"/>
      <c r="I221" s="28"/>
      <c r="J221" s="28"/>
      <c r="K221" s="21"/>
      <c r="L221" s="21"/>
      <c r="M221" s="28"/>
      <c r="N221" s="28"/>
      <c r="O221" s="28"/>
      <c r="P221" s="24"/>
      <c r="Q221" s="34"/>
      <c r="R221" s="21"/>
      <c r="S221" s="21"/>
      <c r="T221" s="21"/>
      <c r="U221" s="21"/>
      <c r="V221" s="21"/>
      <c r="W221" s="21"/>
      <c r="X221" s="21"/>
      <c r="Y221" s="21"/>
      <c r="Z221" s="32"/>
      <c r="AA221" s="27"/>
      <c r="AB221" s="32"/>
      <c r="AC221" s="21"/>
      <c r="AD221" s="41"/>
      <c r="AE221" s="41"/>
      <c r="AF221" s="41"/>
      <c r="AG221" s="41"/>
      <c r="AH221" s="41"/>
      <c r="AI221" s="41"/>
      <c r="AJ221" s="41"/>
      <c r="AL221" s="41"/>
      <c r="AM221" s="41"/>
      <c r="AN221" s="41"/>
      <c r="AO221" s="41"/>
    </row>
    <row r="222" spans="1:41" ht="12.75">
      <c r="A222" s="21" t="s">
        <v>252</v>
      </c>
      <c r="B222" s="21" t="s">
        <v>278</v>
      </c>
      <c r="C222" s="22">
        <v>158529</v>
      </c>
      <c r="D222" s="22">
        <v>8</v>
      </c>
      <c r="E222" s="23"/>
      <c r="F222" s="23"/>
      <c r="G222" s="28"/>
      <c r="H222" s="23"/>
      <c r="I222" s="28"/>
      <c r="J222" s="23"/>
      <c r="K222" s="21"/>
      <c r="L222" s="21"/>
      <c r="M222" s="23"/>
      <c r="N222" s="23"/>
      <c r="O222" s="28">
        <v>8</v>
      </c>
      <c r="P222" s="26">
        <v>33773</v>
      </c>
      <c r="Q222" s="34"/>
      <c r="R222" s="28"/>
      <c r="S222" s="23"/>
      <c r="T222" s="23"/>
      <c r="U222" s="23"/>
      <c r="V222" s="23"/>
      <c r="W222" s="23"/>
      <c r="X222" s="23"/>
      <c r="Y222" s="23"/>
      <c r="Z222" s="26"/>
      <c r="AA222" s="38"/>
      <c r="AB222" s="26"/>
      <c r="AC222" s="21"/>
      <c r="AD222" s="41"/>
      <c r="AE222" s="41"/>
      <c r="AF222" s="41"/>
      <c r="AG222" s="41"/>
      <c r="AH222" s="41"/>
      <c r="AI222" s="41"/>
      <c r="AJ222" s="41"/>
      <c r="AL222" s="41"/>
      <c r="AM222" s="41"/>
      <c r="AN222" s="41"/>
      <c r="AO222" s="41"/>
    </row>
    <row r="223" spans="1:41" ht="12.75">
      <c r="A223" s="21" t="s">
        <v>252</v>
      </c>
      <c r="B223" s="21" t="s">
        <v>279</v>
      </c>
      <c r="C223" s="22">
        <v>158583</v>
      </c>
      <c r="D223" s="22">
        <v>8</v>
      </c>
      <c r="E223" s="28"/>
      <c r="F223" s="23"/>
      <c r="G223" s="28"/>
      <c r="H223" s="23"/>
      <c r="I223" s="28"/>
      <c r="J223" s="23"/>
      <c r="K223" s="21"/>
      <c r="L223" s="21"/>
      <c r="M223" s="28"/>
      <c r="N223" s="23"/>
      <c r="O223" s="28">
        <v>12</v>
      </c>
      <c r="P223" s="26">
        <v>31502</v>
      </c>
      <c r="Q223" s="34"/>
      <c r="R223" s="28"/>
      <c r="S223" s="23"/>
      <c r="T223" s="23"/>
      <c r="U223" s="23"/>
      <c r="V223" s="23"/>
      <c r="W223" s="23"/>
      <c r="X223" s="23"/>
      <c r="Y223" s="23"/>
      <c r="Z223" s="26"/>
      <c r="AA223" s="38"/>
      <c r="AB223" s="26"/>
      <c r="AC223" s="21"/>
      <c r="AD223" s="41"/>
      <c r="AE223" s="41"/>
      <c r="AF223" s="41"/>
      <c r="AG223" s="41"/>
      <c r="AH223" s="41"/>
      <c r="AI223" s="41"/>
      <c r="AJ223" s="41"/>
      <c r="AL223" s="41"/>
      <c r="AM223" s="41"/>
      <c r="AN223" s="41"/>
      <c r="AO223" s="41"/>
    </row>
    <row r="224" spans="1:41" ht="12.75">
      <c r="A224" s="21" t="s">
        <v>252</v>
      </c>
      <c r="B224" s="21" t="s">
        <v>280</v>
      </c>
      <c r="C224" s="22">
        <v>160816</v>
      </c>
      <c r="D224" s="22">
        <v>8</v>
      </c>
      <c r="E224" s="28"/>
      <c r="F224" s="23"/>
      <c r="G224" s="28"/>
      <c r="H224" s="23"/>
      <c r="I224" s="28"/>
      <c r="J224" s="23"/>
      <c r="K224" s="21"/>
      <c r="L224" s="21"/>
      <c r="M224" s="28"/>
      <c r="N224" s="23"/>
      <c r="O224" s="28">
        <v>29</v>
      </c>
      <c r="P224" s="26">
        <v>37004</v>
      </c>
      <c r="Q224" s="34"/>
      <c r="R224" s="28"/>
      <c r="S224" s="23"/>
      <c r="T224" s="23"/>
      <c r="U224" s="23"/>
      <c r="V224" s="23"/>
      <c r="W224" s="23"/>
      <c r="X224" s="23"/>
      <c r="Y224" s="23"/>
      <c r="Z224" s="26"/>
      <c r="AA224" s="38"/>
      <c r="AB224" s="26"/>
      <c r="AC224" s="21"/>
      <c r="AD224" s="41"/>
      <c r="AE224" s="41"/>
      <c r="AF224" s="41"/>
      <c r="AG224" s="41"/>
      <c r="AH224" s="41"/>
      <c r="AI224" s="41"/>
      <c r="AJ224" s="41"/>
      <c r="AL224" s="41"/>
      <c r="AM224" s="41"/>
      <c r="AN224" s="41"/>
      <c r="AO224" s="41"/>
    </row>
    <row r="225" spans="1:41" ht="12.75">
      <c r="A225" s="21" t="s">
        <v>252</v>
      </c>
      <c r="B225" s="21" t="s">
        <v>281</v>
      </c>
      <c r="C225" s="22">
        <v>158769</v>
      </c>
      <c r="D225" s="22">
        <v>8</v>
      </c>
      <c r="E225" s="28"/>
      <c r="F225" s="23"/>
      <c r="G225" s="28"/>
      <c r="H225" s="23"/>
      <c r="I225" s="28"/>
      <c r="J225" s="23"/>
      <c r="K225" s="21"/>
      <c r="L225" s="21"/>
      <c r="M225" s="28"/>
      <c r="N225" s="23"/>
      <c r="O225" s="28">
        <v>15</v>
      </c>
      <c r="P225" s="26">
        <v>32120</v>
      </c>
      <c r="Q225" s="34"/>
      <c r="R225" s="28"/>
      <c r="S225" s="23"/>
      <c r="T225" s="23"/>
      <c r="U225" s="23"/>
      <c r="V225" s="23"/>
      <c r="W225" s="23"/>
      <c r="X225" s="23"/>
      <c r="Y225" s="23"/>
      <c r="Z225" s="26"/>
      <c r="AA225" s="38"/>
      <c r="AB225" s="26"/>
      <c r="AC225" s="21"/>
      <c r="AD225" s="41"/>
      <c r="AE225" s="41"/>
      <c r="AF225" s="41"/>
      <c r="AG225" s="41"/>
      <c r="AH225" s="41"/>
      <c r="AI225" s="41"/>
      <c r="AJ225" s="41"/>
      <c r="AL225" s="41"/>
      <c r="AM225" s="41"/>
      <c r="AN225" s="41"/>
      <c r="AO225" s="41"/>
    </row>
    <row r="226" spans="1:41" ht="12.75">
      <c r="A226" s="21" t="s">
        <v>252</v>
      </c>
      <c r="B226" s="21" t="s">
        <v>282</v>
      </c>
      <c r="C226" s="22">
        <v>158893</v>
      </c>
      <c r="D226" s="22">
        <v>8</v>
      </c>
      <c r="E226" s="28"/>
      <c r="F226" s="23"/>
      <c r="G226" s="28"/>
      <c r="H226" s="23"/>
      <c r="I226" s="28"/>
      <c r="J226" s="23"/>
      <c r="K226" s="21"/>
      <c r="L226" s="21"/>
      <c r="M226" s="28"/>
      <c r="N226" s="23"/>
      <c r="O226" s="28">
        <v>6</v>
      </c>
      <c r="P226" s="26">
        <v>36902</v>
      </c>
      <c r="Q226" s="34"/>
      <c r="R226" s="28"/>
      <c r="S226" s="23"/>
      <c r="T226" s="23"/>
      <c r="U226" s="23"/>
      <c r="V226" s="23"/>
      <c r="W226" s="23"/>
      <c r="X226" s="23"/>
      <c r="Y226" s="23"/>
      <c r="Z226" s="26"/>
      <c r="AA226" s="38"/>
      <c r="AB226" s="26"/>
      <c r="AC226" s="21"/>
      <c r="AD226" s="41"/>
      <c r="AE226" s="41"/>
      <c r="AF226" s="41"/>
      <c r="AG226" s="41"/>
      <c r="AH226" s="41"/>
      <c r="AI226" s="41"/>
      <c r="AJ226" s="41"/>
      <c r="AL226" s="41"/>
      <c r="AM226" s="41"/>
      <c r="AN226" s="41"/>
      <c r="AO226" s="41"/>
    </row>
    <row r="227" spans="1:41" ht="12.75">
      <c r="A227" s="21" t="s">
        <v>252</v>
      </c>
      <c r="B227" s="21" t="s">
        <v>283</v>
      </c>
      <c r="C227" s="22">
        <v>158936</v>
      </c>
      <c r="D227" s="22">
        <v>8</v>
      </c>
      <c r="E227" s="28"/>
      <c r="F227" s="23"/>
      <c r="G227" s="28"/>
      <c r="H227" s="23"/>
      <c r="I227" s="28"/>
      <c r="J227" s="23"/>
      <c r="K227" s="21"/>
      <c r="L227" s="21"/>
      <c r="M227" s="28"/>
      <c r="N227" s="23"/>
      <c r="O227" s="28">
        <v>13</v>
      </c>
      <c r="P227" s="26">
        <v>34788</v>
      </c>
      <c r="Q227" s="34"/>
      <c r="R227" s="28"/>
      <c r="S227" s="23"/>
      <c r="T227" s="23"/>
      <c r="U227" s="23"/>
      <c r="V227" s="23"/>
      <c r="W227" s="23"/>
      <c r="X227" s="23"/>
      <c r="Y227" s="23"/>
      <c r="Z227" s="26"/>
      <c r="AA227" s="38"/>
      <c r="AB227" s="26"/>
      <c r="AC227" s="21"/>
      <c r="AD227" s="41"/>
      <c r="AE227" s="41"/>
      <c r="AF227" s="41"/>
      <c r="AG227" s="41"/>
      <c r="AH227" s="41"/>
      <c r="AI227" s="41"/>
      <c r="AJ227" s="41"/>
      <c r="AL227" s="41"/>
      <c r="AM227" s="41"/>
      <c r="AN227" s="41"/>
      <c r="AO227" s="41"/>
    </row>
    <row r="228" spans="1:41" ht="12.75">
      <c r="A228" s="21" t="s">
        <v>252</v>
      </c>
      <c r="B228" s="21" t="s">
        <v>284</v>
      </c>
      <c r="C228" s="22">
        <v>158945</v>
      </c>
      <c r="D228" s="22">
        <v>8</v>
      </c>
      <c r="E228" s="28"/>
      <c r="F228" s="23"/>
      <c r="G228" s="28"/>
      <c r="H228" s="23"/>
      <c r="I228" s="28"/>
      <c r="J228" s="23"/>
      <c r="K228" s="21"/>
      <c r="L228" s="21"/>
      <c r="M228" s="28"/>
      <c r="N228" s="28"/>
      <c r="O228" s="23">
        <v>16</v>
      </c>
      <c r="P228" s="26">
        <v>32998</v>
      </c>
      <c r="Q228" s="34"/>
      <c r="R228" s="28"/>
      <c r="S228" s="23"/>
      <c r="T228" s="23"/>
      <c r="U228" s="23"/>
      <c r="V228" s="23"/>
      <c r="W228" s="23"/>
      <c r="X228" s="23"/>
      <c r="Y228" s="23"/>
      <c r="Z228" s="26"/>
      <c r="AA228" s="35"/>
      <c r="AB228" s="24"/>
      <c r="AC228" s="21"/>
      <c r="AD228" s="41"/>
      <c r="AE228" s="41"/>
      <c r="AF228" s="41"/>
      <c r="AG228" s="41"/>
      <c r="AH228" s="41"/>
      <c r="AI228" s="41"/>
      <c r="AJ228" s="41"/>
      <c r="AL228" s="41"/>
      <c r="AM228" s="41"/>
      <c r="AN228" s="41"/>
      <c r="AO228" s="41"/>
    </row>
    <row r="229" spans="1:41" ht="12.75">
      <c r="A229" s="21" t="s">
        <v>252</v>
      </c>
      <c r="B229" s="21" t="s">
        <v>285</v>
      </c>
      <c r="C229" s="22">
        <v>159018</v>
      </c>
      <c r="D229" s="22">
        <v>8</v>
      </c>
      <c r="E229" s="28"/>
      <c r="F229" s="23"/>
      <c r="G229" s="28"/>
      <c r="H229" s="23"/>
      <c r="I229" s="28"/>
      <c r="J229" s="23"/>
      <c r="K229" s="21"/>
      <c r="L229" s="21"/>
      <c r="M229" s="28"/>
      <c r="N229" s="28"/>
      <c r="O229" s="23">
        <v>11</v>
      </c>
      <c r="P229" s="26">
        <v>34489</v>
      </c>
      <c r="Q229" s="34"/>
      <c r="R229" s="28"/>
      <c r="S229" s="23"/>
      <c r="T229" s="23"/>
      <c r="U229" s="23"/>
      <c r="V229" s="23"/>
      <c r="W229" s="23"/>
      <c r="X229" s="23"/>
      <c r="Y229" s="23"/>
      <c r="Z229" s="26"/>
      <c r="AA229" s="35"/>
      <c r="AB229" s="24"/>
      <c r="AC229" s="21"/>
      <c r="AD229" s="41"/>
      <c r="AE229" s="41"/>
      <c r="AF229" s="41"/>
      <c r="AG229" s="41"/>
      <c r="AH229" s="41"/>
      <c r="AI229" s="41"/>
      <c r="AJ229" s="41"/>
      <c r="AL229" s="41"/>
      <c r="AM229" s="41"/>
      <c r="AN229" s="41"/>
      <c r="AO229" s="41"/>
    </row>
    <row r="230" spans="1:41" ht="12.75">
      <c r="A230" s="21" t="s">
        <v>252</v>
      </c>
      <c r="B230" s="21" t="s">
        <v>286</v>
      </c>
      <c r="C230" s="22">
        <v>159045</v>
      </c>
      <c r="D230" s="22">
        <v>8</v>
      </c>
      <c r="E230" s="28"/>
      <c r="F230" s="23"/>
      <c r="G230" s="28"/>
      <c r="H230" s="28"/>
      <c r="I230" s="28"/>
      <c r="J230" s="23"/>
      <c r="K230" s="21"/>
      <c r="L230" s="21"/>
      <c r="M230" s="28"/>
      <c r="N230" s="28"/>
      <c r="O230" s="23">
        <v>14</v>
      </c>
      <c r="P230" s="26">
        <v>31042</v>
      </c>
      <c r="Q230" s="34"/>
      <c r="R230" s="28"/>
      <c r="S230" s="23"/>
      <c r="T230" s="23"/>
      <c r="U230" s="23"/>
      <c r="V230" s="23"/>
      <c r="W230" s="23"/>
      <c r="X230" s="23"/>
      <c r="Y230" s="23"/>
      <c r="Z230" s="26"/>
      <c r="AA230" s="35"/>
      <c r="AB230" s="24"/>
      <c r="AC230" s="21"/>
      <c r="AD230" s="41"/>
      <c r="AE230" s="41"/>
      <c r="AF230" s="41"/>
      <c r="AG230" s="41"/>
      <c r="AH230" s="41"/>
      <c r="AI230" s="41"/>
      <c r="AJ230" s="41"/>
      <c r="AL230" s="41"/>
      <c r="AM230" s="41"/>
      <c r="AN230" s="41"/>
      <c r="AO230" s="41"/>
    </row>
    <row r="231" spans="1:41" ht="12.75">
      <c r="A231" s="21" t="s">
        <v>252</v>
      </c>
      <c r="B231" s="21" t="s">
        <v>287</v>
      </c>
      <c r="C231" s="22">
        <v>159090</v>
      </c>
      <c r="D231" s="22">
        <v>8</v>
      </c>
      <c r="E231" s="28"/>
      <c r="F231" s="23"/>
      <c r="G231" s="28"/>
      <c r="H231" s="23"/>
      <c r="I231" s="28"/>
      <c r="J231" s="23"/>
      <c r="K231" s="21"/>
      <c r="L231" s="21"/>
      <c r="M231" s="28"/>
      <c r="N231" s="28"/>
      <c r="O231" s="23">
        <v>9</v>
      </c>
      <c r="P231" s="26">
        <v>30022</v>
      </c>
      <c r="Q231" s="34"/>
      <c r="R231" s="28"/>
      <c r="S231" s="23"/>
      <c r="T231" s="23"/>
      <c r="U231" s="23"/>
      <c r="V231" s="23"/>
      <c r="W231" s="23"/>
      <c r="X231" s="23"/>
      <c r="Y231" s="23"/>
      <c r="Z231" s="26"/>
      <c r="AA231" s="35"/>
      <c r="AB231" s="24"/>
      <c r="AC231" s="21"/>
      <c r="AD231" s="41"/>
      <c r="AE231" s="41"/>
      <c r="AF231" s="41"/>
      <c r="AG231" s="41"/>
      <c r="AH231" s="41"/>
      <c r="AI231" s="41"/>
      <c r="AJ231" s="41"/>
      <c r="AL231" s="41"/>
      <c r="AM231" s="41"/>
      <c r="AN231" s="41"/>
      <c r="AO231" s="41"/>
    </row>
    <row r="232" spans="1:41" ht="12.75">
      <c r="A232" s="21" t="s">
        <v>252</v>
      </c>
      <c r="B232" s="21" t="s">
        <v>288</v>
      </c>
      <c r="C232" s="22">
        <v>159249</v>
      </c>
      <c r="D232" s="22">
        <v>8</v>
      </c>
      <c r="E232" s="28"/>
      <c r="F232" s="23"/>
      <c r="G232" s="28"/>
      <c r="H232" s="23"/>
      <c r="I232" s="28"/>
      <c r="J232" s="23"/>
      <c r="K232" s="21"/>
      <c r="L232" s="21"/>
      <c r="M232" s="28"/>
      <c r="N232" s="28"/>
      <c r="O232" s="23">
        <v>25</v>
      </c>
      <c r="P232" s="26">
        <v>36188</v>
      </c>
      <c r="Q232" s="34"/>
      <c r="R232" s="28"/>
      <c r="S232" s="23"/>
      <c r="T232" s="23"/>
      <c r="U232" s="23"/>
      <c r="V232" s="23"/>
      <c r="W232" s="23"/>
      <c r="X232" s="23"/>
      <c r="Y232" s="23"/>
      <c r="Z232" s="26"/>
      <c r="AA232" s="35"/>
      <c r="AB232" s="24"/>
      <c r="AC232" s="21"/>
      <c r="AD232" s="41"/>
      <c r="AE232" s="41"/>
      <c r="AF232" s="41"/>
      <c r="AG232" s="41"/>
      <c r="AH232" s="41"/>
      <c r="AI232" s="41"/>
      <c r="AJ232" s="41"/>
      <c r="AL232" s="41"/>
      <c r="AM232" s="41"/>
      <c r="AN232" s="41"/>
      <c r="AO232" s="41"/>
    </row>
    <row r="233" spans="1:29" ht="12.75">
      <c r="A233" s="21" t="s">
        <v>252</v>
      </c>
      <c r="B233" s="21" t="s">
        <v>289</v>
      </c>
      <c r="C233" s="22">
        <v>159258</v>
      </c>
      <c r="D233" s="22">
        <v>8</v>
      </c>
      <c r="E233" s="23"/>
      <c r="F233" s="23"/>
      <c r="G233" s="23"/>
      <c r="H233" s="23"/>
      <c r="I233" s="23"/>
      <c r="J233" s="23"/>
      <c r="K233" s="21"/>
      <c r="L233" s="21"/>
      <c r="M233" s="23"/>
      <c r="N233" s="23"/>
      <c r="O233" s="23">
        <v>28</v>
      </c>
      <c r="P233" s="26">
        <v>34396</v>
      </c>
      <c r="Q233" s="34"/>
      <c r="R233" s="28"/>
      <c r="S233" s="23"/>
      <c r="T233" s="23"/>
      <c r="U233" s="23"/>
      <c r="V233" s="23"/>
      <c r="W233" s="23"/>
      <c r="X233" s="23"/>
      <c r="Y233" s="23"/>
      <c r="Z233" s="26"/>
      <c r="AA233" s="35"/>
      <c r="AB233" s="24"/>
      <c r="AC233" s="21"/>
    </row>
    <row r="234" spans="1:38" ht="12.75">
      <c r="A234" s="21" t="s">
        <v>252</v>
      </c>
      <c r="B234" s="21" t="s">
        <v>290</v>
      </c>
      <c r="C234" s="22">
        <v>160214</v>
      </c>
      <c r="D234" s="22">
        <v>8</v>
      </c>
      <c r="E234" s="23"/>
      <c r="F234" s="23"/>
      <c r="G234" s="23"/>
      <c r="H234" s="23"/>
      <c r="I234" s="23"/>
      <c r="J234" s="23"/>
      <c r="K234" s="21"/>
      <c r="L234" s="21"/>
      <c r="M234" s="23"/>
      <c r="N234" s="23"/>
      <c r="O234" s="23">
        <v>44</v>
      </c>
      <c r="P234" s="26">
        <v>35229</v>
      </c>
      <c r="Q234" s="34"/>
      <c r="R234" s="28"/>
      <c r="S234" s="23"/>
      <c r="T234" s="23"/>
      <c r="U234" s="23"/>
      <c r="V234" s="23"/>
      <c r="W234" s="23"/>
      <c r="X234" s="23"/>
      <c r="Y234" s="23"/>
      <c r="Z234" s="26"/>
      <c r="AA234" s="38"/>
      <c r="AB234" s="24"/>
      <c r="AC234" s="21"/>
      <c r="AD234" s="61"/>
      <c r="AF234" s="47"/>
      <c r="AI234" s="47"/>
      <c r="AL234" s="61"/>
    </row>
    <row r="235" spans="1:38" ht="12.75">
      <c r="A235" s="21" t="s">
        <v>252</v>
      </c>
      <c r="B235" s="21" t="s">
        <v>291</v>
      </c>
      <c r="C235" s="22">
        <v>159443</v>
      </c>
      <c r="D235" s="22">
        <v>8</v>
      </c>
      <c r="E235" s="23"/>
      <c r="F235" s="23"/>
      <c r="G235" s="23"/>
      <c r="H235" s="23"/>
      <c r="I235" s="23"/>
      <c r="J235" s="23"/>
      <c r="K235" s="21"/>
      <c r="L235" s="21"/>
      <c r="M235" s="23"/>
      <c r="N235" s="23"/>
      <c r="O235" s="23">
        <v>15</v>
      </c>
      <c r="P235" s="26">
        <v>25695</v>
      </c>
      <c r="Q235" s="34"/>
      <c r="R235" s="28"/>
      <c r="S235" s="23"/>
      <c r="T235" s="23"/>
      <c r="U235" s="23"/>
      <c r="V235" s="23"/>
      <c r="W235" s="23"/>
      <c r="X235" s="23"/>
      <c r="Y235" s="23"/>
      <c r="Z235" s="26"/>
      <c r="AA235" s="38"/>
      <c r="AB235" s="24"/>
      <c r="AC235" s="21"/>
      <c r="AD235" s="47"/>
      <c r="AF235" s="47"/>
      <c r="AI235" s="47"/>
      <c r="AL235" s="47"/>
    </row>
    <row r="236" spans="1:38" ht="12.75">
      <c r="A236" s="21" t="s">
        <v>252</v>
      </c>
      <c r="B236" s="21" t="s">
        <v>292</v>
      </c>
      <c r="C236" s="22">
        <v>160843</v>
      </c>
      <c r="D236" s="22">
        <v>8</v>
      </c>
      <c r="E236" s="23"/>
      <c r="F236" s="23"/>
      <c r="G236" s="23"/>
      <c r="H236" s="23"/>
      <c r="I236" s="23"/>
      <c r="J236" s="23"/>
      <c r="K236" s="21"/>
      <c r="L236" s="21"/>
      <c r="M236" s="23"/>
      <c r="N236" s="23"/>
      <c r="O236" s="28">
        <v>12</v>
      </c>
      <c r="P236" s="26">
        <v>28988</v>
      </c>
      <c r="Q236" s="34"/>
      <c r="R236" s="28"/>
      <c r="S236" s="23"/>
      <c r="T236" s="23"/>
      <c r="U236" s="23"/>
      <c r="V236" s="23"/>
      <c r="W236" s="23"/>
      <c r="X236" s="23"/>
      <c r="Y236" s="23"/>
      <c r="Z236" s="26"/>
      <c r="AA236" s="35"/>
      <c r="AB236" s="24"/>
      <c r="AC236" s="21"/>
      <c r="AD236" s="47"/>
      <c r="AF236" s="47"/>
      <c r="AI236" s="47"/>
      <c r="AL236" s="47"/>
    </row>
    <row r="237" spans="1:38" ht="12.75">
      <c r="A237" s="21" t="s">
        <v>252</v>
      </c>
      <c r="B237" s="21" t="s">
        <v>293</v>
      </c>
      <c r="C237" s="22">
        <v>159692</v>
      </c>
      <c r="D237" s="22">
        <v>8</v>
      </c>
      <c r="E237" s="23"/>
      <c r="F237" s="23"/>
      <c r="G237" s="23"/>
      <c r="H237" s="23"/>
      <c r="I237" s="23"/>
      <c r="J237" s="23"/>
      <c r="K237" s="21"/>
      <c r="L237" s="21"/>
      <c r="M237" s="23"/>
      <c r="N237" s="23"/>
      <c r="O237" s="28">
        <v>16</v>
      </c>
      <c r="P237" s="26">
        <v>34124</v>
      </c>
      <c r="Q237" s="34"/>
      <c r="R237" s="28"/>
      <c r="S237" s="28"/>
      <c r="T237" s="28"/>
      <c r="U237" s="28"/>
      <c r="V237" s="28"/>
      <c r="W237" s="28"/>
      <c r="X237" s="28"/>
      <c r="Y237" s="28"/>
      <c r="Z237" s="24"/>
      <c r="AA237" s="35"/>
      <c r="AB237" s="24"/>
      <c r="AC237" s="21"/>
      <c r="AD237" s="47"/>
      <c r="AF237" s="47"/>
      <c r="AI237" s="47"/>
      <c r="AL237" s="47"/>
    </row>
    <row r="238" spans="1:29" ht="12.75">
      <c r="A238" s="21" t="s">
        <v>252</v>
      </c>
      <c r="B238" s="21" t="s">
        <v>294</v>
      </c>
      <c r="C238" s="22">
        <v>159823</v>
      </c>
      <c r="D238" s="22">
        <v>8</v>
      </c>
      <c r="E238" s="23"/>
      <c r="F238" s="23"/>
      <c r="G238" s="23"/>
      <c r="H238" s="23"/>
      <c r="I238" s="23"/>
      <c r="J238" s="23"/>
      <c r="K238" s="21"/>
      <c r="L238" s="21"/>
      <c r="M238" s="23"/>
      <c r="N238" s="23"/>
      <c r="O238" s="23"/>
      <c r="P238" s="26"/>
      <c r="Q238" s="34"/>
      <c r="R238" s="28"/>
      <c r="S238" s="28"/>
      <c r="T238" s="28"/>
      <c r="U238" s="28"/>
      <c r="V238" s="28"/>
      <c r="W238" s="28"/>
      <c r="X238" s="28"/>
      <c r="Y238" s="28"/>
      <c r="Z238" s="24"/>
      <c r="AA238" s="35"/>
      <c r="AB238" s="24"/>
      <c r="AC238" s="21"/>
    </row>
    <row r="239" spans="1:38" ht="12.75">
      <c r="A239" s="21" t="s">
        <v>252</v>
      </c>
      <c r="B239" s="21" t="s">
        <v>295</v>
      </c>
      <c r="C239" s="22">
        <v>159911</v>
      </c>
      <c r="D239" s="22">
        <v>8</v>
      </c>
      <c r="E239" s="23"/>
      <c r="F239" s="23"/>
      <c r="G239" s="23"/>
      <c r="H239" s="23"/>
      <c r="I239" s="23"/>
      <c r="J239" s="23"/>
      <c r="K239" s="21"/>
      <c r="L239" s="21"/>
      <c r="M239" s="23"/>
      <c r="N239" s="23"/>
      <c r="O239" s="28">
        <v>7</v>
      </c>
      <c r="P239" s="26">
        <v>37137</v>
      </c>
      <c r="Q239" s="34"/>
      <c r="R239" s="28"/>
      <c r="S239" s="28"/>
      <c r="T239" s="28"/>
      <c r="U239" s="28"/>
      <c r="V239" s="28"/>
      <c r="W239" s="28"/>
      <c r="X239" s="28"/>
      <c r="Y239" s="28"/>
      <c r="Z239" s="24"/>
      <c r="AA239" s="35"/>
      <c r="AB239" s="24"/>
      <c r="AC239" s="21"/>
      <c r="AD239" s="47"/>
      <c r="AF239" s="47"/>
      <c r="AI239" s="47"/>
      <c r="AL239" s="47"/>
    </row>
    <row r="240" spans="1:38" ht="12.75">
      <c r="A240" s="21" t="s">
        <v>252</v>
      </c>
      <c r="B240" s="21" t="s">
        <v>296</v>
      </c>
      <c r="C240" s="22">
        <v>159984</v>
      </c>
      <c r="D240" s="22">
        <v>8</v>
      </c>
      <c r="E240" s="23"/>
      <c r="F240" s="23"/>
      <c r="G240" s="23"/>
      <c r="H240" s="23"/>
      <c r="I240" s="23"/>
      <c r="J240" s="23"/>
      <c r="K240" s="21"/>
      <c r="L240" s="21"/>
      <c r="M240" s="23"/>
      <c r="N240" s="23"/>
      <c r="O240" s="28">
        <v>14</v>
      </c>
      <c r="P240" s="26">
        <v>33306</v>
      </c>
      <c r="Q240" s="34"/>
      <c r="R240" s="28"/>
      <c r="S240" s="28"/>
      <c r="T240" s="28"/>
      <c r="U240" s="28"/>
      <c r="V240" s="28"/>
      <c r="W240" s="28"/>
      <c r="X240" s="28"/>
      <c r="Y240" s="28"/>
      <c r="Z240" s="24"/>
      <c r="AA240" s="35"/>
      <c r="AB240" s="24"/>
      <c r="AC240" s="21"/>
      <c r="AD240" s="47"/>
      <c r="AF240" s="47"/>
      <c r="AI240" s="47"/>
      <c r="AL240" s="47"/>
    </row>
    <row r="241" spans="1:38" ht="12.75">
      <c r="A241" s="21" t="s">
        <v>252</v>
      </c>
      <c r="B241" s="21" t="s">
        <v>297</v>
      </c>
      <c r="C241" s="22">
        <v>160001</v>
      </c>
      <c r="D241" s="22">
        <v>8</v>
      </c>
      <c r="E241" s="28"/>
      <c r="F241" s="28"/>
      <c r="G241" s="28"/>
      <c r="H241" s="28"/>
      <c r="I241" s="28"/>
      <c r="J241" s="28"/>
      <c r="K241" s="21"/>
      <c r="L241" s="21"/>
      <c r="M241" s="28"/>
      <c r="N241" s="28"/>
      <c r="O241" s="28">
        <v>32</v>
      </c>
      <c r="P241" s="26">
        <v>40112</v>
      </c>
      <c r="Q241" s="34"/>
      <c r="R241" s="28"/>
      <c r="S241" s="28"/>
      <c r="T241" s="28"/>
      <c r="U241" s="28"/>
      <c r="V241" s="28"/>
      <c r="W241" s="28"/>
      <c r="X241" s="28"/>
      <c r="Y241" s="28"/>
      <c r="Z241" s="24"/>
      <c r="AA241" s="35"/>
      <c r="AB241" s="24"/>
      <c r="AC241" s="21"/>
      <c r="AD241" s="47"/>
      <c r="AF241" s="47"/>
      <c r="AI241" s="47"/>
      <c r="AL241" s="47"/>
    </row>
    <row r="242" spans="1:38" ht="12.75">
      <c r="A242" s="21" t="s">
        <v>252</v>
      </c>
      <c r="B242" s="21" t="s">
        <v>298</v>
      </c>
      <c r="C242" s="22">
        <v>160010</v>
      </c>
      <c r="D242" s="22">
        <v>8</v>
      </c>
      <c r="E242" s="28"/>
      <c r="F242" s="28"/>
      <c r="G242" s="28"/>
      <c r="H242" s="28"/>
      <c r="I242" s="28"/>
      <c r="J242" s="28"/>
      <c r="K242" s="21"/>
      <c r="L242" s="21"/>
      <c r="M242" s="28"/>
      <c r="N242" s="28"/>
      <c r="O242" s="28">
        <v>12</v>
      </c>
      <c r="P242" s="26">
        <v>28287</v>
      </c>
      <c r="Q242" s="34"/>
      <c r="R242" s="28"/>
      <c r="S242" s="28"/>
      <c r="T242" s="28"/>
      <c r="U242" s="28"/>
      <c r="V242" s="28"/>
      <c r="W242" s="28"/>
      <c r="X242" s="28"/>
      <c r="Y242" s="28"/>
      <c r="Z242" s="24"/>
      <c r="AA242" s="35"/>
      <c r="AB242" s="24"/>
      <c r="AC242" s="21"/>
      <c r="AD242" s="47"/>
      <c r="AF242" s="47"/>
      <c r="AI242" s="47"/>
      <c r="AL242" s="47"/>
    </row>
    <row r="243" spans="1:38" ht="12.75">
      <c r="A243" s="21" t="s">
        <v>252</v>
      </c>
      <c r="B243" s="21" t="s">
        <v>299</v>
      </c>
      <c r="C243" s="22">
        <v>160047</v>
      </c>
      <c r="D243" s="22">
        <v>8</v>
      </c>
      <c r="E243" s="28"/>
      <c r="F243" s="28"/>
      <c r="G243" s="28"/>
      <c r="H243" s="28"/>
      <c r="I243" s="28"/>
      <c r="J243" s="28"/>
      <c r="K243" s="21"/>
      <c r="L243" s="21"/>
      <c r="M243" s="28"/>
      <c r="N243" s="28"/>
      <c r="O243" s="28"/>
      <c r="P243" s="26"/>
      <c r="Q243" s="34"/>
      <c r="R243" s="28"/>
      <c r="S243" s="28"/>
      <c r="T243" s="28"/>
      <c r="U243" s="28"/>
      <c r="V243" s="28"/>
      <c r="W243" s="28"/>
      <c r="X243" s="28"/>
      <c r="Y243" s="28"/>
      <c r="Z243" s="24"/>
      <c r="AA243" s="35"/>
      <c r="AB243" s="24"/>
      <c r="AC243" s="21"/>
      <c r="AD243" s="47"/>
      <c r="AF243" s="47"/>
      <c r="AI243" s="47"/>
      <c r="AL243" s="47"/>
    </row>
    <row r="244" spans="1:38" ht="12.75">
      <c r="A244" s="21" t="s">
        <v>252</v>
      </c>
      <c r="B244" s="21" t="s">
        <v>300</v>
      </c>
      <c r="C244" s="22">
        <v>160205</v>
      </c>
      <c r="D244" s="22">
        <v>8</v>
      </c>
      <c r="E244" s="28"/>
      <c r="F244" s="28"/>
      <c r="G244" s="28"/>
      <c r="H244" s="28"/>
      <c r="I244" s="28"/>
      <c r="J244" s="28"/>
      <c r="K244" s="21"/>
      <c r="L244" s="21"/>
      <c r="M244" s="28"/>
      <c r="N244" s="28"/>
      <c r="O244" s="28">
        <v>13</v>
      </c>
      <c r="P244" s="24">
        <v>31315</v>
      </c>
      <c r="Q244" s="34"/>
      <c r="R244" s="28"/>
      <c r="S244" s="28"/>
      <c r="T244" s="28"/>
      <c r="U244" s="28"/>
      <c r="V244" s="28"/>
      <c r="W244" s="28"/>
      <c r="X244" s="28"/>
      <c r="Y244" s="28"/>
      <c r="Z244" s="24"/>
      <c r="AA244" s="35"/>
      <c r="AB244" s="26"/>
      <c r="AC244" s="21"/>
      <c r="AD244" s="47"/>
      <c r="AF244" s="47"/>
      <c r="AI244" s="47"/>
      <c r="AL244" s="47"/>
    </row>
    <row r="245" spans="1:38" ht="12.75">
      <c r="A245" s="21" t="s">
        <v>252</v>
      </c>
      <c r="B245" s="21" t="s">
        <v>301</v>
      </c>
      <c r="C245" s="22">
        <v>160311</v>
      </c>
      <c r="D245" s="22">
        <v>8</v>
      </c>
      <c r="E245" s="28"/>
      <c r="F245" s="28"/>
      <c r="G245" s="28"/>
      <c r="H245" s="28"/>
      <c r="I245" s="28"/>
      <c r="J245" s="28"/>
      <c r="K245" s="21"/>
      <c r="L245" s="21"/>
      <c r="M245" s="28"/>
      <c r="N245" s="28"/>
      <c r="O245" s="28">
        <v>11</v>
      </c>
      <c r="P245" s="24">
        <v>34884</v>
      </c>
      <c r="Q245" s="34"/>
      <c r="R245" s="23"/>
      <c r="S245" s="28"/>
      <c r="T245" s="28"/>
      <c r="U245" s="28"/>
      <c r="V245" s="28"/>
      <c r="W245" s="28"/>
      <c r="X245" s="28"/>
      <c r="Y245" s="28"/>
      <c r="Z245" s="24"/>
      <c r="AA245" s="35"/>
      <c r="AB245" s="26"/>
      <c r="AC245" s="21"/>
      <c r="AD245" s="47"/>
      <c r="AF245" s="47"/>
      <c r="AI245" s="47"/>
      <c r="AL245" s="47"/>
    </row>
    <row r="246" spans="1:38" ht="12.75">
      <c r="A246" s="21" t="s">
        <v>252</v>
      </c>
      <c r="B246" s="21" t="s">
        <v>302</v>
      </c>
      <c r="C246" s="22">
        <v>160366</v>
      </c>
      <c r="D246" s="22">
        <v>8</v>
      </c>
      <c r="E246" s="28"/>
      <c r="F246" s="28"/>
      <c r="G246" s="28"/>
      <c r="H246" s="28"/>
      <c r="I246" s="28"/>
      <c r="J246" s="28"/>
      <c r="K246" s="21"/>
      <c r="L246" s="21"/>
      <c r="M246" s="28"/>
      <c r="N246" s="28"/>
      <c r="O246" s="28">
        <v>9</v>
      </c>
      <c r="P246" s="26">
        <v>33647</v>
      </c>
      <c r="Q246" s="34"/>
      <c r="R246" s="28"/>
      <c r="S246" s="28"/>
      <c r="T246" s="28"/>
      <c r="U246" s="28"/>
      <c r="V246" s="28"/>
      <c r="W246" s="28"/>
      <c r="X246" s="28"/>
      <c r="Y246" s="28"/>
      <c r="Z246" s="24"/>
      <c r="AA246" s="35"/>
      <c r="AB246" s="24"/>
      <c r="AC246" s="21"/>
      <c r="AD246" s="47"/>
      <c r="AF246" s="47"/>
      <c r="AI246" s="47"/>
      <c r="AL246" s="47"/>
    </row>
    <row r="247" spans="1:38" ht="12.75">
      <c r="A247" s="21" t="s">
        <v>252</v>
      </c>
      <c r="B247" s="21" t="s">
        <v>303</v>
      </c>
      <c r="C247" s="22">
        <v>160384</v>
      </c>
      <c r="D247" s="22">
        <v>8</v>
      </c>
      <c r="E247" s="28"/>
      <c r="F247" s="28"/>
      <c r="G247" s="28"/>
      <c r="H247" s="28"/>
      <c r="I247" s="28"/>
      <c r="J247" s="28"/>
      <c r="K247" s="21"/>
      <c r="L247" s="21"/>
      <c r="M247" s="28"/>
      <c r="N247" s="28"/>
      <c r="O247" s="28">
        <v>26</v>
      </c>
      <c r="P247" s="26">
        <v>37649</v>
      </c>
      <c r="Q247" s="34"/>
      <c r="R247" s="28"/>
      <c r="S247" s="28"/>
      <c r="T247" s="28"/>
      <c r="U247" s="28"/>
      <c r="V247" s="28"/>
      <c r="W247" s="28"/>
      <c r="X247" s="28"/>
      <c r="Y247" s="23"/>
      <c r="Z247" s="24"/>
      <c r="AA247" s="35"/>
      <c r="AB247" s="24"/>
      <c r="AC247" s="21"/>
      <c r="AD247" s="47"/>
      <c r="AF247" s="47"/>
      <c r="AI247" s="47"/>
      <c r="AL247" s="47"/>
    </row>
    <row r="248" spans="1:38" ht="12.75">
      <c r="A248" s="21" t="s">
        <v>252</v>
      </c>
      <c r="B248" s="21" t="s">
        <v>304</v>
      </c>
      <c r="C248" s="22">
        <v>160427</v>
      </c>
      <c r="D248" s="22">
        <v>8</v>
      </c>
      <c r="E248" s="28"/>
      <c r="F248" s="28"/>
      <c r="G248" s="28"/>
      <c r="H248" s="28"/>
      <c r="I248" s="28"/>
      <c r="J248" s="28"/>
      <c r="K248" s="21"/>
      <c r="L248" s="21"/>
      <c r="M248" s="28"/>
      <c r="N248" s="28"/>
      <c r="O248" s="28">
        <v>20</v>
      </c>
      <c r="P248" s="26">
        <v>26931</v>
      </c>
      <c r="Q248" s="34"/>
      <c r="R248" s="28"/>
      <c r="S248" s="28"/>
      <c r="T248" s="28"/>
      <c r="U248" s="28"/>
      <c r="V248" s="28"/>
      <c r="W248" s="28"/>
      <c r="X248" s="28"/>
      <c r="Y248" s="28"/>
      <c r="Z248" s="24"/>
      <c r="AA248" s="35"/>
      <c r="AB248" s="24"/>
      <c r="AC248" s="21"/>
      <c r="AD248" s="47"/>
      <c r="AF248" s="47"/>
      <c r="AI248" s="47"/>
      <c r="AL248" s="47"/>
    </row>
    <row r="249" spans="1:38" ht="12.75">
      <c r="A249" s="21" t="s">
        <v>252</v>
      </c>
      <c r="B249" s="21" t="s">
        <v>305</v>
      </c>
      <c r="C249" s="22">
        <v>160436</v>
      </c>
      <c r="D249" s="22">
        <v>8</v>
      </c>
      <c r="E249" s="28"/>
      <c r="F249" s="28"/>
      <c r="G249" s="28"/>
      <c r="H249" s="28"/>
      <c r="I249" s="28"/>
      <c r="J249" s="28"/>
      <c r="K249" s="21"/>
      <c r="L249" s="21"/>
      <c r="M249" s="28"/>
      <c r="N249" s="28"/>
      <c r="O249" s="28">
        <v>14</v>
      </c>
      <c r="P249" s="26">
        <v>35903</v>
      </c>
      <c r="Q249" s="34"/>
      <c r="R249" s="28"/>
      <c r="S249" s="28"/>
      <c r="T249" s="28"/>
      <c r="U249" s="28"/>
      <c r="V249" s="28"/>
      <c r="W249" s="28"/>
      <c r="X249" s="28"/>
      <c r="Y249" s="28"/>
      <c r="Z249" s="24"/>
      <c r="AA249" s="35"/>
      <c r="AB249" s="24"/>
      <c r="AC249" s="21"/>
      <c r="AD249" s="47"/>
      <c r="AF249" s="47"/>
      <c r="AI249" s="47"/>
      <c r="AL249" s="47"/>
    </row>
    <row r="250" spans="1:38" ht="12.75">
      <c r="A250" s="21" t="s">
        <v>252</v>
      </c>
      <c r="B250" s="21" t="s">
        <v>306</v>
      </c>
      <c r="C250" s="22">
        <v>160454</v>
      </c>
      <c r="D250" s="22">
        <v>8</v>
      </c>
      <c r="E250" s="28"/>
      <c r="F250" s="28"/>
      <c r="G250" s="28"/>
      <c r="H250" s="28"/>
      <c r="I250" s="28"/>
      <c r="J250" s="28"/>
      <c r="K250" s="21"/>
      <c r="L250" s="21"/>
      <c r="M250" s="28"/>
      <c r="N250" s="28"/>
      <c r="O250" s="28">
        <v>18</v>
      </c>
      <c r="P250" s="26">
        <v>35877</v>
      </c>
      <c r="Q250" s="34"/>
      <c r="R250" s="28"/>
      <c r="S250" s="28"/>
      <c r="T250" s="28"/>
      <c r="U250" s="28"/>
      <c r="V250" s="28"/>
      <c r="W250" s="28"/>
      <c r="X250" s="28"/>
      <c r="Y250" s="28"/>
      <c r="Z250" s="24"/>
      <c r="AA250" s="35"/>
      <c r="AB250" s="24"/>
      <c r="AC250" s="21"/>
      <c r="AD250" s="47"/>
      <c r="AF250" s="47"/>
      <c r="AI250" s="47"/>
      <c r="AL250" s="47"/>
    </row>
    <row r="251" spans="1:38" ht="12.75">
      <c r="A251" s="21" t="s">
        <v>252</v>
      </c>
      <c r="B251" s="21" t="s">
        <v>307</v>
      </c>
      <c r="C251" s="22">
        <v>160481</v>
      </c>
      <c r="D251" s="22">
        <v>8</v>
      </c>
      <c r="E251" s="28"/>
      <c r="F251" s="28"/>
      <c r="G251" s="28"/>
      <c r="H251" s="28"/>
      <c r="I251" s="28"/>
      <c r="J251" s="28"/>
      <c r="K251" s="21"/>
      <c r="L251" s="21"/>
      <c r="M251" s="28"/>
      <c r="N251" s="28"/>
      <c r="O251" s="28">
        <v>57</v>
      </c>
      <c r="P251" s="26">
        <v>28817</v>
      </c>
      <c r="Q251" s="34"/>
      <c r="R251" s="28"/>
      <c r="S251" s="28"/>
      <c r="T251" s="28"/>
      <c r="U251" s="28"/>
      <c r="V251" s="28"/>
      <c r="W251" s="28"/>
      <c r="X251" s="28"/>
      <c r="Y251" s="28"/>
      <c r="Z251" s="24"/>
      <c r="AA251" s="35"/>
      <c r="AB251" s="24"/>
      <c r="AC251" s="21"/>
      <c r="AD251" s="47"/>
      <c r="AF251" s="47"/>
      <c r="AI251" s="47"/>
      <c r="AL251" s="47"/>
    </row>
    <row r="252" spans="1:38" ht="12.75">
      <c r="A252" s="21" t="s">
        <v>252</v>
      </c>
      <c r="B252" s="21" t="s">
        <v>308</v>
      </c>
      <c r="C252" s="22">
        <v>160579</v>
      </c>
      <c r="D252" s="22">
        <v>8</v>
      </c>
      <c r="E252" s="28"/>
      <c r="F252" s="28"/>
      <c r="G252" s="28"/>
      <c r="H252" s="28"/>
      <c r="I252" s="28"/>
      <c r="J252" s="28"/>
      <c r="K252" s="21"/>
      <c r="L252" s="21"/>
      <c r="M252" s="28"/>
      <c r="N252" s="28"/>
      <c r="O252" s="28">
        <v>29</v>
      </c>
      <c r="P252" s="26">
        <v>35857</v>
      </c>
      <c r="Q252" s="34"/>
      <c r="R252" s="28"/>
      <c r="S252" s="28"/>
      <c r="T252" s="28"/>
      <c r="U252" s="28"/>
      <c r="V252" s="28"/>
      <c r="W252" s="28"/>
      <c r="X252" s="28"/>
      <c r="Y252" s="23"/>
      <c r="Z252" s="24"/>
      <c r="AA252" s="35"/>
      <c r="AB252" s="24"/>
      <c r="AC252" s="21"/>
      <c r="AD252" s="47"/>
      <c r="AF252" s="47"/>
      <c r="AI252" s="47"/>
      <c r="AL252" s="47"/>
    </row>
    <row r="253" spans="1:38" ht="12.75">
      <c r="A253" s="21" t="s">
        <v>252</v>
      </c>
      <c r="B253" s="21" t="s">
        <v>309</v>
      </c>
      <c r="C253" s="22">
        <v>160667</v>
      </c>
      <c r="D253" s="22">
        <v>8</v>
      </c>
      <c r="E253" s="28"/>
      <c r="F253" s="28"/>
      <c r="G253" s="28"/>
      <c r="H253" s="28"/>
      <c r="I253" s="28"/>
      <c r="J253" s="28"/>
      <c r="K253" s="21"/>
      <c r="L253" s="21"/>
      <c r="M253" s="28"/>
      <c r="N253" s="28"/>
      <c r="O253" s="28">
        <v>17</v>
      </c>
      <c r="P253" s="26">
        <v>34161</v>
      </c>
      <c r="Q253" s="34"/>
      <c r="R253" s="28"/>
      <c r="S253" s="28"/>
      <c r="T253" s="28"/>
      <c r="U253" s="28"/>
      <c r="V253" s="28"/>
      <c r="W253" s="28"/>
      <c r="X253" s="28"/>
      <c r="Y253" s="23"/>
      <c r="Z253" s="24"/>
      <c r="AA253" s="35"/>
      <c r="AB253" s="24"/>
      <c r="AC253" s="21"/>
      <c r="AD253" s="47"/>
      <c r="AF253" s="47"/>
      <c r="AI253" s="47"/>
      <c r="AL253" s="47"/>
    </row>
    <row r="254" spans="1:38" ht="12.75">
      <c r="A254" s="21" t="s">
        <v>252</v>
      </c>
      <c r="B254" s="21" t="s">
        <v>310</v>
      </c>
      <c r="C254" s="22">
        <v>160685</v>
      </c>
      <c r="D254" s="22">
        <v>8</v>
      </c>
      <c r="E254" s="28"/>
      <c r="F254" s="28"/>
      <c r="G254" s="28"/>
      <c r="H254" s="28"/>
      <c r="I254" s="28"/>
      <c r="J254" s="28"/>
      <c r="K254" s="21"/>
      <c r="L254" s="21"/>
      <c r="M254" s="28"/>
      <c r="N254" s="28"/>
      <c r="O254" s="28">
        <v>19</v>
      </c>
      <c r="P254" s="26">
        <v>36435</v>
      </c>
      <c r="Q254" s="37"/>
      <c r="R254" s="28"/>
      <c r="S254" s="28"/>
      <c r="T254" s="28"/>
      <c r="U254" s="28"/>
      <c r="V254" s="28"/>
      <c r="W254" s="28"/>
      <c r="X254" s="28"/>
      <c r="Y254" s="28"/>
      <c r="Z254" s="24"/>
      <c r="AA254" s="35"/>
      <c r="AB254" s="24"/>
      <c r="AC254" s="21"/>
      <c r="AD254" s="47"/>
      <c r="AF254" s="47"/>
      <c r="AI254" s="47"/>
      <c r="AL254" s="47"/>
    </row>
    <row r="255" spans="1:38" ht="12.75">
      <c r="A255" s="21" t="s">
        <v>252</v>
      </c>
      <c r="B255" s="21" t="s">
        <v>311</v>
      </c>
      <c r="C255" s="22">
        <v>160694</v>
      </c>
      <c r="D255" s="22">
        <v>8</v>
      </c>
      <c r="E255" s="28"/>
      <c r="F255" s="28"/>
      <c r="G255" s="28"/>
      <c r="H255" s="28"/>
      <c r="I255" s="28"/>
      <c r="J255" s="28"/>
      <c r="K255" s="21"/>
      <c r="L255" s="21"/>
      <c r="M255" s="28"/>
      <c r="N255" s="28"/>
      <c r="O255" s="28">
        <v>12</v>
      </c>
      <c r="P255" s="26">
        <v>30534</v>
      </c>
      <c r="Q255" s="34"/>
      <c r="R255" s="28"/>
      <c r="S255" s="28"/>
      <c r="T255" s="28"/>
      <c r="U255" s="28"/>
      <c r="V255" s="28"/>
      <c r="W255" s="28"/>
      <c r="X255" s="28"/>
      <c r="Y255" s="28"/>
      <c r="Z255" s="24"/>
      <c r="AA255" s="38"/>
      <c r="AB255" s="26"/>
      <c r="AC255" s="21"/>
      <c r="AD255" s="47"/>
      <c r="AF255" s="47"/>
      <c r="AI255" s="47"/>
      <c r="AL255" s="47"/>
    </row>
    <row r="256" spans="1:38" ht="12.75">
      <c r="A256" s="21" t="s">
        <v>252</v>
      </c>
      <c r="B256" s="21" t="s">
        <v>312</v>
      </c>
      <c r="C256" s="22">
        <v>160719</v>
      </c>
      <c r="D256" s="22">
        <v>8</v>
      </c>
      <c r="E256" s="28"/>
      <c r="F256" s="28"/>
      <c r="G256" s="28"/>
      <c r="H256" s="28"/>
      <c r="I256" s="28"/>
      <c r="J256" s="28"/>
      <c r="K256" s="21"/>
      <c r="L256" s="21"/>
      <c r="M256" s="28"/>
      <c r="N256" s="28"/>
      <c r="O256" s="28">
        <v>35</v>
      </c>
      <c r="P256" s="26">
        <v>35887</v>
      </c>
      <c r="Q256" s="34"/>
      <c r="R256" s="28"/>
      <c r="S256" s="28"/>
      <c r="T256" s="28"/>
      <c r="U256" s="28"/>
      <c r="V256" s="28"/>
      <c r="W256" s="28"/>
      <c r="X256" s="28"/>
      <c r="Y256" s="28"/>
      <c r="Z256" s="24"/>
      <c r="AA256" s="38"/>
      <c r="AB256" s="26"/>
      <c r="AC256" s="21"/>
      <c r="AD256" s="47"/>
      <c r="AF256" s="47"/>
      <c r="AI256" s="47"/>
      <c r="AL256" s="47"/>
    </row>
    <row r="257" spans="1:38" ht="12.75">
      <c r="A257" s="21" t="s">
        <v>252</v>
      </c>
      <c r="B257" s="21" t="s">
        <v>313</v>
      </c>
      <c r="C257" s="22">
        <v>160676</v>
      </c>
      <c r="D257" s="22">
        <v>8</v>
      </c>
      <c r="E257" s="23"/>
      <c r="F257" s="28"/>
      <c r="G257" s="28"/>
      <c r="H257" s="28"/>
      <c r="I257" s="28"/>
      <c r="J257" s="28"/>
      <c r="K257" s="21"/>
      <c r="L257" s="21"/>
      <c r="M257" s="28"/>
      <c r="N257" s="28"/>
      <c r="O257" s="28">
        <v>16</v>
      </c>
      <c r="P257" s="26">
        <v>35666</v>
      </c>
      <c r="Q257" s="34"/>
      <c r="R257" s="28"/>
      <c r="S257" s="28"/>
      <c r="T257" s="28"/>
      <c r="U257" s="28"/>
      <c r="V257" s="28"/>
      <c r="W257" s="28"/>
      <c r="X257" s="28"/>
      <c r="Y257" s="28"/>
      <c r="Z257" s="24"/>
      <c r="AA257" s="38"/>
      <c r="AB257" s="26"/>
      <c r="AC257" s="21"/>
      <c r="AD257" s="47"/>
      <c r="AF257" s="47"/>
      <c r="AI257" s="47"/>
      <c r="AL257" s="47"/>
    </row>
    <row r="258" spans="1:38" ht="12.75">
      <c r="A258" s="21" t="s">
        <v>252</v>
      </c>
      <c r="B258" s="21" t="s">
        <v>314</v>
      </c>
      <c r="C258" s="22">
        <v>159267</v>
      </c>
      <c r="D258" s="22">
        <v>8</v>
      </c>
      <c r="E258" s="28"/>
      <c r="F258" s="28"/>
      <c r="G258" s="28"/>
      <c r="H258" s="28"/>
      <c r="I258" s="28"/>
      <c r="J258" s="28"/>
      <c r="K258" s="21"/>
      <c r="L258" s="21"/>
      <c r="M258" s="28"/>
      <c r="N258" s="28"/>
      <c r="O258" s="28">
        <v>27</v>
      </c>
      <c r="P258" s="24">
        <v>30399</v>
      </c>
      <c r="Q258" s="34"/>
      <c r="R258" s="28"/>
      <c r="S258" s="28"/>
      <c r="T258" s="28"/>
      <c r="U258" s="28"/>
      <c r="V258" s="28"/>
      <c r="W258" s="28"/>
      <c r="X258" s="28"/>
      <c r="Y258" s="28"/>
      <c r="Z258" s="24"/>
      <c r="AA258" s="38"/>
      <c r="AB258" s="26"/>
      <c r="AC258" s="21"/>
      <c r="AD258" s="47"/>
      <c r="AF258" s="47"/>
      <c r="AI258" s="47"/>
      <c r="AL258" s="47"/>
    </row>
    <row r="259" spans="1:38" ht="12.75">
      <c r="A259" s="21" t="s">
        <v>252</v>
      </c>
      <c r="B259" s="21" t="s">
        <v>315</v>
      </c>
      <c r="C259" s="22">
        <v>160870</v>
      </c>
      <c r="D259" s="22">
        <v>8</v>
      </c>
      <c r="E259" s="23"/>
      <c r="F259" s="28"/>
      <c r="G259" s="28"/>
      <c r="H259" s="28"/>
      <c r="I259" s="28"/>
      <c r="J259" s="28"/>
      <c r="K259" s="21"/>
      <c r="L259" s="21"/>
      <c r="M259" s="28"/>
      <c r="N259" s="28"/>
      <c r="O259" s="28">
        <v>24</v>
      </c>
      <c r="P259" s="24">
        <v>33293</v>
      </c>
      <c r="Q259" s="34"/>
      <c r="R259" s="28"/>
      <c r="S259" s="28"/>
      <c r="T259" s="28"/>
      <c r="U259" s="28"/>
      <c r="V259" s="28"/>
      <c r="W259" s="28"/>
      <c r="X259" s="28"/>
      <c r="Y259" s="28"/>
      <c r="Z259" s="24"/>
      <c r="AA259" s="38"/>
      <c r="AB259" s="26"/>
      <c r="AC259" s="21"/>
      <c r="AD259" s="47"/>
      <c r="AF259" s="47"/>
      <c r="AI259" s="47"/>
      <c r="AL259" s="47"/>
    </row>
    <row r="260" spans="1:38" ht="12.75">
      <c r="A260" s="21" t="s">
        <v>252</v>
      </c>
      <c r="B260" s="21" t="s">
        <v>316</v>
      </c>
      <c r="C260" s="22">
        <v>160913</v>
      </c>
      <c r="D260" s="22">
        <v>8</v>
      </c>
      <c r="E260" s="28"/>
      <c r="F260" s="28"/>
      <c r="G260" s="28"/>
      <c r="H260" s="28"/>
      <c r="I260" s="28"/>
      <c r="J260" s="28"/>
      <c r="K260" s="23"/>
      <c r="L260" s="28"/>
      <c r="M260" s="28"/>
      <c r="N260" s="28"/>
      <c r="O260" s="23"/>
      <c r="P260" s="62"/>
      <c r="Q260" s="34"/>
      <c r="R260" s="28"/>
      <c r="S260" s="28"/>
      <c r="T260" s="28"/>
      <c r="U260" s="28"/>
      <c r="V260" s="28"/>
      <c r="W260" s="28"/>
      <c r="X260" s="28"/>
      <c r="Y260" s="28"/>
      <c r="Z260" s="24"/>
      <c r="AA260" s="38"/>
      <c r="AB260" s="26"/>
      <c r="AC260" s="21"/>
      <c r="AD260" s="47"/>
      <c r="AF260" s="47"/>
      <c r="AI260" s="47"/>
      <c r="AL260" s="47"/>
    </row>
    <row r="261" spans="1:38" ht="12.75">
      <c r="A261" s="21" t="s">
        <v>317</v>
      </c>
      <c r="B261" s="63" t="s">
        <v>318</v>
      </c>
      <c r="C261" s="64">
        <v>163286</v>
      </c>
      <c r="D261" s="65">
        <v>1</v>
      </c>
      <c r="E261" s="50">
        <v>415</v>
      </c>
      <c r="F261" s="49">
        <v>79161.0506024096</v>
      </c>
      <c r="G261" s="50">
        <v>325</v>
      </c>
      <c r="H261" s="50">
        <v>55494.1261538462</v>
      </c>
      <c r="I261" s="50">
        <v>195</v>
      </c>
      <c r="J261" s="49">
        <v>49397.0153846154</v>
      </c>
      <c r="K261" s="50">
        <v>32</v>
      </c>
      <c r="L261" s="49">
        <v>37817.15625</v>
      </c>
      <c r="M261" s="50">
        <v>90</v>
      </c>
      <c r="N261" s="49">
        <v>32323.1444444444</v>
      </c>
      <c r="O261" s="50">
        <v>0</v>
      </c>
      <c r="P261" s="66">
        <v>0</v>
      </c>
      <c r="Q261" s="36">
        <v>244</v>
      </c>
      <c r="R261" s="49">
        <v>102777.266393443</v>
      </c>
      <c r="S261" s="50">
        <v>87</v>
      </c>
      <c r="T261" s="49">
        <v>71135.4827586207</v>
      </c>
      <c r="U261" s="50">
        <v>25</v>
      </c>
      <c r="V261" s="49">
        <v>59412.6</v>
      </c>
      <c r="W261" s="50">
        <v>13</v>
      </c>
      <c r="X261" s="49">
        <v>46376.2307692308</v>
      </c>
      <c r="Y261" s="50">
        <v>93</v>
      </c>
      <c r="Z261" s="56">
        <v>43049.4408602151</v>
      </c>
      <c r="AA261" s="52">
        <v>0</v>
      </c>
      <c r="AB261" s="56">
        <v>0</v>
      </c>
      <c r="AC261" s="21"/>
      <c r="AD261" s="47"/>
      <c r="AF261" s="47"/>
      <c r="AI261" s="47"/>
      <c r="AL261" s="47"/>
    </row>
    <row r="262" spans="1:38" ht="12.75">
      <c r="A262" s="21" t="s">
        <v>317</v>
      </c>
      <c r="B262" s="63" t="s">
        <v>319</v>
      </c>
      <c r="C262" s="64">
        <v>163268</v>
      </c>
      <c r="D262" s="65">
        <v>2</v>
      </c>
      <c r="E262" s="50">
        <v>88</v>
      </c>
      <c r="F262" s="50">
        <v>70603.1477272727</v>
      </c>
      <c r="G262" s="50">
        <v>115</v>
      </c>
      <c r="H262" s="50">
        <v>50412.0347826087</v>
      </c>
      <c r="I262" s="50">
        <v>85</v>
      </c>
      <c r="J262" s="50">
        <v>45153.9294117647</v>
      </c>
      <c r="K262" s="50">
        <v>19</v>
      </c>
      <c r="L262" s="50">
        <v>31022.0526315789</v>
      </c>
      <c r="M262" s="50">
        <v>18</v>
      </c>
      <c r="N262" s="50">
        <v>32789.4444444444</v>
      </c>
      <c r="O262" s="50">
        <v>0</v>
      </c>
      <c r="P262" s="51">
        <v>0</v>
      </c>
      <c r="Q262" s="36">
        <v>30</v>
      </c>
      <c r="R262" s="49">
        <v>98822.5333333333</v>
      </c>
      <c r="S262" s="50">
        <v>16</v>
      </c>
      <c r="T262" s="49">
        <v>70142</v>
      </c>
      <c r="U262" s="50">
        <v>7</v>
      </c>
      <c r="V262" s="49">
        <v>54880.2857142857</v>
      </c>
      <c r="W262" s="50">
        <v>2</v>
      </c>
      <c r="X262" s="49">
        <v>48414</v>
      </c>
      <c r="Y262" s="50">
        <v>4</v>
      </c>
      <c r="Z262" s="56">
        <v>45459.5</v>
      </c>
      <c r="AA262" s="52">
        <v>0</v>
      </c>
      <c r="AB262" s="51">
        <v>0</v>
      </c>
      <c r="AC262" s="21"/>
      <c r="AD262" s="47"/>
      <c r="AF262" s="47"/>
      <c r="AI262" s="47"/>
      <c r="AL262" s="47"/>
    </row>
    <row r="263" spans="1:38" ht="12.75">
      <c r="A263" s="21" t="s">
        <v>317</v>
      </c>
      <c r="B263" s="63" t="s">
        <v>320</v>
      </c>
      <c r="C263" s="64">
        <v>162007</v>
      </c>
      <c r="D263" s="65">
        <v>4</v>
      </c>
      <c r="E263" s="50">
        <v>29</v>
      </c>
      <c r="F263" s="50">
        <v>54862.4137931034</v>
      </c>
      <c r="G263" s="50">
        <v>26</v>
      </c>
      <c r="H263" s="50">
        <v>47114.4615384615</v>
      </c>
      <c r="I263" s="50">
        <v>70</v>
      </c>
      <c r="J263" s="50">
        <v>41170.7714285714</v>
      </c>
      <c r="K263" s="50">
        <v>5</v>
      </c>
      <c r="L263" s="50">
        <v>37867</v>
      </c>
      <c r="M263" s="50">
        <v>7</v>
      </c>
      <c r="N263" s="50">
        <v>35085</v>
      </c>
      <c r="O263" s="50">
        <v>0</v>
      </c>
      <c r="P263" s="51">
        <v>0</v>
      </c>
      <c r="Q263" s="36"/>
      <c r="R263" s="49"/>
      <c r="S263" s="50"/>
      <c r="T263" s="49"/>
      <c r="U263" s="50"/>
      <c r="V263" s="49"/>
      <c r="W263" s="50"/>
      <c r="X263" s="49"/>
      <c r="Y263" s="50"/>
      <c r="Z263" s="56"/>
      <c r="AA263" s="52"/>
      <c r="AB263" s="51"/>
      <c r="AC263" s="21"/>
      <c r="AD263" s="47"/>
      <c r="AF263" s="47"/>
      <c r="AI263" s="47"/>
      <c r="AL263" s="47"/>
    </row>
    <row r="264" spans="1:38" ht="12.75">
      <c r="A264" s="21" t="s">
        <v>317</v>
      </c>
      <c r="B264" s="63" t="s">
        <v>321</v>
      </c>
      <c r="C264" s="64">
        <v>162584</v>
      </c>
      <c r="D264" s="65">
        <v>4</v>
      </c>
      <c r="E264" s="50">
        <v>77</v>
      </c>
      <c r="F264" s="50">
        <v>58299.8701298701</v>
      </c>
      <c r="G264" s="50">
        <v>66</v>
      </c>
      <c r="H264" s="50">
        <v>47248.3787878788</v>
      </c>
      <c r="I264" s="50">
        <v>65</v>
      </c>
      <c r="J264" s="50">
        <v>41163.2</v>
      </c>
      <c r="K264" s="50">
        <v>7</v>
      </c>
      <c r="L264" s="50">
        <v>33889.1428571429</v>
      </c>
      <c r="M264" s="50">
        <v>24</v>
      </c>
      <c r="N264" s="50">
        <v>28517.3333333333</v>
      </c>
      <c r="O264" s="50">
        <v>0</v>
      </c>
      <c r="P264" s="51">
        <v>0</v>
      </c>
      <c r="Q264" s="36"/>
      <c r="R264" s="49"/>
      <c r="S264" s="50"/>
      <c r="T264" s="49"/>
      <c r="U264" s="50"/>
      <c r="V264" s="49"/>
      <c r="W264" s="50"/>
      <c r="X264" s="49"/>
      <c r="Y264" s="50"/>
      <c r="Z264" s="56"/>
      <c r="AA264" s="52"/>
      <c r="AB264" s="51"/>
      <c r="AC264" s="21"/>
      <c r="AD264" s="47"/>
      <c r="AF264" s="47"/>
      <c r="AI264" s="47"/>
      <c r="AL264" s="47"/>
    </row>
    <row r="265" spans="1:38" ht="12.75">
      <c r="A265" s="21" t="s">
        <v>317</v>
      </c>
      <c r="B265" s="63" t="s">
        <v>322</v>
      </c>
      <c r="C265" s="64">
        <v>163453</v>
      </c>
      <c r="D265" s="65">
        <v>4</v>
      </c>
      <c r="E265" s="50">
        <v>30</v>
      </c>
      <c r="F265" s="50">
        <v>67647.3333333333</v>
      </c>
      <c r="G265" s="50">
        <v>54</v>
      </c>
      <c r="H265" s="50">
        <v>54326.6481481481</v>
      </c>
      <c r="I265" s="50">
        <v>71</v>
      </c>
      <c r="J265" s="50">
        <v>44053.985915493</v>
      </c>
      <c r="K265" s="50">
        <v>16</v>
      </c>
      <c r="L265" s="50">
        <v>37739.8125</v>
      </c>
      <c r="M265" s="50">
        <v>17</v>
      </c>
      <c r="N265" s="50">
        <v>58700.4117647059</v>
      </c>
      <c r="O265" s="50">
        <v>0</v>
      </c>
      <c r="P265" s="51">
        <v>0</v>
      </c>
      <c r="Q265" s="36">
        <v>7</v>
      </c>
      <c r="R265" s="49">
        <v>88345</v>
      </c>
      <c r="S265" s="50">
        <v>10</v>
      </c>
      <c r="T265" s="49">
        <v>59046.2</v>
      </c>
      <c r="U265" s="50">
        <v>9</v>
      </c>
      <c r="V265" s="49">
        <v>54303.3333333333</v>
      </c>
      <c r="W265" s="50">
        <v>1</v>
      </c>
      <c r="X265" s="49">
        <v>36317</v>
      </c>
      <c r="Y265" s="50">
        <v>18</v>
      </c>
      <c r="Z265" s="56">
        <v>36290.8333333333</v>
      </c>
      <c r="AA265" s="52">
        <v>0</v>
      </c>
      <c r="AB265" s="51">
        <v>0</v>
      </c>
      <c r="AC265" s="21"/>
      <c r="AD265" s="47"/>
      <c r="AF265" s="47"/>
      <c r="AI265" s="47"/>
      <c r="AL265" s="47"/>
    </row>
    <row r="266" spans="1:41" ht="12.75">
      <c r="A266" s="21" t="s">
        <v>317</v>
      </c>
      <c r="B266" s="63" t="s">
        <v>323</v>
      </c>
      <c r="C266" s="64">
        <v>163851</v>
      </c>
      <c r="D266" s="65">
        <v>4</v>
      </c>
      <c r="E266" s="50">
        <v>56</v>
      </c>
      <c r="F266" s="50">
        <v>60191.125</v>
      </c>
      <c r="G266" s="50">
        <v>66</v>
      </c>
      <c r="H266" s="50">
        <v>47353.2272727273</v>
      </c>
      <c r="I266" s="50">
        <v>75</v>
      </c>
      <c r="J266" s="50">
        <v>40414.8933333333</v>
      </c>
      <c r="K266" s="50">
        <v>10</v>
      </c>
      <c r="L266" s="50">
        <v>37349.3</v>
      </c>
      <c r="M266" s="50">
        <v>47</v>
      </c>
      <c r="N266" s="50">
        <v>30452.9787234043</v>
      </c>
      <c r="O266" s="50">
        <v>0</v>
      </c>
      <c r="P266" s="51">
        <v>0</v>
      </c>
      <c r="Q266" s="36"/>
      <c r="R266" s="49"/>
      <c r="S266" s="50"/>
      <c r="T266" s="49"/>
      <c r="U266" s="50"/>
      <c r="V266" s="49"/>
      <c r="W266" s="50"/>
      <c r="X266" s="49"/>
      <c r="Y266" s="50"/>
      <c r="Z266" s="56"/>
      <c r="AA266" s="52"/>
      <c r="AB266" s="51"/>
      <c r="AC266" s="21"/>
      <c r="AN266" s="47"/>
      <c r="AO266" s="47"/>
    </row>
    <row r="267" spans="1:29" ht="12.75">
      <c r="A267" s="21" t="s">
        <v>317</v>
      </c>
      <c r="B267" s="63" t="s">
        <v>324</v>
      </c>
      <c r="C267" s="64">
        <v>164076</v>
      </c>
      <c r="D267" s="65">
        <v>4</v>
      </c>
      <c r="E267" s="50">
        <v>138</v>
      </c>
      <c r="F267" s="50">
        <v>58718.5144927536</v>
      </c>
      <c r="G267" s="50">
        <v>123</v>
      </c>
      <c r="H267" s="50">
        <v>48441.6504065041</v>
      </c>
      <c r="I267" s="50">
        <v>134</v>
      </c>
      <c r="J267" s="50">
        <v>41635.1567164179</v>
      </c>
      <c r="K267" s="50">
        <v>18</v>
      </c>
      <c r="L267" s="50">
        <v>35348.6111111111</v>
      </c>
      <c r="M267" s="50">
        <v>5</v>
      </c>
      <c r="N267" s="50">
        <v>33593.4</v>
      </c>
      <c r="O267" s="50">
        <v>0</v>
      </c>
      <c r="P267" s="51">
        <v>0</v>
      </c>
      <c r="Q267" s="36">
        <v>24</v>
      </c>
      <c r="R267" s="49">
        <v>72190.6666666667</v>
      </c>
      <c r="S267" s="50">
        <v>7</v>
      </c>
      <c r="T267" s="49">
        <v>62627</v>
      </c>
      <c r="U267" s="50">
        <v>1</v>
      </c>
      <c r="V267" s="49">
        <v>57902</v>
      </c>
      <c r="W267" s="50"/>
      <c r="X267" s="49"/>
      <c r="Y267" s="50"/>
      <c r="Z267" s="56"/>
      <c r="AA267" s="52"/>
      <c r="AB267" s="51"/>
      <c r="AC267" s="21"/>
    </row>
    <row r="268" spans="1:29" ht="12.75">
      <c r="A268" s="21" t="s">
        <v>317</v>
      </c>
      <c r="B268" s="63" t="s">
        <v>325</v>
      </c>
      <c r="C268" s="64">
        <v>161873</v>
      </c>
      <c r="D268" s="65">
        <v>4</v>
      </c>
      <c r="E268" s="50">
        <v>50</v>
      </c>
      <c r="F268" s="50">
        <v>82965.88</v>
      </c>
      <c r="G268" s="50">
        <v>60</v>
      </c>
      <c r="H268" s="50">
        <v>62907.3</v>
      </c>
      <c r="I268" s="50">
        <v>23</v>
      </c>
      <c r="J268" s="50">
        <v>51970.652173913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1">
        <v>0</v>
      </c>
      <c r="Q268" s="36">
        <v>6</v>
      </c>
      <c r="R268" s="49">
        <v>94248.5</v>
      </c>
      <c r="S268" s="50">
        <v>1</v>
      </c>
      <c r="T268" s="49">
        <v>63476</v>
      </c>
      <c r="U268" s="50">
        <v>2</v>
      </c>
      <c r="V268" s="49">
        <v>40000</v>
      </c>
      <c r="W268" s="50"/>
      <c r="X268" s="49"/>
      <c r="Y268" s="50"/>
      <c r="Z268" s="56"/>
      <c r="AA268" s="52"/>
      <c r="AB268" s="51"/>
      <c r="AC268" s="21"/>
    </row>
    <row r="269" spans="1:29" ht="12.75">
      <c r="A269" s="21" t="s">
        <v>317</v>
      </c>
      <c r="B269" s="63" t="s">
        <v>326</v>
      </c>
      <c r="C269" s="64">
        <v>162283</v>
      </c>
      <c r="D269" s="65">
        <v>5</v>
      </c>
      <c r="E269" s="50">
        <v>27</v>
      </c>
      <c r="F269" s="50">
        <v>59660.9259259259</v>
      </c>
      <c r="G269" s="50">
        <v>31</v>
      </c>
      <c r="H269" s="50">
        <v>48249.4516129032</v>
      </c>
      <c r="I269" s="50">
        <v>38</v>
      </c>
      <c r="J269" s="50">
        <v>42271.1842105263</v>
      </c>
      <c r="K269" s="50">
        <v>3</v>
      </c>
      <c r="L269" s="50">
        <v>36157.3333333333</v>
      </c>
      <c r="M269" s="50">
        <v>7</v>
      </c>
      <c r="N269" s="50">
        <v>26691.7142857143</v>
      </c>
      <c r="O269" s="50">
        <v>0</v>
      </c>
      <c r="P269" s="51">
        <v>0</v>
      </c>
      <c r="Q269" s="36">
        <v>1</v>
      </c>
      <c r="R269" s="49">
        <v>55000</v>
      </c>
      <c r="S269" s="50">
        <v>2</v>
      </c>
      <c r="T269" s="49">
        <v>59354.5</v>
      </c>
      <c r="U269" s="50"/>
      <c r="V269" s="49"/>
      <c r="W269" s="50">
        <v>1</v>
      </c>
      <c r="X269" s="49">
        <v>46891</v>
      </c>
      <c r="Y269" s="50"/>
      <c r="Z269" s="56"/>
      <c r="AA269" s="52">
        <v>0</v>
      </c>
      <c r="AB269" s="51">
        <v>0</v>
      </c>
      <c r="AC269" s="21"/>
    </row>
    <row r="270" spans="1:29" ht="12.75">
      <c r="A270" s="21" t="s">
        <v>317</v>
      </c>
      <c r="B270" s="63" t="s">
        <v>327</v>
      </c>
      <c r="C270" s="64">
        <v>163338</v>
      </c>
      <c r="D270" s="65">
        <v>5</v>
      </c>
      <c r="E270" s="50">
        <v>9</v>
      </c>
      <c r="F270" s="50">
        <v>52963.1111111111</v>
      </c>
      <c r="G270" s="50">
        <v>22</v>
      </c>
      <c r="H270" s="50">
        <v>48217.9545454545</v>
      </c>
      <c r="I270" s="50">
        <v>30</v>
      </c>
      <c r="J270" s="50">
        <v>42434.3666666667</v>
      </c>
      <c r="K270" s="50">
        <v>8</v>
      </c>
      <c r="L270" s="50">
        <v>34168.125</v>
      </c>
      <c r="M270" s="50">
        <v>28</v>
      </c>
      <c r="N270" s="50">
        <v>31417.5714285714</v>
      </c>
      <c r="O270" s="50">
        <v>0</v>
      </c>
      <c r="P270" s="51">
        <v>0</v>
      </c>
      <c r="Q270" s="36">
        <v>7</v>
      </c>
      <c r="R270" s="49">
        <v>60517.7142857143</v>
      </c>
      <c r="S270" s="50">
        <v>20</v>
      </c>
      <c r="T270" s="49">
        <v>64769.6</v>
      </c>
      <c r="U270" s="50">
        <v>7</v>
      </c>
      <c r="V270" s="49">
        <v>53978</v>
      </c>
      <c r="W270" s="50">
        <v>2</v>
      </c>
      <c r="X270" s="49">
        <v>44540</v>
      </c>
      <c r="Y270" s="50">
        <v>11</v>
      </c>
      <c r="Z270" s="56">
        <v>43301.5454545455</v>
      </c>
      <c r="AA270" s="52">
        <v>0</v>
      </c>
      <c r="AB270" s="51">
        <v>0</v>
      </c>
      <c r="AC270" s="21"/>
    </row>
    <row r="271" spans="1:29" ht="12.75">
      <c r="A271" s="21" t="s">
        <v>317</v>
      </c>
      <c r="B271" s="63" t="s">
        <v>328</v>
      </c>
      <c r="C271" s="64">
        <v>163912</v>
      </c>
      <c r="D271" s="65">
        <v>6</v>
      </c>
      <c r="E271" s="50">
        <v>30</v>
      </c>
      <c r="F271" s="50">
        <v>68017.1</v>
      </c>
      <c r="G271" s="50">
        <v>32</v>
      </c>
      <c r="H271" s="50">
        <v>53693.46875</v>
      </c>
      <c r="I271" s="50">
        <v>42</v>
      </c>
      <c r="J271" s="50">
        <v>39203.1428571429</v>
      </c>
      <c r="K271" s="50">
        <v>5</v>
      </c>
      <c r="L271" s="50">
        <v>34938.6</v>
      </c>
      <c r="M271" s="50">
        <v>0</v>
      </c>
      <c r="N271" s="50">
        <v>0</v>
      </c>
      <c r="O271" s="50">
        <v>0</v>
      </c>
      <c r="P271" s="51">
        <v>0</v>
      </c>
      <c r="Q271" s="36"/>
      <c r="R271" s="49"/>
      <c r="S271" s="50"/>
      <c r="T271" s="49"/>
      <c r="U271" s="50"/>
      <c r="V271" s="49"/>
      <c r="W271" s="50"/>
      <c r="X271" s="49"/>
      <c r="Y271" s="50"/>
      <c r="Z271" s="56"/>
      <c r="AA271" s="52"/>
      <c r="AB271" s="51"/>
      <c r="AC271" s="21"/>
    </row>
    <row r="272" spans="1:29" ht="12.75">
      <c r="A272" s="21" t="s">
        <v>317</v>
      </c>
      <c r="B272" s="63" t="s">
        <v>329</v>
      </c>
      <c r="C272" s="64">
        <v>161688</v>
      </c>
      <c r="D272" s="65">
        <v>7</v>
      </c>
      <c r="E272" s="50">
        <v>21</v>
      </c>
      <c r="F272" s="50">
        <v>48788.1428571429</v>
      </c>
      <c r="G272" s="50">
        <v>23</v>
      </c>
      <c r="H272" s="50">
        <v>39110.5217391304</v>
      </c>
      <c r="I272" s="50">
        <v>26</v>
      </c>
      <c r="J272" s="50">
        <v>30668.8846153846</v>
      </c>
      <c r="K272" s="50">
        <v>2</v>
      </c>
      <c r="L272" s="50">
        <v>23965</v>
      </c>
      <c r="M272" s="50">
        <v>0</v>
      </c>
      <c r="N272" s="50">
        <v>0</v>
      </c>
      <c r="O272" s="50">
        <v>0</v>
      </c>
      <c r="P272" s="51">
        <v>0</v>
      </c>
      <c r="Q272" s="36">
        <v>2</v>
      </c>
      <c r="R272" s="49">
        <v>71504.5</v>
      </c>
      <c r="S272" s="50">
        <v>5</v>
      </c>
      <c r="T272" s="49">
        <v>50695.6</v>
      </c>
      <c r="U272" s="50">
        <v>9</v>
      </c>
      <c r="V272" s="49">
        <v>40561.3333333333</v>
      </c>
      <c r="W272" s="50">
        <v>3</v>
      </c>
      <c r="X272" s="49">
        <v>32579</v>
      </c>
      <c r="Y272" s="50"/>
      <c r="Z272" s="56"/>
      <c r="AA272" s="52">
        <v>0</v>
      </c>
      <c r="AB272" s="51">
        <v>0</v>
      </c>
      <c r="AC272" s="21"/>
    </row>
    <row r="273" spans="1:29" ht="12.75">
      <c r="A273" s="21" t="s">
        <v>317</v>
      </c>
      <c r="B273" s="63" t="s">
        <v>330</v>
      </c>
      <c r="C273" s="64">
        <v>161767</v>
      </c>
      <c r="D273" s="65">
        <v>7</v>
      </c>
      <c r="E273" s="50">
        <v>70</v>
      </c>
      <c r="F273" s="50">
        <v>57848.7428571429</v>
      </c>
      <c r="G273" s="50">
        <v>51</v>
      </c>
      <c r="H273" s="50">
        <v>46573.6862745098</v>
      </c>
      <c r="I273" s="50">
        <v>46</v>
      </c>
      <c r="J273" s="50">
        <v>37487.7608695652</v>
      </c>
      <c r="K273" s="50">
        <v>15</v>
      </c>
      <c r="L273" s="50">
        <v>33679.1333333333</v>
      </c>
      <c r="M273" s="50">
        <v>0</v>
      </c>
      <c r="N273" s="50">
        <v>0</v>
      </c>
      <c r="O273" s="50">
        <v>0</v>
      </c>
      <c r="P273" s="51">
        <v>0</v>
      </c>
      <c r="Q273" s="36"/>
      <c r="R273" s="49"/>
      <c r="S273" s="50"/>
      <c r="T273" s="49"/>
      <c r="U273" s="50"/>
      <c r="V273" s="49"/>
      <c r="W273" s="50"/>
      <c r="X273" s="49"/>
      <c r="Y273" s="50"/>
      <c r="Z273" s="56"/>
      <c r="AA273" s="52">
        <v>0</v>
      </c>
      <c r="AB273" s="51">
        <v>0</v>
      </c>
      <c r="AC273" s="21"/>
    </row>
    <row r="274" spans="1:29" ht="12.75">
      <c r="A274" s="21" t="s">
        <v>317</v>
      </c>
      <c r="B274" s="63" t="s">
        <v>331</v>
      </c>
      <c r="C274" s="64">
        <v>161864</v>
      </c>
      <c r="D274" s="65">
        <v>7</v>
      </c>
      <c r="E274" s="50">
        <v>24</v>
      </c>
      <c r="F274" s="50">
        <v>50609.4583333333</v>
      </c>
      <c r="G274" s="50">
        <v>20</v>
      </c>
      <c r="H274" s="50">
        <v>45216</v>
      </c>
      <c r="I274" s="50">
        <v>65</v>
      </c>
      <c r="J274" s="50">
        <v>37586.5692307692</v>
      </c>
      <c r="K274" s="50">
        <v>5</v>
      </c>
      <c r="L274" s="50">
        <v>31678.8</v>
      </c>
      <c r="M274" s="50">
        <v>0</v>
      </c>
      <c r="N274" s="50">
        <v>0</v>
      </c>
      <c r="O274" s="50">
        <v>0</v>
      </c>
      <c r="P274" s="51">
        <v>0</v>
      </c>
      <c r="Q274" s="36"/>
      <c r="R274" s="49"/>
      <c r="S274" s="50">
        <v>1</v>
      </c>
      <c r="T274" s="49">
        <v>45867</v>
      </c>
      <c r="U274" s="50">
        <v>1</v>
      </c>
      <c r="V274" s="49">
        <v>40138</v>
      </c>
      <c r="W274" s="50"/>
      <c r="X274" s="49"/>
      <c r="Y274" s="50"/>
      <c r="Z274" s="56"/>
      <c r="AA274" s="52">
        <v>0</v>
      </c>
      <c r="AB274" s="51">
        <v>0</v>
      </c>
      <c r="AC274" s="21"/>
    </row>
    <row r="275" spans="1:29" ht="12.75">
      <c r="A275" s="21" t="s">
        <v>317</v>
      </c>
      <c r="B275" s="63" t="s">
        <v>332</v>
      </c>
      <c r="C275" s="64">
        <v>405872</v>
      </c>
      <c r="D275" s="65">
        <v>7</v>
      </c>
      <c r="E275" s="50">
        <v>3</v>
      </c>
      <c r="F275" s="50">
        <v>56752</v>
      </c>
      <c r="G275" s="50">
        <v>10</v>
      </c>
      <c r="H275" s="50">
        <v>50934.4</v>
      </c>
      <c r="I275" s="50">
        <v>21</v>
      </c>
      <c r="J275" s="50">
        <v>38070.5714285714</v>
      </c>
      <c r="K275" s="50">
        <v>4</v>
      </c>
      <c r="L275" s="50">
        <v>36560</v>
      </c>
      <c r="M275" s="50">
        <v>0</v>
      </c>
      <c r="N275" s="50">
        <v>0</v>
      </c>
      <c r="O275" s="50">
        <v>0</v>
      </c>
      <c r="P275" s="51">
        <v>0</v>
      </c>
      <c r="Q275" s="36">
        <v>1</v>
      </c>
      <c r="R275" s="49">
        <v>73561</v>
      </c>
      <c r="S275" s="50">
        <v>1</v>
      </c>
      <c r="T275" s="49">
        <v>56203</v>
      </c>
      <c r="U275" s="50">
        <v>3</v>
      </c>
      <c r="V275" s="49">
        <v>45862.3333333333</v>
      </c>
      <c r="W275" s="50">
        <v>1</v>
      </c>
      <c r="X275" s="49">
        <v>44210</v>
      </c>
      <c r="Y275" s="50"/>
      <c r="Z275" s="56"/>
      <c r="AA275" s="52">
        <v>0</v>
      </c>
      <c r="AB275" s="51">
        <v>0</v>
      </c>
      <c r="AC275" s="21"/>
    </row>
    <row r="276" spans="1:29" ht="12.75">
      <c r="A276" s="21" t="s">
        <v>317</v>
      </c>
      <c r="B276" s="63" t="s">
        <v>333</v>
      </c>
      <c r="C276" s="64">
        <v>162098</v>
      </c>
      <c r="D276" s="65">
        <v>7</v>
      </c>
      <c r="E276" s="50">
        <v>36</v>
      </c>
      <c r="F276" s="50">
        <v>55227.0277777778</v>
      </c>
      <c r="G276" s="50">
        <v>51</v>
      </c>
      <c r="H276" s="50">
        <v>46816.5098039216</v>
      </c>
      <c r="I276" s="50">
        <v>44</v>
      </c>
      <c r="J276" s="50">
        <v>36192.2272727273</v>
      </c>
      <c r="K276" s="50">
        <v>19</v>
      </c>
      <c r="L276" s="50">
        <v>29973.7368421053</v>
      </c>
      <c r="M276" s="50">
        <v>0</v>
      </c>
      <c r="N276" s="50">
        <v>0</v>
      </c>
      <c r="O276" s="50">
        <v>0</v>
      </c>
      <c r="P276" s="51">
        <v>0</v>
      </c>
      <c r="Q276" s="36">
        <v>5</v>
      </c>
      <c r="R276" s="49">
        <v>70424</v>
      </c>
      <c r="S276" s="50">
        <v>4</v>
      </c>
      <c r="T276" s="49">
        <v>55166.75</v>
      </c>
      <c r="U276" s="50">
        <v>10</v>
      </c>
      <c r="V276" s="49">
        <v>44562.6</v>
      </c>
      <c r="W276" s="50">
        <v>5</v>
      </c>
      <c r="X276" s="49">
        <v>36771.6</v>
      </c>
      <c r="Y276" s="50"/>
      <c r="Z276" s="56"/>
      <c r="AA276" s="52">
        <v>0</v>
      </c>
      <c r="AB276" s="51">
        <v>0</v>
      </c>
      <c r="AC276" s="21"/>
    </row>
    <row r="277" spans="1:29" ht="12.75">
      <c r="A277" s="21" t="s">
        <v>317</v>
      </c>
      <c r="B277" s="63" t="s">
        <v>334</v>
      </c>
      <c r="C277" s="64">
        <v>162104</v>
      </c>
      <c r="D277" s="65">
        <v>7</v>
      </c>
      <c r="E277" s="50">
        <v>13</v>
      </c>
      <c r="F277" s="50">
        <v>51450.0769230769</v>
      </c>
      <c r="G277" s="50">
        <v>9</v>
      </c>
      <c r="H277" s="50">
        <v>46205.2222222222</v>
      </c>
      <c r="I277" s="50">
        <v>9</v>
      </c>
      <c r="J277" s="50">
        <v>39530.1111111111</v>
      </c>
      <c r="K277" s="50">
        <v>3</v>
      </c>
      <c r="L277" s="50">
        <v>32772</v>
      </c>
      <c r="M277" s="50">
        <v>0</v>
      </c>
      <c r="N277" s="50">
        <v>0</v>
      </c>
      <c r="O277" s="50">
        <v>0</v>
      </c>
      <c r="P277" s="51">
        <v>0</v>
      </c>
      <c r="Q277" s="36"/>
      <c r="R277" s="49"/>
      <c r="S277" s="50">
        <v>1</v>
      </c>
      <c r="T277" s="49">
        <v>40686</v>
      </c>
      <c r="U277" s="50">
        <v>3</v>
      </c>
      <c r="V277" s="49">
        <v>39782</v>
      </c>
      <c r="W277" s="50">
        <v>1</v>
      </c>
      <c r="X277" s="49">
        <v>41922</v>
      </c>
      <c r="Y277" s="50"/>
      <c r="Z277" s="56"/>
      <c r="AA277" s="52">
        <v>0</v>
      </c>
      <c r="AB277" s="51">
        <v>0</v>
      </c>
      <c r="AC277" s="21"/>
    </row>
    <row r="278" spans="1:29" ht="12.75">
      <c r="A278" s="21" t="s">
        <v>317</v>
      </c>
      <c r="B278" s="63" t="s">
        <v>335</v>
      </c>
      <c r="C278" s="64">
        <v>162122</v>
      </c>
      <c r="D278" s="65">
        <v>7</v>
      </c>
      <c r="E278" s="50">
        <v>43</v>
      </c>
      <c r="F278" s="50">
        <v>53233.2093023256</v>
      </c>
      <c r="G278" s="50">
        <v>24</v>
      </c>
      <c r="H278" s="50">
        <v>42543</v>
      </c>
      <c r="I278" s="50">
        <v>10</v>
      </c>
      <c r="J278" s="50">
        <v>37960.9</v>
      </c>
      <c r="K278" s="50">
        <v>4</v>
      </c>
      <c r="L278" s="50">
        <v>27244.25</v>
      </c>
      <c r="M278" s="50">
        <v>0</v>
      </c>
      <c r="N278" s="50">
        <v>0</v>
      </c>
      <c r="O278" s="50">
        <v>0</v>
      </c>
      <c r="P278" s="51">
        <v>0</v>
      </c>
      <c r="Q278" s="36">
        <v>1</v>
      </c>
      <c r="R278" s="49">
        <v>58685</v>
      </c>
      <c r="S278" s="50"/>
      <c r="T278" s="49"/>
      <c r="U278" s="50"/>
      <c r="V278" s="49"/>
      <c r="W278" s="50"/>
      <c r="X278" s="49"/>
      <c r="Y278" s="50"/>
      <c r="Z278" s="56"/>
      <c r="AA278" s="52"/>
      <c r="AB278" s="51"/>
      <c r="AC278" s="21"/>
    </row>
    <row r="279" spans="1:29" ht="12.75">
      <c r="A279" s="21" t="s">
        <v>317</v>
      </c>
      <c r="B279" s="63" t="s">
        <v>336</v>
      </c>
      <c r="C279" s="64">
        <v>162168</v>
      </c>
      <c r="D279" s="65">
        <v>7</v>
      </c>
      <c r="E279" s="50">
        <v>10</v>
      </c>
      <c r="F279" s="50">
        <v>49083.3</v>
      </c>
      <c r="G279" s="50">
        <v>7</v>
      </c>
      <c r="H279" s="50">
        <v>44611.8571428571</v>
      </c>
      <c r="I279" s="50">
        <v>13</v>
      </c>
      <c r="J279" s="50">
        <v>37319.2307692308</v>
      </c>
      <c r="K279" s="50">
        <v>6</v>
      </c>
      <c r="L279" s="50">
        <v>33243.3333333333</v>
      </c>
      <c r="M279" s="50">
        <v>0</v>
      </c>
      <c r="N279" s="50">
        <v>0</v>
      </c>
      <c r="O279" s="50">
        <v>0</v>
      </c>
      <c r="P279" s="51">
        <v>0</v>
      </c>
      <c r="Q279" s="36"/>
      <c r="R279" s="49"/>
      <c r="S279" s="50"/>
      <c r="T279" s="49"/>
      <c r="U279" s="50">
        <v>2</v>
      </c>
      <c r="V279" s="49">
        <v>47425</v>
      </c>
      <c r="W279" s="50"/>
      <c r="X279" s="49"/>
      <c r="Y279" s="50">
        <v>1</v>
      </c>
      <c r="Z279" s="56">
        <v>39602</v>
      </c>
      <c r="AA279" s="52">
        <v>0</v>
      </c>
      <c r="AB279" s="51">
        <v>0</v>
      </c>
      <c r="AC279" s="21"/>
    </row>
    <row r="280" spans="1:29" ht="12.75">
      <c r="A280" s="21" t="s">
        <v>317</v>
      </c>
      <c r="B280" s="67" t="s">
        <v>337</v>
      </c>
      <c r="C280" s="64">
        <v>162399</v>
      </c>
      <c r="D280" s="65">
        <v>7</v>
      </c>
      <c r="E280" s="50">
        <v>11</v>
      </c>
      <c r="F280" s="50">
        <v>52527.5454545455</v>
      </c>
      <c r="G280" s="50">
        <v>18</v>
      </c>
      <c r="H280" s="50">
        <v>43856.7777777778</v>
      </c>
      <c r="I280" s="50">
        <v>17</v>
      </c>
      <c r="J280" s="50">
        <v>36390.3529411765</v>
      </c>
      <c r="K280" s="50">
        <v>1</v>
      </c>
      <c r="L280" s="50">
        <v>25589</v>
      </c>
      <c r="M280" s="50">
        <v>0</v>
      </c>
      <c r="N280" s="50">
        <v>0</v>
      </c>
      <c r="O280" s="50">
        <v>0</v>
      </c>
      <c r="P280" s="51">
        <v>0</v>
      </c>
      <c r="Q280" s="36">
        <v>3</v>
      </c>
      <c r="R280" s="49">
        <v>71067.3333333333</v>
      </c>
      <c r="S280" s="50">
        <v>1</v>
      </c>
      <c r="T280" s="49">
        <v>58399</v>
      </c>
      <c r="U280" s="50"/>
      <c r="V280" s="49"/>
      <c r="W280" s="50"/>
      <c r="X280" s="49"/>
      <c r="Y280" s="50"/>
      <c r="Z280" s="56"/>
      <c r="AA280" s="52"/>
      <c r="AB280" s="51"/>
      <c r="AC280" s="21"/>
    </row>
    <row r="281" spans="1:29" ht="12.75">
      <c r="A281" s="21" t="s">
        <v>317</v>
      </c>
      <c r="B281" s="63" t="s">
        <v>338</v>
      </c>
      <c r="C281" s="64">
        <v>162478</v>
      </c>
      <c r="D281" s="65">
        <v>7</v>
      </c>
      <c r="E281" s="50">
        <v>52</v>
      </c>
      <c r="F281" s="50">
        <v>54597.8461538462</v>
      </c>
      <c r="G281" s="50">
        <v>40</v>
      </c>
      <c r="H281" s="50">
        <v>45190.525</v>
      </c>
      <c r="I281" s="50">
        <v>24</v>
      </c>
      <c r="J281" s="50">
        <v>35804.5833333333</v>
      </c>
      <c r="K281" s="50">
        <v>6</v>
      </c>
      <c r="L281" s="50">
        <v>27666.3333333333</v>
      </c>
      <c r="M281" s="50">
        <v>0</v>
      </c>
      <c r="N281" s="50">
        <v>0</v>
      </c>
      <c r="O281" s="50">
        <v>0</v>
      </c>
      <c r="P281" s="51">
        <v>0</v>
      </c>
      <c r="Q281" s="36">
        <v>4</v>
      </c>
      <c r="R281" s="49">
        <v>66533.5</v>
      </c>
      <c r="S281" s="50">
        <v>5</v>
      </c>
      <c r="T281" s="49">
        <v>55377.2</v>
      </c>
      <c r="U281" s="50">
        <v>1</v>
      </c>
      <c r="V281" s="49">
        <v>49173</v>
      </c>
      <c r="W281" s="50">
        <v>2</v>
      </c>
      <c r="X281" s="49">
        <v>34448.5</v>
      </c>
      <c r="Y281" s="21"/>
      <c r="Z281" s="56"/>
      <c r="AA281" s="52">
        <v>0</v>
      </c>
      <c r="AB281" s="51">
        <v>0</v>
      </c>
      <c r="AC281" s="21"/>
    </row>
    <row r="282" spans="1:29" ht="12.75">
      <c r="A282" s="21" t="s">
        <v>317</v>
      </c>
      <c r="B282" s="63" t="s">
        <v>339</v>
      </c>
      <c r="C282" s="64">
        <v>162557</v>
      </c>
      <c r="D282" s="65">
        <v>7</v>
      </c>
      <c r="E282" s="50">
        <v>16</v>
      </c>
      <c r="F282" s="50">
        <v>50009.3125</v>
      </c>
      <c r="G282" s="50">
        <v>25</v>
      </c>
      <c r="H282" s="50">
        <v>44181.24</v>
      </c>
      <c r="I282" s="50">
        <v>25</v>
      </c>
      <c r="J282" s="50">
        <v>38017.92</v>
      </c>
      <c r="K282" s="50">
        <v>2</v>
      </c>
      <c r="L282" s="50">
        <v>34531</v>
      </c>
      <c r="M282" s="50">
        <v>2</v>
      </c>
      <c r="N282" s="50">
        <v>29176</v>
      </c>
      <c r="O282" s="50">
        <v>0</v>
      </c>
      <c r="P282" s="51">
        <v>0</v>
      </c>
      <c r="Q282" s="36"/>
      <c r="R282" s="49"/>
      <c r="S282" s="50"/>
      <c r="T282" s="49"/>
      <c r="U282" s="50">
        <v>2</v>
      </c>
      <c r="V282" s="49">
        <v>51440</v>
      </c>
      <c r="W282" s="50"/>
      <c r="X282" s="49"/>
      <c r="Y282" s="50"/>
      <c r="Z282" s="56"/>
      <c r="AA282" s="52"/>
      <c r="AB282" s="51"/>
      <c r="AC282" s="21"/>
    </row>
    <row r="283" spans="1:29" ht="12.75">
      <c r="A283" s="21" t="s">
        <v>317</v>
      </c>
      <c r="B283" s="63" t="s">
        <v>340</v>
      </c>
      <c r="C283" s="64">
        <v>162609</v>
      </c>
      <c r="D283" s="65">
        <v>7</v>
      </c>
      <c r="E283" s="50">
        <v>8</v>
      </c>
      <c r="F283" s="50">
        <v>42167.25</v>
      </c>
      <c r="G283" s="50">
        <v>6</v>
      </c>
      <c r="H283" s="50">
        <v>36709</v>
      </c>
      <c r="I283" s="50">
        <v>3</v>
      </c>
      <c r="J283" s="50">
        <v>33696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1">
        <v>0</v>
      </c>
      <c r="Q283" s="36"/>
      <c r="R283" s="49"/>
      <c r="S283" s="50"/>
      <c r="T283" s="49"/>
      <c r="U283" s="50"/>
      <c r="V283" s="49"/>
      <c r="W283" s="50"/>
      <c r="X283" s="49"/>
      <c r="Y283" s="50"/>
      <c r="Z283" s="56"/>
      <c r="AA283" s="52"/>
      <c r="AB283" s="51"/>
      <c r="AC283" s="21"/>
    </row>
    <row r="284" spans="1:29" ht="12.75">
      <c r="A284" s="21" t="s">
        <v>317</v>
      </c>
      <c r="B284" s="63" t="s">
        <v>341</v>
      </c>
      <c r="C284" s="64">
        <v>162690</v>
      </c>
      <c r="D284" s="65">
        <v>7</v>
      </c>
      <c r="E284" s="50">
        <v>25</v>
      </c>
      <c r="F284" s="50">
        <v>50766.76</v>
      </c>
      <c r="G284" s="50">
        <v>13</v>
      </c>
      <c r="H284" s="50">
        <v>38257.3846153846</v>
      </c>
      <c r="I284" s="50">
        <v>9</v>
      </c>
      <c r="J284" s="50">
        <v>33468</v>
      </c>
      <c r="K284" s="50">
        <v>4</v>
      </c>
      <c r="L284" s="50">
        <v>28854.75</v>
      </c>
      <c r="M284" s="50">
        <v>0</v>
      </c>
      <c r="N284" s="50">
        <v>0</v>
      </c>
      <c r="O284" s="50">
        <v>0</v>
      </c>
      <c r="P284" s="51">
        <v>0</v>
      </c>
      <c r="Q284" s="36">
        <v>6</v>
      </c>
      <c r="R284" s="49">
        <v>62654.3333333333</v>
      </c>
      <c r="S284" s="50">
        <v>1</v>
      </c>
      <c r="T284" s="49">
        <v>47480</v>
      </c>
      <c r="U284" s="50"/>
      <c r="V284" s="49"/>
      <c r="W284" s="50"/>
      <c r="X284" s="49"/>
      <c r="Y284" s="50"/>
      <c r="Z284" s="56"/>
      <c r="AA284" s="52"/>
      <c r="AB284" s="51"/>
      <c r="AC284" s="21"/>
    </row>
    <row r="285" spans="1:29" ht="12.75">
      <c r="A285" s="21" t="s">
        <v>317</v>
      </c>
      <c r="B285" s="63" t="s">
        <v>342</v>
      </c>
      <c r="C285" s="64">
        <v>162706</v>
      </c>
      <c r="D285" s="65">
        <v>7</v>
      </c>
      <c r="E285" s="50">
        <v>13</v>
      </c>
      <c r="F285" s="50">
        <v>51947.0769230769</v>
      </c>
      <c r="G285" s="50">
        <v>35</v>
      </c>
      <c r="H285" s="50">
        <v>48096.1428571429</v>
      </c>
      <c r="I285" s="50">
        <v>15</v>
      </c>
      <c r="J285" s="50">
        <v>41815.4</v>
      </c>
      <c r="K285" s="50">
        <v>4</v>
      </c>
      <c r="L285" s="50">
        <v>34398.75</v>
      </c>
      <c r="M285" s="50">
        <v>6</v>
      </c>
      <c r="N285" s="50">
        <v>38190.6666666667</v>
      </c>
      <c r="O285" s="50">
        <v>0</v>
      </c>
      <c r="P285" s="51">
        <v>0</v>
      </c>
      <c r="Q285" s="36">
        <v>2</v>
      </c>
      <c r="R285" s="49">
        <v>53257.5</v>
      </c>
      <c r="S285" s="50">
        <v>2</v>
      </c>
      <c r="T285" s="49">
        <v>65791</v>
      </c>
      <c r="U285" s="50">
        <v>1</v>
      </c>
      <c r="V285" s="49">
        <v>51756</v>
      </c>
      <c r="W285" s="50">
        <v>3</v>
      </c>
      <c r="X285" s="49">
        <v>34776.3333333333</v>
      </c>
      <c r="Y285" s="50"/>
      <c r="Z285" s="56"/>
      <c r="AA285" s="52"/>
      <c r="AB285" s="51"/>
      <c r="AC285" s="21"/>
    </row>
    <row r="286" spans="1:29" ht="12.75">
      <c r="A286" s="21" t="s">
        <v>317</v>
      </c>
      <c r="B286" s="63" t="s">
        <v>343</v>
      </c>
      <c r="C286" s="64">
        <v>162799</v>
      </c>
      <c r="D286" s="65">
        <v>7</v>
      </c>
      <c r="E286" s="50">
        <v>25</v>
      </c>
      <c r="F286" s="50">
        <v>55960</v>
      </c>
      <c r="G286" s="50">
        <v>25</v>
      </c>
      <c r="H286" s="50">
        <v>45029.04</v>
      </c>
      <c r="I286" s="50">
        <v>13</v>
      </c>
      <c r="J286" s="50">
        <v>38848.6153846154</v>
      </c>
      <c r="K286" s="50">
        <v>7</v>
      </c>
      <c r="L286" s="50">
        <v>32839.4285714286</v>
      </c>
      <c r="M286" s="50">
        <v>3</v>
      </c>
      <c r="N286" s="50">
        <v>30162.6666666667</v>
      </c>
      <c r="O286" s="50">
        <v>0</v>
      </c>
      <c r="P286" s="51">
        <v>0</v>
      </c>
      <c r="Q286" s="36">
        <v>7</v>
      </c>
      <c r="R286" s="49">
        <v>70119.1428571429</v>
      </c>
      <c r="S286" s="50">
        <v>1</v>
      </c>
      <c r="T286" s="49">
        <v>63172</v>
      </c>
      <c r="U286" s="50">
        <v>1</v>
      </c>
      <c r="V286" s="49">
        <v>58932</v>
      </c>
      <c r="W286" s="50">
        <v>3</v>
      </c>
      <c r="X286" s="49">
        <v>43112</v>
      </c>
      <c r="Y286" s="50"/>
      <c r="Z286" s="56"/>
      <c r="AA286" s="52"/>
      <c r="AB286" s="51"/>
      <c r="AC286" s="21"/>
    </row>
    <row r="287" spans="1:29" ht="12.75">
      <c r="A287" s="21" t="s">
        <v>317</v>
      </c>
      <c r="B287" s="67" t="s">
        <v>344</v>
      </c>
      <c r="C287" s="64">
        <v>163444</v>
      </c>
      <c r="D287" s="65">
        <v>7</v>
      </c>
      <c r="E287" s="50">
        <v>37</v>
      </c>
      <c r="F287" s="50">
        <v>57537.8378378378</v>
      </c>
      <c r="G287" s="50">
        <v>14</v>
      </c>
      <c r="H287" s="50">
        <v>48515.4285714286</v>
      </c>
      <c r="I287" s="50">
        <v>10</v>
      </c>
      <c r="J287" s="50">
        <v>42391.8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1">
        <v>0</v>
      </c>
      <c r="Q287" s="36"/>
      <c r="R287" s="49"/>
      <c r="S287" s="50"/>
      <c r="T287" s="49"/>
      <c r="U287" s="50"/>
      <c r="V287" s="49"/>
      <c r="W287" s="50"/>
      <c r="X287" s="49"/>
      <c r="Y287" s="50"/>
      <c r="Z287" s="56"/>
      <c r="AA287" s="52"/>
      <c r="AB287" s="51"/>
      <c r="AC287" s="21"/>
    </row>
    <row r="288" spans="1:29" ht="12.75">
      <c r="A288" s="21" t="s">
        <v>317</v>
      </c>
      <c r="B288" s="63" t="s">
        <v>345</v>
      </c>
      <c r="C288" s="64">
        <v>163426</v>
      </c>
      <c r="D288" s="65">
        <v>7</v>
      </c>
      <c r="E288" s="50">
        <v>146</v>
      </c>
      <c r="F288" s="50">
        <v>59784.0342465753</v>
      </c>
      <c r="G288" s="50">
        <v>55</v>
      </c>
      <c r="H288" s="50">
        <v>49288.8545454545</v>
      </c>
      <c r="I288" s="50">
        <v>32</v>
      </c>
      <c r="J288" s="50">
        <v>41362.53125</v>
      </c>
      <c r="K288" s="50">
        <v>8</v>
      </c>
      <c r="L288" s="50">
        <v>35175</v>
      </c>
      <c r="M288" s="50">
        <v>0</v>
      </c>
      <c r="N288" s="50">
        <v>0</v>
      </c>
      <c r="O288" s="50">
        <v>0</v>
      </c>
      <c r="P288" s="51">
        <v>0</v>
      </c>
      <c r="Q288" s="36"/>
      <c r="R288" s="49"/>
      <c r="S288" s="50"/>
      <c r="T288" s="49"/>
      <c r="U288" s="50"/>
      <c r="V288" s="49"/>
      <c r="W288" s="50"/>
      <c r="X288" s="49"/>
      <c r="Y288" s="50"/>
      <c r="Z288" s="56"/>
      <c r="AA288" s="52"/>
      <c r="AB288" s="51"/>
      <c r="AC288" s="21"/>
    </row>
    <row r="289" spans="1:29" ht="12.75">
      <c r="A289" s="21" t="s">
        <v>317</v>
      </c>
      <c r="B289" s="63" t="s">
        <v>346</v>
      </c>
      <c r="C289" s="64">
        <v>163435</v>
      </c>
      <c r="D289" s="65">
        <v>7</v>
      </c>
      <c r="E289" s="50">
        <v>50</v>
      </c>
      <c r="F289" s="50">
        <v>58311.02</v>
      </c>
      <c r="G289" s="50">
        <v>19</v>
      </c>
      <c r="H289" s="50">
        <v>48911.4736842105</v>
      </c>
      <c r="I289" s="50">
        <v>9</v>
      </c>
      <c r="J289" s="50">
        <v>48766.3333333333</v>
      </c>
      <c r="K289" s="50">
        <v>2</v>
      </c>
      <c r="L289" s="50">
        <v>40857.5</v>
      </c>
      <c r="M289" s="50">
        <v>0</v>
      </c>
      <c r="N289" s="50">
        <v>0</v>
      </c>
      <c r="O289" s="50">
        <v>0</v>
      </c>
      <c r="P289" s="51">
        <v>0</v>
      </c>
      <c r="Q289" s="36"/>
      <c r="R289" s="49"/>
      <c r="S289" s="50"/>
      <c r="T289" s="49"/>
      <c r="U289" s="50"/>
      <c r="V289" s="49"/>
      <c r="W289" s="50"/>
      <c r="X289" s="49"/>
      <c r="Y289" s="50"/>
      <c r="Z289" s="56"/>
      <c r="AA289" s="52"/>
      <c r="AB289" s="51"/>
      <c r="AC289" s="21"/>
    </row>
    <row r="290" spans="1:29" ht="12.75">
      <c r="A290" s="21" t="s">
        <v>317</v>
      </c>
      <c r="B290" s="63" t="s">
        <v>347</v>
      </c>
      <c r="C290" s="64">
        <v>163657</v>
      </c>
      <c r="D290" s="65">
        <v>7</v>
      </c>
      <c r="E290" s="50">
        <v>104</v>
      </c>
      <c r="F290" s="50">
        <v>57550.6730769231</v>
      </c>
      <c r="G290" s="50">
        <v>70</v>
      </c>
      <c r="H290" s="50">
        <v>45449.5285714286</v>
      </c>
      <c r="I290" s="50">
        <v>32</v>
      </c>
      <c r="J290" s="50">
        <v>37252.375</v>
      </c>
      <c r="K290" s="50">
        <v>7</v>
      </c>
      <c r="L290" s="50">
        <v>33064.2857142857</v>
      </c>
      <c r="M290" s="50">
        <v>0</v>
      </c>
      <c r="N290" s="50">
        <v>0</v>
      </c>
      <c r="O290" s="50">
        <v>0</v>
      </c>
      <c r="P290" s="51">
        <v>0</v>
      </c>
      <c r="Q290" s="36"/>
      <c r="R290" s="49"/>
      <c r="S290" s="50"/>
      <c r="T290" s="49"/>
      <c r="U290" s="50"/>
      <c r="V290" s="49"/>
      <c r="W290" s="50"/>
      <c r="X290" s="49"/>
      <c r="Y290" s="50"/>
      <c r="Z290" s="56"/>
      <c r="AA290" s="52"/>
      <c r="AB290" s="51"/>
      <c r="AC290" s="21"/>
    </row>
    <row r="291" spans="1:29" ht="12.75">
      <c r="A291" s="21" t="s">
        <v>317</v>
      </c>
      <c r="B291" s="63" t="s">
        <v>348</v>
      </c>
      <c r="C291" s="64">
        <v>164313</v>
      </c>
      <c r="D291" s="65">
        <v>7</v>
      </c>
      <c r="E291" s="50">
        <v>4</v>
      </c>
      <c r="F291" s="50">
        <v>56237.25</v>
      </c>
      <c r="G291" s="50">
        <v>5</v>
      </c>
      <c r="H291" s="50">
        <v>44838</v>
      </c>
      <c r="I291" s="50">
        <v>15</v>
      </c>
      <c r="J291" s="50">
        <v>41056.9333333333</v>
      </c>
      <c r="K291" s="50">
        <v>10</v>
      </c>
      <c r="L291" s="50">
        <v>33106.3</v>
      </c>
      <c r="M291" s="50">
        <v>0</v>
      </c>
      <c r="N291" s="50">
        <v>0</v>
      </c>
      <c r="O291" s="50">
        <v>0</v>
      </c>
      <c r="P291" s="51">
        <v>0</v>
      </c>
      <c r="Q291" s="36"/>
      <c r="R291" s="49"/>
      <c r="S291" s="50">
        <v>1</v>
      </c>
      <c r="T291" s="49">
        <v>57780</v>
      </c>
      <c r="U291" s="50">
        <v>3</v>
      </c>
      <c r="V291" s="49">
        <v>49714.6666666667</v>
      </c>
      <c r="W291" s="50"/>
      <c r="X291" s="49"/>
      <c r="Y291" s="50"/>
      <c r="Z291" s="56"/>
      <c r="AA291" s="52"/>
      <c r="AB291" s="51"/>
      <c r="AC291" s="21"/>
    </row>
    <row r="292" spans="1:29" ht="12.75">
      <c r="A292" s="21" t="s">
        <v>349</v>
      </c>
      <c r="B292" s="21" t="s">
        <v>350</v>
      </c>
      <c r="C292" s="22">
        <v>176080</v>
      </c>
      <c r="D292" s="40">
        <v>1</v>
      </c>
      <c r="E292" s="21">
        <f>128+23</f>
        <v>151</v>
      </c>
      <c r="F292" s="49">
        <f>(7791618+1193915)/E292</f>
        <v>59506.84105960265</v>
      </c>
      <c r="G292" s="50">
        <f>101+39</f>
        <v>140</v>
      </c>
      <c r="H292" s="49">
        <f>(5012628+1775172)/G292</f>
        <v>48484.28571428572</v>
      </c>
      <c r="I292" s="50">
        <f>94+53</f>
        <v>147</v>
      </c>
      <c r="J292" s="49">
        <f>(4167896+2036662)/I292</f>
        <v>42207.87755102041</v>
      </c>
      <c r="K292" s="50">
        <f>15+28</f>
        <v>43</v>
      </c>
      <c r="L292" s="49">
        <f>(462410+698293)/K292</f>
        <v>26993.093023255813</v>
      </c>
      <c r="M292" s="50">
        <f>26+34</f>
        <v>60</v>
      </c>
      <c r="N292" s="49">
        <f>(537305+850350)/M292</f>
        <v>23127.583333333332</v>
      </c>
      <c r="O292" s="23"/>
      <c r="P292" s="26"/>
      <c r="Q292" s="25">
        <f>126+12</f>
        <v>138</v>
      </c>
      <c r="R292" s="23">
        <f>(9803235+881298)/Q292</f>
        <v>77424.15217391304</v>
      </c>
      <c r="S292" s="23">
        <f>60+9</f>
        <v>69</v>
      </c>
      <c r="T292" s="23">
        <f>(3683375+528074)/S292</f>
        <v>61035.49275362319</v>
      </c>
      <c r="U292" s="23">
        <f>32+25</f>
        <v>57</v>
      </c>
      <c r="V292" s="23">
        <f>(1630257+1270071)/U292</f>
        <v>50882.94736842105</v>
      </c>
      <c r="W292" s="23">
        <f>12+5</f>
        <v>17</v>
      </c>
      <c r="X292" s="23">
        <f>(476367+190157)/W292</f>
        <v>39207.294117647056</v>
      </c>
      <c r="Y292" s="23">
        <v>0</v>
      </c>
      <c r="Z292" s="26">
        <v>0</v>
      </c>
      <c r="AA292" s="38"/>
      <c r="AB292" s="26"/>
      <c r="AC292" s="21"/>
    </row>
    <row r="293" spans="1:29" ht="12.75">
      <c r="A293" s="21" t="s">
        <v>349</v>
      </c>
      <c r="B293" s="21" t="s">
        <v>351</v>
      </c>
      <c r="C293" s="22">
        <v>176017</v>
      </c>
      <c r="D293" s="40">
        <v>2</v>
      </c>
      <c r="E293" s="21">
        <f>83+9</f>
        <v>92</v>
      </c>
      <c r="F293" s="49">
        <f>(5197273+549207)/E293</f>
        <v>62461.739130434784</v>
      </c>
      <c r="G293" s="50">
        <f>99+29</f>
        <v>128</v>
      </c>
      <c r="H293" s="49">
        <f>(4987691+1338307)/G293</f>
        <v>49421.859375</v>
      </c>
      <c r="I293" s="50">
        <f>66+51</f>
        <v>117</v>
      </c>
      <c r="J293" s="49">
        <f>(2863756+1913024)/I293</f>
        <v>40827.179487179485</v>
      </c>
      <c r="K293" s="50">
        <f>9+18</f>
        <v>27</v>
      </c>
      <c r="L293" s="49">
        <f>(252369+471665)/K293</f>
        <v>26816.074074074073</v>
      </c>
      <c r="M293" s="50">
        <v>2</v>
      </c>
      <c r="N293" s="49">
        <f>43521/M293</f>
        <v>21760.5</v>
      </c>
      <c r="O293" s="23"/>
      <c r="P293" s="26"/>
      <c r="Q293" s="25">
        <f>33+2</f>
        <v>35</v>
      </c>
      <c r="R293" s="23">
        <f>(2779764+132355)/Q293</f>
        <v>83203.4</v>
      </c>
      <c r="S293" s="23">
        <f>19+6</f>
        <v>25</v>
      </c>
      <c r="T293" s="23">
        <f>(1186612+346278)/S293</f>
        <v>61315.6</v>
      </c>
      <c r="U293" s="23">
        <f>19+10</f>
        <v>29</v>
      </c>
      <c r="V293" s="23">
        <f>(994750+539514)/U293</f>
        <v>52905.65517241379</v>
      </c>
      <c r="W293" s="23">
        <v>1</v>
      </c>
      <c r="X293" s="23">
        <v>45960</v>
      </c>
      <c r="Y293" s="23">
        <v>0</v>
      </c>
      <c r="Z293" s="26">
        <v>0</v>
      </c>
      <c r="AA293" s="38"/>
      <c r="AB293" s="26"/>
      <c r="AC293" s="21"/>
    </row>
    <row r="294" spans="1:41" ht="12.75">
      <c r="A294" s="21" t="s">
        <v>349</v>
      </c>
      <c r="B294" s="21" t="s">
        <v>352</v>
      </c>
      <c r="C294" s="22">
        <v>176372</v>
      </c>
      <c r="D294" s="40">
        <v>2</v>
      </c>
      <c r="E294" s="21">
        <f>155+23</f>
        <v>178</v>
      </c>
      <c r="F294" s="49">
        <f>(9978792+1356971)/E294</f>
        <v>63684.06179775281</v>
      </c>
      <c r="G294" s="50">
        <f>93+47</f>
        <v>140</v>
      </c>
      <c r="H294" s="49">
        <f>(4661220+2199906)/G294</f>
        <v>49008.04285714286</v>
      </c>
      <c r="I294" s="50">
        <f>82+74</f>
        <v>156</v>
      </c>
      <c r="J294" s="49">
        <f>(3386916+2802015)/I294</f>
        <v>39672.63461538462</v>
      </c>
      <c r="K294" s="50">
        <f>26+51</f>
        <v>77</v>
      </c>
      <c r="L294" s="49">
        <f>(804384+1671966)/K294</f>
        <v>32160.38961038961</v>
      </c>
      <c r="M294" s="50">
        <v>0</v>
      </c>
      <c r="N294" s="49">
        <v>0</v>
      </c>
      <c r="O294" s="28"/>
      <c r="P294" s="24"/>
      <c r="Q294" s="25">
        <f>21+6</f>
        <v>27</v>
      </c>
      <c r="R294" s="23">
        <f>(1682820+471840)/Q294</f>
        <v>79802.22222222222</v>
      </c>
      <c r="S294" s="23">
        <f>13+13</f>
        <v>26</v>
      </c>
      <c r="T294" s="23">
        <f>(761028+803208)/S294</f>
        <v>60162.92307692308</v>
      </c>
      <c r="U294" s="23">
        <f>1+1</f>
        <v>2</v>
      </c>
      <c r="V294" s="23">
        <f>(50016+47712)/U294</f>
        <v>48864</v>
      </c>
      <c r="W294" s="23">
        <f>1+4</f>
        <v>5</v>
      </c>
      <c r="X294" s="23">
        <f>(38004+156600)/W294</f>
        <v>38920.8</v>
      </c>
      <c r="Y294" s="23">
        <v>0</v>
      </c>
      <c r="Z294" s="26">
        <v>0</v>
      </c>
      <c r="AA294" s="35"/>
      <c r="AB294" s="24"/>
      <c r="AC294" s="2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</row>
    <row r="295" spans="1:41" ht="12.75">
      <c r="A295" s="21" t="s">
        <v>349</v>
      </c>
      <c r="B295" s="21" t="s">
        <v>353</v>
      </c>
      <c r="C295" s="22">
        <v>175856</v>
      </c>
      <c r="D295" s="40">
        <v>3</v>
      </c>
      <c r="E295" s="21">
        <f>33+17</f>
        <v>50</v>
      </c>
      <c r="F295" s="49">
        <f>(1730979+776627)/E295</f>
        <v>50152.12</v>
      </c>
      <c r="G295" s="50">
        <f>37+26</f>
        <v>63</v>
      </c>
      <c r="H295" s="49">
        <f>(1702095+1128722)/G295</f>
        <v>44933.60317460317</v>
      </c>
      <c r="I295" s="50">
        <f>63+42</f>
        <v>105</v>
      </c>
      <c r="J295" s="49">
        <f>(2525025+1530909)/I295</f>
        <v>38627.94285714286</v>
      </c>
      <c r="K295" s="50">
        <f>16+27</f>
        <v>43</v>
      </c>
      <c r="L295" s="49">
        <f>(467334+798219)/K295</f>
        <v>29431.46511627907</v>
      </c>
      <c r="M295" s="50">
        <v>0</v>
      </c>
      <c r="N295" s="49">
        <v>0</v>
      </c>
      <c r="O295" s="28"/>
      <c r="P295" s="24"/>
      <c r="Q295" s="25">
        <f>11+6</f>
        <v>17</v>
      </c>
      <c r="R295" s="23">
        <f>(773987+398025)/Q295</f>
        <v>68941.88235294117</v>
      </c>
      <c r="S295" s="23">
        <f>12+5</f>
        <v>17</v>
      </c>
      <c r="T295" s="23">
        <f>(746273+330652)/S295</f>
        <v>63348.529411764706</v>
      </c>
      <c r="U295" s="23">
        <f>4+5</f>
        <v>9</v>
      </c>
      <c r="V295" s="23">
        <f>(236667+243086)/U295</f>
        <v>53305.88888888889</v>
      </c>
      <c r="W295" s="23">
        <f>9+2</f>
        <v>11</v>
      </c>
      <c r="X295" s="23">
        <f>(412545+68696)/W295</f>
        <v>43749.181818181816</v>
      </c>
      <c r="Y295" s="23">
        <v>0</v>
      </c>
      <c r="Z295" s="26">
        <v>0</v>
      </c>
      <c r="AA295" s="35"/>
      <c r="AB295" s="24"/>
      <c r="AC295" s="2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</row>
    <row r="296" spans="1:41" ht="12.75">
      <c r="A296" s="21" t="s">
        <v>349</v>
      </c>
      <c r="B296" s="21" t="s">
        <v>354</v>
      </c>
      <c r="C296" s="22">
        <v>175342</v>
      </c>
      <c r="D296" s="40">
        <v>5</v>
      </c>
      <c r="E296" s="21">
        <f>22+12</f>
        <v>34</v>
      </c>
      <c r="F296" s="49">
        <f>(1033766+578676)/E296</f>
        <v>47424.76470588235</v>
      </c>
      <c r="G296" s="50">
        <f>16+1</f>
        <v>17</v>
      </c>
      <c r="H296" s="49">
        <f>(669464+51866)/G296</f>
        <v>42431.17647058824</v>
      </c>
      <c r="I296" s="50">
        <f>17+20</f>
        <v>37</v>
      </c>
      <c r="J296" s="49">
        <f>(699892+767761)/I296</f>
        <v>39666.2972972973</v>
      </c>
      <c r="K296" s="50">
        <f>15+30</f>
        <v>45</v>
      </c>
      <c r="L296" s="49">
        <f>(438386+840788)/K296</f>
        <v>28426.088888888888</v>
      </c>
      <c r="M296" s="50">
        <v>0</v>
      </c>
      <c r="N296" s="49">
        <v>0</v>
      </c>
      <c r="O296" s="28"/>
      <c r="P296" s="24"/>
      <c r="Q296" s="25">
        <f>4+2</f>
        <v>6</v>
      </c>
      <c r="R296" s="23">
        <f>(240396+132208)/Q296</f>
        <v>62100.666666666664</v>
      </c>
      <c r="S296" s="23">
        <f>5+3</f>
        <v>8</v>
      </c>
      <c r="T296" s="23">
        <f>(265874+164333)/S296</f>
        <v>53775.875</v>
      </c>
      <c r="U296" s="23">
        <f>4+4</f>
        <v>8</v>
      </c>
      <c r="V296" s="23">
        <f>(196058+194409)/U296</f>
        <v>48808.375</v>
      </c>
      <c r="W296" s="23">
        <v>4</v>
      </c>
      <c r="X296" s="23">
        <f>144490/W296</f>
        <v>36122.5</v>
      </c>
      <c r="Y296" s="23">
        <v>0</v>
      </c>
      <c r="Z296" s="26">
        <v>0</v>
      </c>
      <c r="AA296" s="35"/>
      <c r="AB296" s="24"/>
      <c r="AC296" s="2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</row>
    <row r="297" spans="1:41" ht="12.75">
      <c r="A297" s="21" t="s">
        <v>349</v>
      </c>
      <c r="B297" s="21" t="s">
        <v>355</v>
      </c>
      <c r="C297" s="22">
        <v>175616</v>
      </c>
      <c r="D297" s="40">
        <v>5</v>
      </c>
      <c r="E297" s="21">
        <f>43+14</f>
        <v>57</v>
      </c>
      <c r="F297" s="49">
        <f>(2078350+655105)/E297</f>
        <v>47955.350877192985</v>
      </c>
      <c r="G297" s="50">
        <f>19+12</f>
        <v>31</v>
      </c>
      <c r="H297" s="49">
        <f>(787065+477545)/G297</f>
        <v>40793.87096774193</v>
      </c>
      <c r="I297" s="50">
        <f>31+25</f>
        <v>56</v>
      </c>
      <c r="J297" s="49">
        <f>(1198785+923221)/I297</f>
        <v>37892.96428571428</v>
      </c>
      <c r="K297" s="50">
        <f>5+14</f>
        <v>19</v>
      </c>
      <c r="L297" s="49">
        <f>(166955+408803)/K297</f>
        <v>30303.052631578947</v>
      </c>
      <c r="M297" s="50">
        <v>0</v>
      </c>
      <c r="N297" s="49">
        <v>0</v>
      </c>
      <c r="O297" s="21"/>
      <c r="P297" s="32"/>
      <c r="Q297" s="25">
        <f>11+6</f>
        <v>17</v>
      </c>
      <c r="R297" s="23">
        <v>62529</v>
      </c>
      <c r="S297" s="23">
        <v>1</v>
      </c>
      <c r="T297" s="23">
        <v>50000</v>
      </c>
      <c r="U297" s="23">
        <f>1+1</f>
        <v>2</v>
      </c>
      <c r="V297" s="23">
        <f>(41350+51000)/U297</f>
        <v>46175</v>
      </c>
      <c r="W297" s="23">
        <v>4</v>
      </c>
      <c r="X297" s="23">
        <f>161205/W297</f>
        <v>40301.25</v>
      </c>
      <c r="Y297" s="23">
        <v>0</v>
      </c>
      <c r="Z297" s="26">
        <v>0</v>
      </c>
      <c r="AA297" s="27"/>
      <c r="AB297" s="32"/>
      <c r="AC297" s="2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</row>
    <row r="298" spans="1:41" ht="12.75">
      <c r="A298" s="21" t="s">
        <v>349</v>
      </c>
      <c r="B298" s="29" t="s">
        <v>356</v>
      </c>
      <c r="C298" s="30">
        <v>176035</v>
      </c>
      <c r="D298" s="43">
        <v>6</v>
      </c>
      <c r="E298" s="21">
        <f>10+8</f>
        <v>18</v>
      </c>
      <c r="F298" s="49">
        <f>(453312+369038)/E298</f>
        <v>45686.11111111111</v>
      </c>
      <c r="G298" s="50">
        <f>8+4</f>
        <v>12</v>
      </c>
      <c r="H298" s="49">
        <f>(307768+162936)/G298</f>
        <v>39225.333333333336</v>
      </c>
      <c r="I298" s="50">
        <f>22+32</f>
        <v>54</v>
      </c>
      <c r="J298" s="49">
        <f>(778958+1148040)/I298</f>
        <v>35685.148148148146</v>
      </c>
      <c r="K298" s="50">
        <f>4+17</f>
        <v>21</v>
      </c>
      <c r="L298" s="49">
        <f>(107673+582337)/K298</f>
        <v>32857.619047619046</v>
      </c>
      <c r="M298" s="50">
        <v>0</v>
      </c>
      <c r="N298" s="49">
        <v>0</v>
      </c>
      <c r="O298" s="23"/>
      <c r="P298" s="26"/>
      <c r="Q298" s="25">
        <f>3+6</f>
        <v>9</v>
      </c>
      <c r="R298" s="23">
        <f>(192706+364229)/Q298</f>
        <v>61881.666666666664</v>
      </c>
      <c r="S298" s="23">
        <f>1+6</f>
        <v>7</v>
      </c>
      <c r="T298" s="23">
        <f>(47029+274930)/S298</f>
        <v>45994.142857142855</v>
      </c>
      <c r="U298" s="23">
        <f>2+5</f>
        <v>7</v>
      </c>
      <c r="V298" s="23">
        <f>(92088+238961)/U298</f>
        <v>47292.71428571428</v>
      </c>
      <c r="W298" s="23">
        <v>1</v>
      </c>
      <c r="X298" s="23">
        <v>51929</v>
      </c>
      <c r="Y298" s="23">
        <v>0</v>
      </c>
      <c r="Z298" s="26">
        <v>0</v>
      </c>
      <c r="AA298" s="38"/>
      <c r="AB298" s="26"/>
      <c r="AC298" s="2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</row>
    <row r="299" spans="1:41" ht="12.75">
      <c r="A299" s="21" t="s">
        <v>349</v>
      </c>
      <c r="B299" s="21" t="s">
        <v>357</v>
      </c>
      <c r="C299" s="22">
        <v>176044</v>
      </c>
      <c r="D299" s="40">
        <v>6</v>
      </c>
      <c r="E299" s="21">
        <f>18+5</f>
        <v>23</v>
      </c>
      <c r="F299" s="49">
        <f>(821340+223455)/E299</f>
        <v>45425.86956521739</v>
      </c>
      <c r="G299" s="50">
        <f>14+1</f>
        <v>15</v>
      </c>
      <c r="H299" s="49">
        <f>(603344+40800)/G299</f>
        <v>42942.933333333334</v>
      </c>
      <c r="I299" s="50">
        <f>39+22</f>
        <v>61</v>
      </c>
      <c r="J299" s="49">
        <f>(1207325+734069)/I299</f>
        <v>31826.131147540982</v>
      </c>
      <c r="K299" s="50">
        <f>11+8</f>
        <v>19</v>
      </c>
      <c r="L299" s="49">
        <f>(323858+245250)/K299</f>
        <v>29953.052631578947</v>
      </c>
      <c r="M299" s="50">
        <v>0</v>
      </c>
      <c r="N299" s="49">
        <v>0</v>
      </c>
      <c r="O299" s="23"/>
      <c r="P299" s="26"/>
      <c r="Q299" s="25">
        <v>0</v>
      </c>
      <c r="R299" s="23">
        <v>0</v>
      </c>
      <c r="S299" s="23">
        <v>0</v>
      </c>
      <c r="T299" s="23">
        <v>0</v>
      </c>
      <c r="U299" s="23">
        <v>2</v>
      </c>
      <c r="V299" s="23">
        <f>84246/U299</f>
        <v>42123</v>
      </c>
      <c r="W299" s="23">
        <v>0</v>
      </c>
      <c r="X299" s="23">
        <v>0</v>
      </c>
      <c r="Y299" s="23">
        <v>0</v>
      </c>
      <c r="Z299" s="24">
        <v>0</v>
      </c>
      <c r="AA299" s="38"/>
      <c r="AB299" s="26"/>
      <c r="AC299" s="2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</row>
    <row r="300" spans="1:41" ht="12.75">
      <c r="A300" s="21" t="s">
        <v>349</v>
      </c>
      <c r="B300" s="21" t="s">
        <v>358</v>
      </c>
      <c r="C300" s="22">
        <v>175519</v>
      </c>
      <c r="D300" s="22">
        <v>7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3"/>
      <c r="O300" s="21">
        <v>31.6</v>
      </c>
      <c r="P300" s="51">
        <v>29233</v>
      </c>
      <c r="Q300" s="34"/>
      <c r="R300" s="28"/>
      <c r="S300" s="23"/>
      <c r="T300" s="23"/>
      <c r="U300" s="23"/>
      <c r="V300" s="23"/>
      <c r="W300" s="23"/>
      <c r="X300" s="23"/>
      <c r="Y300" s="23"/>
      <c r="Z300" s="26"/>
      <c r="AA300" s="27">
        <v>25.5</v>
      </c>
      <c r="AB300" s="51">
        <v>30326</v>
      </c>
      <c r="AC300" s="2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</row>
    <row r="301" spans="1:41" ht="12.75">
      <c r="A301" s="21" t="s">
        <v>349</v>
      </c>
      <c r="B301" s="21" t="s">
        <v>359</v>
      </c>
      <c r="C301" s="22">
        <v>175573</v>
      </c>
      <c r="D301" s="22">
        <v>7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3"/>
      <c r="O301" s="21">
        <v>99.4</v>
      </c>
      <c r="P301" s="51">
        <v>36887</v>
      </c>
      <c r="Q301" s="34"/>
      <c r="R301" s="28"/>
      <c r="S301" s="23"/>
      <c r="T301" s="23"/>
      <c r="U301" s="23"/>
      <c r="V301" s="23"/>
      <c r="W301" s="23"/>
      <c r="X301" s="23"/>
      <c r="Y301" s="23"/>
      <c r="Z301" s="26"/>
      <c r="AA301" s="27">
        <v>0</v>
      </c>
      <c r="AB301" s="51">
        <v>0</v>
      </c>
      <c r="AC301" s="2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</row>
    <row r="302" spans="1:41" ht="12.75">
      <c r="A302" s="21" t="s">
        <v>349</v>
      </c>
      <c r="B302" s="21" t="s">
        <v>360</v>
      </c>
      <c r="C302" s="22">
        <v>175643</v>
      </c>
      <c r="D302" s="22">
        <v>7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3"/>
      <c r="O302" s="21">
        <v>61</v>
      </c>
      <c r="P302" s="51">
        <v>37745</v>
      </c>
      <c r="Q302" s="34"/>
      <c r="R302" s="28"/>
      <c r="S302" s="23"/>
      <c r="T302" s="23"/>
      <c r="U302" s="23"/>
      <c r="V302" s="23"/>
      <c r="W302" s="23"/>
      <c r="X302" s="23"/>
      <c r="Y302" s="23"/>
      <c r="Z302" s="26"/>
      <c r="AA302" s="27">
        <v>5</v>
      </c>
      <c r="AB302" s="51">
        <v>54731</v>
      </c>
      <c r="AC302" s="2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</row>
    <row r="303" spans="1:41" ht="12.75">
      <c r="A303" s="21" t="s">
        <v>349</v>
      </c>
      <c r="B303" s="21" t="s">
        <v>361</v>
      </c>
      <c r="C303" s="22">
        <v>175652</v>
      </c>
      <c r="D303" s="22">
        <v>7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3"/>
      <c r="O303" s="21">
        <v>47.3</v>
      </c>
      <c r="P303" s="51">
        <v>34608</v>
      </c>
      <c r="Q303" s="34"/>
      <c r="R303" s="28"/>
      <c r="S303" s="23"/>
      <c r="T303" s="23"/>
      <c r="U303" s="23"/>
      <c r="V303" s="23"/>
      <c r="W303" s="23"/>
      <c r="X303" s="23"/>
      <c r="Y303" s="23"/>
      <c r="Z303" s="26"/>
      <c r="AA303" s="27">
        <v>15.5</v>
      </c>
      <c r="AB303" s="51">
        <v>37728</v>
      </c>
      <c r="AC303" s="2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</row>
    <row r="304" spans="1:41" ht="12.75">
      <c r="A304" s="21" t="s">
        <v>349</v>
      </c>
      <c r="B304" s="21" t="s">
        <v>362</v>
      </c>
      <c r="C304" s="22">
        <v>175786</v>
      </c>
      <c r="D304" s="22">
        <v>7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1">
        <v>303.9</v>
      </c>
      <c r="P304" s="51">
        <v>37949</v>
      </c>
      <c r="Q304" s="34"/>
      <c r="R304" s="28"/>
      <c r="S304" s="23"/>
      <c r="T304" s="23"/>
      <c r="U304" s="23"/>
      <c r="V304" s="23"/>
      <c r="W304" s="23"/>
      <c r="X304" s="23"/>
      <c r="Y304" s="23"/>
      <c r="Z304" s="26"/>
      <c r="AA304" s="27">
        <v>76</v>
      </c>
      <c r="AB304" s="51">
        <v>38357</v>
      </c>
      <c r="AC304" s="2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</row>
    <row r="305" spans="1:41" ht="12.75">
      <c r="A305" s="21" t="s">
        <v>349</v>
      </c>
      <c r="B305" s="21" t="s">
        <v>363</v>
      </c>
      <c r="C305" s="22">
        <v>175810</v>
      </c>
      <c r="D305" s="22">
        <v>7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1">
        <v>74</v>
      </c>
      <c r="P305" s="51">
        <v>35246</v>
      </c>
      <c r="Q305" s="34"/>
      <c r="R305" s="28"/>
      <c r="S305" s="23"/>
      <c r="T305" s="23"/>
      <c r="U305" s="23"/>
      <c r="V305" s="23"/>
      <c r="W305" s="23"/>
      <c r="X305" s="23"/>
      <c r="Y305" s="23"/>
      <c r="Z305" s="26"/>
      <c r="AA305" s="27">
        <v>40.4</v>
      </c>
      <c r="AB305" s="51">
        <v>39568</v>
      </c>
      <c r="AC305" s="2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</row>
    <row r="306" spans="1:41" ht="12.75">
      <c r="A306" s="21" t="s">
        <v>349</v>
      </c>
      <c r="B306" s="21" t="s">
        <v>364</v>
      </c>
      <c r="C306" s="22">
        <v>175829</v>
      </c>
      <c r="D306" s="22">
        <v>7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1">
        <v>80</v>
      </c>
      <c r="P306" s="51">
        <v>37966</v>
      </c>
      <c r="Q306" s="34"/>
      <c r="R306" s="28"/>
      <c r="S306" s="23"/>
      <c r="T306" s="23"/>
      <c r="U306" s="23"/>
      <c r="V306" s="23"/>
      <c r="W306" s="23"/>
      <c r="X306" s="23"/>
      <c r="Y306" s="23"/>
      <c r="Z306" s="26"/>
      <c r="AA306" s="27">
        <v>44</v>
      </c>
      <c r="AB306" s="51">
        <v>46675</v>
      </c>
      <c r="AC306" s="2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</row>
    <row r="307" spans="1:41" ht="12.75">
      <c r="A307" s="21" t="s">
        <v>349</v>
      </c>
      <c r="B307" s="21" t="s">
        <v>365</v>
      </c>
      <c r="C307" s="22">
        <v>175883</v>
      </c>
      <c r="D307" s="22">
        <v>7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1">
        <v>150</v>
      </c>
      <c r="P307" s="51">
        <v>41562</v>
      </c>
      <c r="Q307" s="34"/>
      <c r="R307" s="28"/>
      <c r="S307" s="23"/>
      <c r="T307" s="23"/>
      <c r="U307" s="23"/>
      <c r="V307" s="23"/>
      <c r="W307" s="23"/>
      <c r="X307" s="23"/>
      <c r="Y307" s="23"/>
      <c r="Z307" s="26"/>
      <c r="AA307" s="27">
        <v>16.5</v>
      </c>
      <c r="AB307" s="51">
        <v>43961</v>
      </c>
      <c r="AC307" s="2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</row>
    <row r="308" spans="1:41" ht="12.75">
      <c r="A308" s="21" t="s">
        <v>349</v>
      </c>
      <c r="B308" s="21" t="s">
        <v>366</v>
      </c>
      <c r="C308" s="22">
        <v>175935</v>
      </c>
      <c r="D308" s="22">
        <v>7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1">
        <v>63.5</v>
      </c>
      <c r="P308" s="51">
        <v>37406</v>
      </c>
      <c r="Q308" s="34"/>
      <c r="R308" s="28"/>
      <c r="S308" s="23"/>
      <c r="T308" s="23"/>
      <c r="U308" s="23"/>
      <c r="V308" s="23"/>
      <c r="W308" s="23"/>
      <c r="X308" s="23"/>
      <c r="Y308" s="23"/>
      <c r="Z308" s="26"/>
      <c r="AA308" s="27">
        <v>50.6</v>
      </c>
      <c r="AB308" s="51">
        <v>39580</v>
      </c>
      <c r="AC308" s="2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</row>
    <row r="309" spans="1:41" ht="12.75">
      <c r="A309" s="21" t="s">
        <v>349</v>
      </c>
      <c r="B309" s="21" t="s">
        <v>367</v>
      </c>
      <c r="C309" s="22">
        <v>176008</v>
      </c>
      <c r="D309" s="22">
        <v>7</v>
      </c>
      <c r="E309" s="28"/>
      <c r="F309" s="28"/>
      <c r="G309" s="28"/>
      <c r="H309" s="28"/>
      <c r="I309" s="28"/>
      <c r="J309" s="28"/>
      <c r="K309" s="28"/>
      <c r="L309" s="28"/>
      <c r="M309" s="23"/>
      <c r="N309" s="23"/>
      <c r="O309" s="21">
        <v>97</v>
      </c>
      <c r="P309" s="51">
        <v>39497</v>
      </c>
      <c r="Q309" s="34"/>
      <c r="R309" s="28"/>
      <c r="S309" s="23"/>
      <c r="T309" s="23"/>
      <c r="U309" s="23"/>
      <c r="V309" s="23"/>
      <c r="W309" s="23"/>
      <c r="X309" s="23"/>
      <c r="Y309" s="23"/>
      <c r="Z309" s="26"/>
      <c r="AA309" s="27">
        <v>12</v>
      </c>
      <c r="AB309" s="51">
        <v>46181</v>
      </c>
      <c r="AC309" s="2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</row>
    <row r="310" spans="1:41" ht="12.75">
      <c r="A310" s="21" t="s">
        <v>349</v>
      </c>
      <c r="B310" s="21" t="s">
        <v>368</v>
      </c>
      <c r="C310" s="22">
        <v>176071</v>
      </c>
      <c r="D310" s="22">
        <v>7</v>
      </c>
      <c r="E310" s="28"/>
      <c r="F310" s="28"/>
      <c r="G310" s="28"/>
      <c r="H310" s="28"/>
      <c r="I310" s="28"/>
      <c r="J310" s="28"/>
      <c r="K310" s="28"/>
      <c r="L310" s="28"/>
      <c r="M310" s="23"/>
      <c r="N310" s="23"/>
      <c r="O310" s="21">
        <v>224</v>
      </c>
      <c r="P310" s="51">
        <v>39430</v>
      </c>
      <c r="Q310" s="34"/>
      <c r="R310" s="28"/>
      <c r="S310" s="23"/>
      <c r="T310" s="23"/>
      <c r="U310" s="23"/>
      <c r="V310" s="23"/>
      <c r="W310" s="23"/>
      <c r="X310" s="23"/>
      <c r="Y310" s="23"/>
      <c r="Z310" s="26"/>
      <c r="AA310" s="27">
        <v>172</v>
      </c>
      <c r="AB310" s="51">
        <v>38769</v>
      </c>
      <c r="AC310" s="2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</row>
    <row r="311" spans="1:41" ht="12.75">
      <c r="A311" s="21" t="s">
        <v>349</v>
      </c>
      <c r="B311" s="21" t="s">
        <v>369</v>
      </c>
      <c r="C311" s="22">
        <v>176169</v>
      </c>
      <c r="D311" s="22">
        <v>7</v>
      </c>
      <c r="E311" s="28"/>
      <c r="F311" s="28"/>
      <c r="G311" s="28"/>
      <c r="H311" s="28"/>
      <c r="I311" s="28"/>
      <c r="J311" s="28"/>
      <c r="K311" s="28"/>
      <c r="L311" s="28"/>
      <c r="M311" s="23"/>
      <c r="N311" s="23"/>
      <c r="O311" s="21">
        <v>97</v>
      </c>
      <c r="P311" s="51">
        <v>41857</v>
      </c>
      <c r="Q311" s="34"/>
      <c r="R311" s="28"/>
      <c r="S311" s="23"/>
      <c r="T311" s="23"/>
      <c r="U311" s="23"/>
      <c r="V311" s="23"/>
      <c r="W311" s="23"/>
      <c r="X311" s="23"/>
      <c r="Y311" s="23"/>
      <c r="Z311" s="26"/>
      <c r="AA311" s="27">
        <v>27</v>
      </c>
      <c r="AB311" s="51">
        <v>44921</v>
      </c>
      <c r="AC311" s="2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</row>
    <row r="312" spans="1:41" ht="12.75">
      <c r="A312" s="21" t="s">
        <v>349</v>
      </c>
      <c r="B312" s="21" t="s">
        <v>370</v>
      </c>
      <c r="C312" s="22">
        <v>176178</v>
      </c>
      <c r="D312" s="22">
        <v>7</v>
      </c>
      <c r="E312" s="28"/>
      <c r="F312" s="28"/>
      <c r="G312" s="28"/>
      <c r="H312" s="28"/>
      <c r="I312" s="28"/>
      <c r="J312" s="28"/>
      <c r="K312" s="28"/>
      <c r="L312" s="28"/>
      <c r="M312" s="23"/>
      <c r="N312" s="23"/>
      <c r="O312" s="21">
        <v>146</v>
      </c>
      <c r="P312" s="51">
        <v>40950</v>
      </c>
      <c r="Q312" s="34"/>
      <c r="R312" s="28"/>
      <c r="S312" s="23"/>
      <c r="T312" s="23"/>
      <c r="U312" s="23"/>
      <c r="V312" s="23"/>
      <c r="W312" s="23"/>
      <c r="X312" s="23"/>
      <c r="Y312" s="23"/>
      <c r="Z312" s="26"/>
      <c r="AA312" s="27">
        <v>24</v>
      </c>
      <c r="AB312" s="51">
        <v>42267</v>
      </c>
      <c r="AC312" s="2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</row>
    <row r="313" spans="1:41" ht="12.75">
      <c r="A313" s="21" t="s">
        <v>349</v>
      </c>
      <c r="B313" s="21" t="s">
        <v>371</v>
      </c>
      <c r="C313" s="22">
        <v>176239</v>
      </c>
      <c r="D313" s="22">
        <v>7</v>
      </c>
      <c r="E313" s="28"/>
      <c r="F313" s="28"/>
      <c r="G313" s="28"/>
      <c r="H313" s="28"/>
      <c r="I313" s="28"/>
      <c r="J313" s="28"/>
      <c r="K313" s="28"/>
      <c r="L313" s="28"/>
      <c r="M313" s="23"/>
      <c r="N313" s="23"/>
      <c r="O313" s="21">
        <v>134.1</v>
      </c>
      <c r="P313" s="51">
        <v>32045</v>
      </c>
      <c r="Q313" s="34"/>
      <c r="R313" s="28"/>
      <c r="S313" s="28"/>
      <c r="T313" s="28"/>
      <c r="U313" s="28"/>
      <c r="V313" s="28"/>
      <c r="W313" s="28"/>
      <c r="X313" s="28"/>
      <c r="Y313" s="28"/>
      <c r="Z313" s="24"/>
      <c r="AA313" s="27">
        <v>22</v>
      </c>
      <c r="AB313" s="51">
        <v>41351</v>
      </c>
      <c r="AC313" s="2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</row>
    <row r="314" spans="1:41" ht="12.75">
      <c r="A314" s="21" t="s">
        <v>349</v>
      </c>
      <c r="B314" s="21" t="s">
        <v>372</v>
      </c>
      <c r="C314" s="22">
        <v>176354</v>
      </c>
      <c r="D314" s="22">
        <v>7</v>
      </c>
      <c r="E314" s="28"/>
      <c r="F314" s="28"/>
      <c r="G314" s="28"/>
      <c r="H314" s="28"/>
      <c r="I314" s="28"/>
      <c r="J314" s="28"/>
      <c r="K314" s="28"/>
      <c r="L314" s="28"/>
      <c r="M314" s="23"/>
      <c r="N314" s="23"/>
      <c r="O314" s="21">
        <v>54</v>
      </c>
      <c r="P314" s="51">
        <v>40384</v>
      </c>
      <c r="Q314" s="34"/>
      <c r="R314" s="28"/>
      <c r="S314" s="28"/>
      <c r="T314" s="28"/>
      <c r="U314" s="28"/>
      <c r="V314" s="28"/>
      <c r="W314" s="28"/>
      <c r="X314" s="28"/>
      <c r="Y314" s="28"/>
      <c r="Z314" s="24"/>
      <c r="AA314" s="27">
        <v>9</v>
      </c>
      <c r="AB314" s="51">
        <v>41729</v>
      </c>
      <c r="AC314" s="2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</row>
    <row r="315" spans="1:41" ht="12.75">
      <c r="A315" s="21" t="s">
        <v>373</v>
      </c>
      <c r="B315" s="68" t="s">
        <v>374</v>
      </c>
      <c r="C315" s="69" t="s">
        <v>375</v>
      </c>
      <c r="D315" s="69">
        <v>1</v>
      </c>
      <c r="E315" s="50">
        <v>298</v>
      </c>
      <c r="F315" s="50">
        <v>81296</v>
      </c>
      <c r="G315" s="50">
        <v>275</v>
      </c>
      <c r="H315" s="50">
        <v>56636</v>
      </c>
      <c r="I315" s="50">
        <v>149</v>
      </c>
      <c r="J315" s="50">
        <v>50932</v>
      </c>
      <c r="K315" s="50">
        <v>4</v>
      </c>
      <c r="L315" s="50">
        <v>36997</v>
      </c>
      <c r="M315" s="50">
        <v>169</v>
      </c>
      <c r="N315" s="50">
        <v>32636</v>
      </c>
      <c r="O315" s="28"/>
      <c r="P315" s="24"/>
      <c r="Q315" s="36">
        <v>162</v>
      </c>
      <c r="R315" s="50">
        <v>94366</v>
      </c>
      <c r="S315" s="50">
        <v>73</v>
      </c>
      <c r="T315" s="50">
        <v>72721</v>
      </c>
      <c r="U315" s="50">
        <v>44</v>
      </c>
      <c r="V315" s="50">
        <v>60209</v>
      </c>
      <c r="W315" s="50">
        <v>3</v>
      </c>
      <c r="X315" s="50">
        <v>51928</v>
      </c>
      <c r="Y315" s="50">
        <v>38</v>
      </c>
      <c r="Z315" s="51">
        <v>47690</v>
      </c>
      <c r="AA315" s="35"/>
      <c r="AB315" s="24"/>
      <c r="AC315" s="2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</row>
    <row r="316" spans="1:41" ht="12.75">
      <c r="A316" s="21" t="s">
        <v>373</v>
      </c>
      <c r="B316" s="68" t="s">
        <v>376</v>
      </c>
      <c r="C316" s="69" t="s">
        <v>377</v>
      </c>
      <c r="D316" s="69">
        <v>1</v>
      </c>
      <c r="E316" s="50">
        <v>465</v>
      </c>
      <c r="F316" s="50">
        <v>83241</v>
      </c>
      <c r="G316" s="50">
        <v>205</v>
      </c>
      <c r="H316" s="50">
        <v>59368</v>
      </c>
      <c r="I316" s="50">
        <v>146</v>
      </c>
      <c r="J316" s="50">
        <v>48883</v>
      </c>
      <c r="K316" s="50">
        <v>8</v>
      </c>
      <c r="L316" s="50">
        <v>39914</v>
      </c>
      <c r="M316" s="50">
        <v>64</v>
      </c>
      <c r="N316" s="50">
        <v>51048</v>
      </c>
      <c r="O316" s="23"/>
      <c r="P316" s="26"/>
      <c r="Q316" s="36">
        <v>113</v>
      </c>
      <c r="R316" s="50">
        <v>119004</v>
      </c>
      <c r="S316" s="50">
        <v>83</v>
      </c>
      <c r="T316" s="50">
        <v>82887</v>
      </c>
      <c r="U316" s="50">
        <v>86</v>
      </c>
      <c r="V316" s="50">
        <v>60755</v>
      </c>
      <c r="W316" s="50">
        <v>6</v>
      </c>
      <c r="X316" s="50">
        <v>46084</v>
      </c>
      <c r="Y316" s="50">
        <v>46</v>
      </c>
      <c r="Z316" s="51">
        <v>71712</v>
      </c>
      <c r="AA316" s="38"/>
      <c r="AB316" s="26"/>
      <c r="AC316" s="28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</row>
    <row r="317" spans="1:41" ht="12.75">
      <c r="A317" s="21" t="s">
        <v>373</v>
      </c>
      <c r="B317" s="68" t="s">
        <v>378</v>
      </c>
      <c r="C317" s="69" t="s">
        <v>379</v>
      </c>
      <c r="D317" s="69">
        <v>2</v>
      </c>
      <c r="E317" s="50">
        <v>129</v>
      </c>
      <c r="F317" s="50">
        <v>71911</v>
      </c>
      <c r="G317" s="50">
        <v>166</v>
      </c>
      <c r="H317" s="50">
        <v>52035</v>
      </c>
      <c r="I317" s="50">
        <v>126</v>
      </c>
      <c r="J317" s="50">
        <v>41238</v>
      </c>
      <c r="K317" s="50">
        <v>9</v>
      </c>
      <c r="L317" s="50">
        <v>46343</v>
      </c>
      <c r="M317" s="50">
        <v>105</v>
      </c>
      <c r="N317" s="50">
        <v>33258</v>
      </c>
      <c r="O317" s="23"/>
      <c r="P317" s="26"/>
      <c r="Q317" s="36">
        <v>9</v>
      </c>
      <c r="R317" s="50">
        <v>84428</v>
      </c>
      <c r="S317" s="50">
        <v>4</v>
      </c>
      <c r="T317" s="50">
        <v>63471</v>
      </c>
      <c r="U317" s="50">
        <v>3</v>
      </c>
      <c r="V317" s="50">
        <v>48627</v>
      </c>
      <c r="W317" s="28"/>
      <c r="X317" s="23"/>
      <c r="Y317" s="50">
        <v>14</v>
      </c>
      <c r="Z317" s="51">
        <v>41127</v>
      </c>
      <c r="AA317" s="38"/>
      <c r="AB317" s="26"/>
      <c r="AC317" s="28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</row>
    <row r="318" spans="1:41" ht="12.75">
      <c r="A318" s="21" t="s">
        <v>373</v>
      </c>
      <c r="B318" s="68" t="s">
        <v>380</v>
      </c>
      <c r="C318" s="69" t="s">
        <v>381</v>
      </c>
      <c r="D318" s="69">
        <v>3</v>
      </c>
      <c r="E318" s="50">
        <v>234</v>
      </c>
      <c r="F318" s="50">
        <v>59750</v>
      </c>
      <c r="G318" s="50">
        <v>119</v>
      </c>
      <c r="H318" s="50">
        <v>48532</v>
      </c>
      <c r="I318" s="50">
        <v>136</v>
      </c>
      <c r="J318" s="50">
        <v>41695</v>
      </c>
      <c r="K318" s="50">
        <v>6</v>
      </c>
      <c r="L318" s="50">
        <v>31616</v>
      </c>
      <c r="M318" s="50">
        <v>56</v>
      </c>
      <c r="N318" s="50">
        <v>31392</v>
      </c>
      <c r="O318" s="23"/>
      <c r="P318" s="26"/>
      <c r="Q318" s="36">
        <v>16</v>
      </c>
      <c r="R318" s="50">
        <v>68600</v>
      </c>
      <c r="S318" s="50">
        <v>3</v>
      </c>
      <c r="T318" s="50">
        <v>59183</v>
      </c>
      <c r="U318" s="50">
        <v>1</v>
      </c>
      <c r="V318" s="50">
        <v>46666</v>
      </c>
      <c r="W318" s="28"/>
      <c r="X318" s="23"/>
      <c r="Y318" s="50">
        <v>3</v>
      </c>
      <c r="Z318" s="51">
        <v>39854</v>
      </c>
      <c r="AA318" s="38"/>
      <c r="AB318" s="26"/>
      <c r="AC318" s="28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</row>
    <row r="319" spans="1:41" ht="12.75">
      <c r="A319" s="21" t="s">
        <v>373</v>
      </c>
      <c r="B319" s="68" t="s">
        <v>382</v>
      </c>
      <c r="C319" s="69" t="s">
        <v>383</v>
      </c>
      <c r="D319" s="69">
        <v>3</v>
      </c>
      <c r="E319" s="50">
        <v>156</v>
      </c>
      <c r="F319" s="50">
        <v>64841</v>
      </c>
      <c r="G319" s="50">
        <v>211</v>
      </c>
      <c r="H319" s="50">
        <v>49668</v>
      </c>
      <c r="I319" s="50">
        <v>192</v>
      </c>
      <c r="J319" s="50">
        <v>43586</v>
      </c>
      <c r="K319" s="50">
        <v>9</v>
      </c>
      <c r="L319" s="50">
        <v>37146</v>
      </c>
      <c r="M319" s="50">
        <v>123</v>
      </c>
      <c r="N319" s="50">
        <v>33410</v>
      </c>
      <c r="O319" s="23"/>
      <c r="P319" s="26"/>
      <c r="Q319" s="36">
        <v>24</v>
      </c>
      <c r="R319" s="50">
        <v>70261</v>
      </c>
      <c r="S319" s="50">
        <v>34</v>
      </c>
      <c r="T319" s="50">
        <v>58201</v>
      </c>
      <c r="U319" s="50">
        <v>26</v>
      </c>
      <c r="V319" s="50">
        <v>52487</v>
      </c>
      <c r="W319" s="28"/>
      <c r="X319" s="23"/>
      <c r="Y319" s="50">
        <v>33</v>
      </c>
      <c r="Z319" s="51">
        <v>46148</v>
      </c>
      <c r="AA319" s="38"/>
      <c r="AB319" s="26"/>
      <c r="AC319" s="28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</row>
    <row r="320" spans="1:41" ht="12.75">
      <c r="A320" s="21" t="s">
        <v>373</v>
      </c>
      <c r="B320" s="68" t="s">
        <v>384</v>
      </c>
      <c r="C320" s="69" t="s">
        <v>385</v>
      </c>
      <c r="D320" s="69">
        <v>3</v>
      </c>
      <c r="E320" s="50">
        <v>55</v>
      </c>
      <c r="F320" s="50">
        <v>61654</v>
      </c>
      <c r="G320" s="50">
        <v>113</v>
      </c>
      <c r="H320" s="50">
        <v>52444</v>
      </c>
      <c r="I320" s="50">
        <v>110</v>
      </c>
      <c r="J320" s="50">
        <v>45927</v>
      </c>
      <c r="K320" s="50">
        <v>16</v>
      </c>
      <c r="L320" s="50">
        <v>39733</v>
      </c>
      <c r="M320" s="50">
        <v>34</v>
      </c>
      <c r="N320" s="50">
        <v>42639</v>
      </c>
      <c r="O320" s="23"/>
      <c r="P320" s="26"/>
      <c r="Q320" s="36">
        <v>28</v>
      </c>
      <c r="R320" s="50">
        <v>78763</v>
      </c>
      <c r="S320" s="50">
        <v>26</v>
      </c>
      <c r="T320" s="50">
        <v>67359</v>
      </c>
      <c r="U320" s="50">
        <v>7</v>
      </c>
      <c r="V320" s="50">
        <v>57776</v>
      </c>
      <c r="W320" s="50">
        <v>1</v>
      </c>
      <c r="X320" s="50">
        <v>61625</v>
      </c>
      <c r="Y320" s="50">
        <v>11</v>
      </c>
      <c r="Z320" s="51">
        <v>51303</v>
      </c>
      <c r="AA320" s="38"/>
      <c r="AB320" s="26"/>
      <c r="AC320" s="28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</row>
    <row r="321" spans="1:41" ht="12.75">
      <c r="A321" s="21" t="s">
        <v>373</v>
      </c>
      <c r="B321" s="68" t="s">
        <v>386</v>
      </c>
      <c r="C321" s="69" t="s">
        <v>387</v>
      </c>
      <c r="D321" s="69">
        <v>3</v>
      </c>
      <c r="E321" s="50">
        <v>45</v>
      </c>
      <c r="F321" s="50">
        <v>67218</v>
      </c>
      <c r="G321" s="50">
        <v>66</v>
      </c>
      <c r="H321" s="50">
        <v>52183</v>
      </c>
      <c r="I321" s="50">
        <v>80</v>
      </c>
      <c r="J321" s="50">
        <v>44296</v>
      </c>
      <c r="K321" s="50">
        <v>4</v>
      </c>
      <c r="L321" s="50">
        <v>42794</v>
      </c>
      <c r="M321" s="50">
        <v>31</v>
      </c>
      <c r="N321" s="50">
        <v>38438</v>
      </c>
      <c r="O321" s="28"/>
      <c r="P321" s="24"/>
      <c r="Q321" s="36">
        <v>13</v>
      </c>
      <c r="R321" s="50">
        <v>75022</v>
      </c>
      <c r="S321" s="50">
        <v>13</v>
      </c>
      <c r="T321" s="50">
        <v>66333</v>
      </c>
      <c r="U321" s="50">
        <v>4</v>
      </c>
      <c r="V321" s="50">
        <v>65042</v>
      </c>
      <c r="W321" s="50">
        <v>3</v>
      </c>
      <c r="X321" s="50">
        <v>43198</v>
      </c>
      <c r="Y321" s="50">
        <v>2</v>
      </c>
      <c r="Z321" s="51">
        <v>47413</v>
      </c>
      <c r="AA321" s="35"/>
      <c r="AB321" s="24"/>
      <c r="AC321" s="28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</row>
    <row r="322" spans="1:41" ht="12.75">
      <c r="A322" s="21" t="s">
        <v>373</v>
      </c>
      <c r="B322" s="68" t="s">
        <v>388</v>
      </c>
      <c r="C322" s="69" t="s">
        <v>389</v>
      </c>
      <c r="D322" s="69">
        <v>3</v>
      </c>
      <c r="E322" s="50">
        <v>151</v>
      </c>
      <c r="F322" s="50">
        <v>66873</v>
      </c>
      <c r="G322" s="50">
        <v>207</v>
      </c>
      <c r="H322" s="50">
        <v>50848</v>
      </c>
      <c r="I322" s="50">
        <v>134</v>
      </c>
      <c r="J322" s="50">
        <v>44178</v>
      </c>
      <c r="K322" s="21"/>
      <c r="L322" s="21"/>
      <c r="M322" s="50">
        <v>79</v>
      </c>
      <c r="N322" s="50">
        <v>34419</v>
      </c>
      <c r="O322" s="28"/>
      <c r="P322" s="24"/>
      <c r="Q322" s="36">
        <v>28</v>
      </c>
      <c r="R322" s="50">
        <v>89476</v>
      </c>
      <c r="S322" s="50">
        <v>14</v>
      </c>
      <c r="T322" s="50">
        <v>68469</v>
      </c>
      <c r="U322" s="23"/>
      <c r="V322" s="23"/>
      <c r="W322" s="28"/>
      <c r="X322" s="23"/>
      <c r="Y322" s="50">
        <v>30</v>
      </c>
      <c r="Z322" s="51">
        <v>37551</v>
      </c>
      <c r="AA322" s="35"/>
      <c r="AB322" s="24"/>
      <c r="AC322" s="28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</row>
    <row r="323" spans="1:41" ht="12.75">
      <c r="A323" s="21" t="s">
        <v>373</v>
      </c>
      <c r="B323" s="68" t="s">
        <v>390</v>
      </c>
      <c r="C323" s="69" t="s">
        <v>391</v>
      </c>
      <c r="D323" s="69">
        <v>3</v>
      </c>
      <c r="E323" s="50">
        <v>71</v>
      </c>
      <c r="F323" s="50">
        <v>61109</v>
      </c>
      <c r="G323" s="50">
        <v>108</v>
      </c>
      <c r="H323" s="50">
        <v>50551</v>
      </c>
      <c r="I323" s="50">
        <v>98</v>
      </c>
      <c r="J323" s="50">
        <v>41538</v>
      </c>
      <c r="K323" s="21"/>
      <c r="L323" s="21"/>
      <c r="M323" s="50">
        <v>33</v>
      </c>
      <c r="N323" s="50">
        <v>36788</v>
      </c>
      <c r="O323" s="28"/>
      <c r="P323" s="24"/>
      <c r="Q323" s="36">
        <v>4</v>
      </c>
      <c r="R323" s="50">
        <v>74709</v>
      </c>
      <c r="S323" s="50">
        <v>3</v>
      </c>
      <c r="T323" s="50">
        <v>62517</v>
      </c>
      <c r="U323" s="50">
        <v>1</v>
      </c>
      <c r="V323" s="50">
        <v>59922</v>
      </c>
      <c r="W323" s="28"/>
      <c r="X323" s="23"/>
      <c r="Y323" s="50">
        <v>10</v>
      </c>
      <c r="Z323" s="51">
        <v>44254</v>
      </c>
      <c r="AA323" s="35"/>
      <c r="AB323" s="24"/>
      <c r="AC323" s="28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</row>
    <row r="324" spans="1:41" ht="12.75">
      <c r="A324" s="21" t="s">
        <v>373</v>
      </c>
      <c r="B324" s="68" t="s">
        <v>392</v>
      </c>
      <c r="C324" s="69" t="s">
        <v>393</v>
      </c>
      <c r="D324" s="69">
        <v>4</v>
      </c>
      <c r="E324" s="50">
        <v>27</v>
      </c>
      <c r="F324" s="50">
        <v>59916</v>
      </c>
      <c r="G324" s="50">
        <v>58</v>
      </c>
      <c r="H324" s="50">
        <v>48760</v>
      </c>
      <c r="I324" s="50">
        <v>41</v>
      </c>
      <c r="J324" s="50">
        <v>45978</v>
      </c>
      <c r="K324" s="21"/>
      <c r="L324" s="21"/>
      <c r="M324" s="50">
        <v>40</v>
      </c>
      <c r="N324" s="50">
        <v>35916</v>
      </c>
      <c r="O324" s="28"/>
      <c r="P324" s="24"/>
      <c r="Q324" s="36">
        <v>11</v>
      </c>
      <c r="R324" s="50">
        <v>81353</v>
      </c>
      <c r="S324" s="50">
        <v>15</v>
      </c>
      <c r="T324" s="50">
        <v>67166</v>
      </c>
      <c r="U324" s="50">
        <v>4</v>
      </c>
      <c r="V324" s="50">
        <v>57860</v>
      </c>
      <c r="W324" s="50">
        <v>2</v>
      </c>
      <c r="X324" s="50">
        <v>29420</v>
      </c>
      <c r="Y324" s="50">
        <v>10</v>
      </c>
      <c r="Z324" s="51">
        <v>47933</v>
      </c>
      <c r="AA324" s="35"/>
      <c r="AB324" s="24"/>
      <c r="AC324" s="28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</row>
    <row r="325" spans="1:41" ht="12.75">
      <c r="A325" s="21" t="s">
        <v>373</v>
      </c>
      <c r="B325" s="68" t="s">
        <v>394</v>
      </c>
      <c r="C325" s="69" t="s">
        <v>395</v>
      </c>
      <c r="D325" s="69">
        <v>4</v>
      </c>
      <c r="E325" s="50">
        <v>94</v>
      </c>
      <c r="F325" s="50">
        <v>62976</v>
      </c>
      <c r="G325" s="50">
        <v>119</v>
      </c>
      <c r="H325" s="50">
        <v>49195</v>
      </c>
      <c r="I325" s="50">
        <v>113</v>
      </c>
      <c r="J325" s="50">
        <v>41754</v>
      </c>
      <c r="K325" s="50">
        <v>2</v>
      </c>
      <c r="L325" s="50">
        <v>37250</v>
      </c>
      <c r="M325" s="50">
        <v>23</v>
      </c>
      <c r="N325" s="50">
        <v>34069</v>
      </c>
      <c r="O325" s="23"/>
      <c r="P325" s="26"/>
      <c r="Q325" s="36">
        <v>21</v>
      </c>
      <c r="R325" s="50">
        <v>75004</v>
      </c>
      <c r="S325" s="50">
        <v>7</v>
      </c>
      <c r="T325" s="50">
        <v>63068</v>
      </c>
      <c r="U325" s="23"/>
      <c r="V325" s="23"/>
      <c r="W325" s="23"/>
      <c r="X325" s="23"/>
      <c r="Y325" s="50">
        <v>3</v>
      </c>
      <c r="Z325" s="51">
        <v>37104</v>
      </c>
      <c r="AA325" s="35"/>
      <c r="AB325" s="24"/>
      <c r="AC325" s="28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</row>
    <row r="326" spans="1:41" ht="12.75">
      <c r="A326" s="21" t="s">
        <v>373</v>
      </c>
      <c r="B326" s="68" t="s">
        <v>396</v>
      </c>
      <c r="C326" s="69" t="s">
        <v>397</v>
      </c>
      <c r="D326" s="69">
        <v>5</v>
      </c>
      <c r="E326" s="50">
        <v>43</v>
      </c>
      <c r="F326" s="50">
        <v>64498</v>
      </c>
      <c r="G326" s="50">
        <v>31</v>
      </c>
      <c r="H326" s="50">
        <v>49128</v>
      </c>
      <c r="I326" s="50">
        <v>42</v>
      </c>
      <c r="J326" s="50">
        <v>40118</v>
      </c>
      <c r="K326" s="50">
        <v>2</v>
      </c>
      <c r="L326" s="50">
        <v>36410</v>
      </c>
      <c r="M326" s="50">
        <v>21</v>
      </c>
      <c r="N326" s="50">
        <v>36396</v>
      </c>
      <c r="O326" s="23"/>
      <c r="P326" s="26"/>
      <c r="Q326" s="36">
        <v>1</v>
      </c>
      <c r="R326" s="50">
        <v>80882</v>
      </c>
      <c r="S326" s="50">
        <v>1</v>
      </c>
      <c r="T326" s="50">
        <v>55000</v>
      </c>
      <c r="U326" s="50">
        <v>1</v>
      </c>
      <c r="V326" s="50">
        <v>63601</v>
      </c>
      <c r="W326" s="23"/>
      <c r="X326" s="23"/>
      <c r="Y326" s="50">
        <v>1</v>
      </c>
      <c r="Z326" s="51">
        <v>44000</v>
      </c>
      <c r="AA326" s="35"/>
      <c r="AB326" s="24"/>
      <c r="AC326" s="28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</row>
    <row r="327" spans="1:41" ht="12.75">
      <c r="A327" s="21" t="s">
        <v>373</v>
      </c>
      <c r="B327" s="68" t="s">
        <v>398</v>
      </c>
      <c r="C327" s="69" t="s">
        <v>399</v>
      </c>
      <c r="D327" s="69">
        <v>6</v>
      </c>
      <c r="E327" s="50">
        <v>34</v>
      </c>
      <c r="F327" s="50">
        <v>53944</v>
      </c>
      <c r="G327" s="50">
        <v>21</v>
      </c>
      <c r="H327" s="50">
        <v>44353</v>
      </c>
      <c r="I327" s="50">
        <v>9</v>
      </c>
      <c r="J327" s="50">
        <v>40773</v>
      </c>
      <c r="K327" s="50">
        <v>1</v>
      </c>
      <c r="L327" s="50">
        <v>37408</v>
      </c>
      <c r="M327" s="50">
        <v>15</v>
      </c>
      <c r="N327" s="50">
        <v>42437</v>
      </c>
      <c r="O327" s="23"/>
      <c r="P327" s="26"/>
      <c r="Q327" s="36">
        <v>3</v>
      </c>
      <c r="R327" s="50">
        <v>61402</v>
      </c>
      <c r="S327" s="50">
        <v>1</v>
      </c>
      <c r="T327" s="50">
        <v>72980</v>
      </c>
      <c r="U327" s="28"/>
      <c r="V327" s="28"/>
      <c r="W327" s="23"/>
      <c r="X327" s="23"/>
      <c r="Y327" s="50">
        <v>2</v>
      </c>
      <c r="Z327" s="51">
        <v>48689</v>
      </c>
      <c r="AA327" s="35"/>
      <c r="AB327" s="24"/>
      <c r="AC327" s="28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</row>
    <row r="328" spans="1:41" ht="12.75">
      <c r="A328" s="21" t="s">
        <v>373</v>
      </c>
      <c r="B328" s="68" t="s">
        <v>400</v>
      </c>
      <c r="C328" s="69" t="s">
        <v>401</v>
      </c>
      <c r="D328" s="69">
        <v>6</v>
      </c>
      <c r="E328" s="50">
        <v>40</v>
      </c>
      <c r="F328" s="50">
        <v>61926</v>
      </c>
      <c r="G328" s="50">
        <v>48</v>
      </c>
      <c r="H328" s="50">
        <v>48833</v>
      </c>
      <c r="I328" s="50">
        <v>43</v>
      </c>
      <c r="J328" s="50">
        <v>36508</v>
      </c>
      <c r="K328" s="50">
        <v>2</v>
      </c>
      <c r="L328" s="50">
        <v>36250</v>
      </c>
      <c r="M328" s="50">
        <v>23</v>
      </c>
      <c r="N328" s="50">
        <v>37749</v>
      </c>
      <c r="O328" s="23"/>
      <c r="P328" s="26"/>
      <c r="Q328" s="34"/>
      <c r="R328" s="28"/>
      <c r="S328" s="28"/>
      <c r="T328" s="28"/>
      <c r="U328" s="28"/>
      <c r="V328" s="28"/>
      <c r="W328" s="23"/>
      <c r="X328" s="23"/>
      <c r="Y328" s="28"/>
      <c r="Z328" s="24"/>
      <c r="AA328" s="35"/>
      <c r="AB328" s="24"/>
      <c r="AC328" s="28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</row>
    <row r="329" spans="1:41" ht="12.75">
      <c r="A329" s="21" t="s">
        <v>373</v>
      </c>
      <c r="B329" s="68" t="s">
        <v>402</v>
      </c>
      <c r="C329" s="69" t="s">
        <v>403</v>
      </c>
      <c r="D329" s="69">
        <v>6</v>
      </c>
      <c r="E329" s="50">
        <v>38</v>
      </c>
      <c r="F329" s="50">
        <v>55151</v>
      </c>
      <c r="G329" s="50">
        <v>39</v>
      </c>
      <c r="H329" s="50">
        <v>50715</v>
      </c>
      <c r="I329" s="50">
        <v>33</v>
      </c>
      <c r="J329" s="50">
        <v>42128</v>
      </c>
      <c r="K329" s="50">
        <v>6</v>
      </c>
      <c r="L329" s="50">
        <v>37484</v>
      </c>
      <c r="M329" s="50">
        <v>11</v>
      </c>
      <c r="N329" s="50">
        <v>36748</v>
      </c>
      <c r="O329" s="23"/>
      <c r="P329" s="26"/>
      <c r="Q329" s="36">
        <v>7</v>
      </c>
      <c r="R329" s="50">
        <v>82522</v>
      </c>
      <c r="S329" s="50">
        <v>7</v>
      </c>
      <c r="T329" s="50">
        <v>64735</v>
      </c>
      <c r="U329" s="50">
        <v>8</v>
      </c>
      <c r="V329" s="50">
        <v>52169</v>
      </c>
      <c r="W329" s="23"/>
      <c r="X329" s="23"/>
      <c r="Y329" s="50">
        <v>8</v>
      </c>
      <c r="Z329" s="51">
        <v>49802</v>
      </c>
      <c r="AA329" s="35"/>
      <c r="AB329" s="24"/>
      <c r="AC329" s="28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</row>
    <row r="330" spans="1:41" ht="12.75">
      <c r="A330" s="21" t="s">
        <v>373</v>
      </c>
      <c r="B330" s="68" t="s">
        <v>404</v>
      </c>
      <c r="C330" s="54">
        <v>199786</v>
      </c>
      <c r="D330" s="54">
        <v>7</v>
      </c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28">
        <v>79</v>
      </c>
      <c r="P330" s="24">
        <v>30943</v>
      </c>
      <c r="Q330" s="36"/>
      <c r="R330" s="50"/>
      <c r="S330" s="50"/>
      <c r="T330" s="50"/>
      <c r="U330" s="50"/>
      <c r="V330" s="50"/>
      <c r="W330" s="23"/>
      <c r="X330" s="23"/>
      <c r="Y330" s="50"/>
      <c r="Z330" s="51"/>
      <c r="AA330" s="35"/>
      <c r="AB330" s="24"/>
      <c r="AC330" s="28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</row>
    <row r="331" spans="1:41" ht="12.75">
      <c r="A331" s="21" t="s">
        <v>373</v>
      </c>
      <c r="B331" s="53" t="s">
        <v>405</v>
      </c>
      <c r="C331" s="54">
        <v>197850</v>
      </c>
      <c r="D331" s="54">
        <v>7</v>
      </c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28">
        <v>37</v>
      </c>
      <c r="P331" s="24">
        <v>30843</v>
      </c>
      <c r="Q331" s="36"/>
      <c r="R331" s="50"/>
      <c r="S331" s="50"/>
      <c r="T331" s="50"/>
      <c r="U331" s="50"/>
      <c r="V331" s="50"/>
      <c r="W331" s="23"/>
      <c r="X331" s="23"/>
      <c r="Y331" s="50"/>
      <c r="Z331" s="51"/>
      <c r="AA331" s="35"/>
      <c r="AB331" s="24"/>
      <c r="AC331" s="28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</row>
    <row r="332" spans="1:41" ht="12.75">
      <c r="A332" s="21" t="s">
        <v>373</v>
      </c>
      <c r="B332" s="53" t="s">
        <v>406</v>
      </c>
      <c r="C332" s="54">
        <v>197887</v>
      </c>
      <c r="D332" s="54">
        <v>7</v>
      </c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28">
        <v>91</v>
      </c>
      <c r="P332" s="24">
        <v>33294</v>
      </c>
      <c r="Q332" s="36"/>
      <c r="R332" s="50"/>
      <c r="S332" s="50"/>
      <c r="T332" s="50"/>
      <c r="U332" s="50"/>
      <c r="V332" s="50"/>
      <c r="W332" s="23"/>
      <c r="X332" s="23"/>
      <c r="Y332" s="50"/>
      <c r="Z332" s="51"/>
      <c r="AA332" s="35"/>
      <c r="AB332" s="24"/>
      <c r="AC332" s="28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</row>
    <row r="333" spans="1:41" ht="12.75">
      <c r="A333" s="21" t="s">
        <v>373</v>
      </c>
      <c r="B333" s="53" t="s">
        <v>407</v>
      </c>
      <c r="C333" s="54">
        <v>197996</v>
      </c>
      <c r="D333" s="54">
        <v>7</v>
      </c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28">
        <v>54</v>
      </c>
      <c r="P333" s="24">
        <v>30698</v>
      </c>
      <c r="Q333" s="36"/>
      <c r="R333" s="50"/>
      <c r="S333" s="50"/>
      <c r="T333" s="50"/>
      <c r="U333" s="50"/>
      <c r="V333" s="50"/>
      <c r="W333" s="23"/>
      <c r="X333" s="23"/>
      <c r="Y333" s="50"/>
      <c r="Z333" s="51"/>
      <c r="AA333" s="35"/>
      <c r="AB333" s="24"/>
      <c r="AC333" s="28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</row>
    <row r="334" spans="1:41" ht="12.75">
      <c r="A334" s="21" t="s">
        <v>373</v>
      </c>
      <c r="B334" s="53" t="s">
        <v>408</v>
      </c>
      <c r="C334" s="54">
        <v>198011</v>
      </c>
      <c r="D334" s="54">
        <v>7</v>
      </c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28">
        <v>23</v>
      </c>
      <c r="P334" s="24">
        <v>31810</v>
      </c>
      <c r="Q334" s="36"/>
      <c r="R334" s="50"/>
      <c r="S334" s="50"/>
      <c r="T334" s="50"/>
      <c r="U334" s="50"/>
      <c r="V334" s="50"/>
      <c r="W334" s="23"/>
      <c r="X334" s="23"/>
      <c r="Y334" s="50"/>
      <c r="Z334" s="51"/>
      <c r="AA334" s="35"/>
      <c r="AB334" s="24"/>
      <c r="AC334" s="28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</row>
    <row r="335" spans="1:41" ht="12.75">
      <c r="A335" s="21" t="s">
        <v>373</v>
      </c>
      <c r="B335" s="53" t="s">
        <v>409</v>
      </c>
      <c r="C335" s="54">
        <v>198039</v>
      </c>
      <c r="D335" s="54">
        <v>7</v>
      </c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28">
        <v>50</v>
      </c>
      <c r="P335" s="24">
        <v>32309</v>
      </c>
      <c r="Q335" s="36"/>
      <c r="R335" s="50"/>
      <c r="S335" s="50"/>
      <c r="T335" s="50"/>
      <c r="U335" s="50"/>
      <c r="V335" s="50"/>
      <c r="W335" s="23"/>
      <c r="X335" s="23"/>
      <c r="Y335" s="50"/>
      <c r="Z335" s="51"/>
      <c r="AA335" s="35"/>
      <c r="AB335" s="24"/>
      <c r="AC335" s="28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</row>
    <row r="336" spans="1:41" ht="12.75">
      <c r="A336" s="21" t="s">
        <v>373</v>
      </c>
      <c r="B336" s="53" t="s">
        <v>410</v>
      </c>
      <c r="C336" s="54">
        <v>198084</v>
      </c>
      <c r="D336" s="54">
        <v>7</v>
      </c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28">
        <v>21</v>
      </c>
      <c r="P336" s="24">
        <v>31247</v>
      </c>
      <c r="Q336" s="36"/>
      <c r="R336" s="50"/>
      <c r="S336" s="50"/>
      <c r="T336" s="50"/>
      <c r="U336" s="50"/>
      <c r="V336" s="50"/>
      <c r="W336" s="23"/>
      <c r="X336" s="23"/>
      <c r="Y336" s="50"/>
      <c r="Z336" s="51"/>
      <c r="AA336" s="35"/>
      <c r="AB336" s="24"/>
      <c r="AC336" s="28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</row>
    <row r="337" spans="1:41" ht="12.75">
      <c r="A337" s="21" t="s">
        <v>373</v>
      </c>
      <c r="B337" s="53" t="s">
        <v>411</v>
      </c>
      <c r="C337" s="54">
        <v>198118</v>
      </c>
      <c r="D337" s="54">
        <v>7</v>
      </c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28">
        <v>80</v>
      </c>
      <c r="P337" s="24">
        <v>29465</v>
      </c>
      <c r="Q337" s="36"/>
      <c r="R337" s="50"/>
      <c r="S337" s="50"/>
      <c r="T337" s="50"/>
      <c r="U337" s="50"/>
      <c r="V337" s="50"/>
      <c r="W337" s="23"/>
      <c r="X337" s="23"/>
      <c r="Y337" s="50"/>
      <c r="Z337" s="51"/>
      <c r="AA337" s="35"/>
      <c r="AB337" s="24"/>
      <c r="AC337" s="28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</row>
    <row r="338" spans="1:41" ht="12.75">
      <c r="A338" s="21" t="s">
        <v>373</v>
      </c>
      <c r="B338" s="53" t="s">
        <v>412</v>
      </c>
      <c r="C338" s="54">
        <v>198154</v>
      </c>
      <c r="D338" s="54">
        <v>7</v>
      </c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28">
        <v>97</v>
      </c>
      <c r="P338" s="24">
        <v>32247</v>
      </c>
      <c r="Q338" s="36"/>
      <c r="R338" s="50"/>
      <c r="S338" s="50"/>
      <c r="T338" s="50"/>
      <c r="U338" s="50"/>
      <c r="V338" s="50"/>
      <c r="W338" s="23"/>
      <c r="X338" s="23"/>
      <c r="Y338" s="50"/>
      <c r="Z338" s="51"/>
      <c r="AA338" s="35"/>
      <c r="AB338" s="24"/>
      <c r="AC338" s="28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</row>
    <row r="339" spans="1:41" ht="12.75">
      <c r="A339" s="21" t="s">
        <v>373</v>
      </c>
      <c r="B339" s="53" t="s">
        <v>413</v>
      </c>
      <c r="C339" s="54">
        <v>198206</v>
      </c>
      <c r="D339" s="54">
        <v>7</v>
      </c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28">
        <v>42</v>
      </c>
      <c r="P339" s="24">
        <v>32164</v>
      </c>
      <c r="Q339" s="36"/>
      <c r="R339" s="50"/>
      <c r="S339" s="50"/>
      <c r="T339" s="50"/>
      <c r="U339" s="50"/>
      <c r="V339" s="50"/>
      <c r="W339" s="23"/>
      <c r="X339" s="23"/>
      <c r="Y339" s="50"/>
      <c r="Z339" s="51"/>
      <c r="AA339" s="35"/>
      <c r="AB339" s="24"/>
      <c r="AC339" s="28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</row>
    <row r="340" spans="1:41" ht="12.75">
      <c r="A340" s="21" t="s">
        <v>373</v>
      </c>
      <c r="B340" s="53" t="s">
        <v>414</v>
      </c>
      <c r="C340" s="54">
        <v>198233</v>
      </c>
      <c r="D340" s="54">
        <v>7</v>
      </c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28">
        <v>91</v>
      </c>
      <c r="P340" s="24">
        <v>32523</v>
      </c>
      <c r="Q340" s="36"/>
      <c r="R340" s="50"/>
      <c r="S340" s="50"/>
      <c r="T340" s="50"/>
      <c r="U340" s="50"/>
      <c r="V340" s="50"/>
      <c r="W340" s="23"/>
      <c r="X340" s="23"/>
      <c r="Y340" s="50"/>
      <c r="Z340" s="51"/>
      <c r="AA340" s="35"/>
      <c r="AB340" s="24"/>
      <c r="AC340" s="28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</row>
    <row r="341" spans="1:41" ht="12.75">
      <c r="A341" s="21" t="s">
        <v>373</v>
      </c>
      <c r="B341" s="53" t="s">
        <v>415</v>
      </c>
      <c r="C341" s="54">
        <v>198251</v>
      </c>
      <c r="D341" s="54">
        <v>7</v>
      </c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28">
        <v>94</v>
      </c>
      <c r="P341" s="24">
        <v>29618</v>
      </c>
      <c r="Q341" s="36"/>
      <c r="R341" s="50"/>
      <c r="S341" s="50"/>
      <c r="T341" s="50"/>
      <c r="U341" s="50"/>
      <c r="V341" s="50"/>
      <c r="W341" s="23"/>
      <c r="X341" s="23"/>
      <c r="Y341" s="50"/>
      <c r="Z341" s="51"/>
      <c r="AA341" s="35"/>
      <c r="AB341" s="24"/>
      <c r="AC341" s="28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</row>
    <row r="342" spans="1:41" ht="12.75">
      <c r="A342" s="21" t="s">
        <v>373</v>
      </c>
      <c r="B342" s="53" t="s">
        <v>416</v>
      </c>
      <c r="C342" s="54">
        <v>198260</v>
      </c>
      <c r="D342" s="54">
        <v>7</v>
      </c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28">
        <v>235</v>
      </c>
      <c r="P342" s="24">
        <v>33490</v>
      </c>
      <c r="Q342" s="36"/>
      <c r="R342" s="50"/>
      <c r="S342" s="50"/>
      <c r="T342" s="50"/>
      <c r="U342" s="50"/>
      <c r="V342" s="50"/>
      <c r="W342" s="23"/>
      <c r="X342" s="23"/>
      <c r="Y342" s="50"/>
      <c r="Z342" s="51"/>
      <c r="AA342" s="35"/>
      <c r="AB342" s="24"/>
      <c r="AC342" s="28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</row>
    <row r="343" spans="1:41" ht="12.75">
      <c r="A343" s="21" t="s">
        <v>373</v>
      </c>
      <c r="B343" s="53" t="s">
        <v>417</v>
      </c>
      <c r="C343" s="54">
        <v>198321</v>
      </c>
      <c r="D343" s="54">
        <v>7</v>
      </c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28">
        <v>45</v>
      </c>
      <c r="P343" s="24">
        <v>32435</v>
      </c>
      <c r="Q343" s="36"/>
      <c r="R343" s="50"/>
      <c r="S343" s="50"/>
      <c r="T343" s="50"/>
      <c r="U343" s="50"/>
      <c r="V343" s="50"/>
      <c r="W343" s="23"/>
      <c r="X343" s="23"/>
      <c r="Y343" s="50"/>
      <c r="Z343" s="51"/>
      <c r="AA343" s="35"/>
      <c r="AB343" s="24"/>
      <c r="AC343" s="28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</row>
    <row r="344" spans="1:41" ht="12.75">
      <c r="A344" s="21" t="s">
        <v>373</v>
      </c>
      <c r="B344" s="53" t="s">
        <v>418</v>
      </c>
      <c r="C344" s="54">
        <v>198330</v>
      </c>
      <c r="D344" s="54">
        <v>7</v>
      </c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28">
        <v>93</v>
      </c>
      <c r="P344" s="24">
        <v>33429</v>
      </c>
      <c r="Q344" s="36"/>
      <c r="R344" s="50"/>
      <c r="S344" s="50"/>
      <c r="T344" s="50"/>
      <c r="U344" s="50"/>
      <c r="V344" s="50"/>
      <c r="W344" s="23"/>
      <c r="X344" s="23"/>
      <c r="Y344" s="50"/>
      <c r="Z344" s="51"/>
      <c r="AA344" s="35"/>
      <c r="AB344" s="24"/>
      <c r="AC344" s="28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</row>
    <row r="345" spans="1:41" ht="12.75">
      <c r="A345" s="21" t="s">
        <v>373</v>
      </c>
      <c r="B345" s="53" t="s">
        <v>419</v>
      </c>
      <c r="C345" s="54">
        <v>197814</v>
      </c>
      <c r="D345" s="54">
        <v>7</v>
      </c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28">
        <v>58</v>
      </c>
      <c r="P345" s="24">
        <v>30973</v>
      </c>
      <c r="Q345" s="36"/>
      <c r="R345" s="50"/>
      <c r="S345" s="50"/>
      <c r="T345" s="50"/>
      <c r="U345" s="50"/>
      <c r="V345" s="50"/>
      <c r="W345" s="23"/>
      <c r="X345" s="23"/>
      <c r="Y345" s="50"/>
      <c r="Z345" s="51"/>
      <c r="AA345" s="35"/>
      <c r="AB345" s="24"/>
      <c r="AC345" s="28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</row>
    <row r="346" spans="1:41" ht="12.75">
      <c r="A346" s="21" t="s">
        <v>373</v>
      </c>
      <c r="B346" s="53" t="s">
        <v>420</v>
      </c>
      <c r="C346" s="54">
        <v>198367</v>
      </c>
      <c r="D346" s="54">
        <v>7</v>
      </c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28">
        <v>55</v>
      </c>
      <c r="P346" s="24">
        <v>32108</v>
      </c>
      <c r="Q346" s="36"/>
      <c r="R346" s="50"/>
      <c r="S346" s="50"/>
      <c r="T346" s="50"/>
      <c r="U346" s="50"/>
      <c r="V346" s="50"/>
      <c r="W346" s="23"/>
      <c r="X346" s="23"/>
      <c r="Y346" s="50"/>
      <c r="Z346" s="51"/>
      <c r="AA346" s="35"/>
      <c r="AB346" s="24"/>
      <c r="AC346" s="28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</row>
    <row r="347" spans="1:41" ht="12.75">
      <c r="A347" s="21" t="s">
        <v>373</v>
      </c>
      <c r="B347" s="53" t="s">
        <v>421</v>
      </c>
      <c r="C347" s="54">
        <v>198376</v>
      </c>
      <c r="D347" s="54">
        <v>7</v>
      </c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28">
        <v>65</v>
      </c>
      <c r="P347" s="24">
        <v>35479</v>
      </c>
      <c r="Q347" s="36"/>
      <c r="R347" s="50"/>
      <c r="S347" s="50"/>
      <c r="T347" s="50"/>
      <c r="U347" s="50"/>
      <c r="V347" s="50"/>
      <c r="W347" s="23"/>
      <c r="X347" s="23"/>
      <c r="Y347" s="50"/>
      <c r="Z347" s="51"/>
      <c r="AA347" s="35"/>
      <c r="AB347" s="24"/>
      <c r="AC347" s="28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</row>
    <row r="348" spans="1:41" ht="12.75">
      <c r="A348" s="21" t="s">
        <v>373</v>
      </c>
      <c r="B348" s="53" t="s">
        <v>422</v>
      </c>
      <c r="C348" s="54">
        <v>198455</v>
      </c>
      <c r="D348" s="54">
        <v>7</v>
      </c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28">
        <v>108</v>
      </c>
      <c r="P348" s="24">
        <v>32353</v>
      </c>
      <c r="Q348" s="36"/>
      <c r="R348" s="50"/>
      <c r="S348" s="50"/>
      <c r="T348" s="50"/>
      <c r="U348" s="50"/>
      <c r="V348" s="50"/>
      <c r="W348" s="23"/>
      <c r="X348" s="23"/>
      <c r="Y348" s="50"/>
      <c r="Z348" s="51"/>
      <c r="AA348" s="35"/>
      <c r="AB348" s="24"/>
      <c r="AC348" s="28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</row>
    <row r="349" spans="1:41" ht="12.75">
      <c r="A349" s="21" t="s">
        <v>373</v>
      </c>
      <c r="B349" s="53" t="s">
        <v>423</v>
      </c>
      <c r="C349" s="54">
        <v>198491</v>
      </c>
      <c r="D349" s="54">
        <v>7</v>
      </c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28">
        <v>73</v>
      </c>
      <c r="P349" s="24">
        <v>29505</v>
      </c>
      <c r="Q349" s="36"/>
      <c r="R349" s="50"/>
      <c r="S349" s="50"/>
      <c r="T349" s="50"/>
      <c r="U349" s="50"/>
      <c r="V349" s="50"/>
      <c r="W349" s="23"/>
      <c r="X349" s="23"/>
      <c r="Y349" s="50"/>
      <c r="Z349" s="51"/>
      <c r="AA349" s="35"/>
      <c r="AB349" s="24"/>
      <c r="AC349" s="28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</row>
    <row r="350" spans="1:41" ht="12.75">
      <c r="A350" s="21" t="s">
        <v>373</v>
      </c>
      <c r="B350" s="53" t="s">
        <v>424</v>
      </c>
      <c r="C350" s="54">
        <v>198534</v>
      </c>
      <c r="D350" s="54">
        <v>7</v>
      </c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28">
        <v>188</v>
      </c>
      <c r="P350" s="24">
        <v>33448</v>
      </c>
      <c r="Q350" s="36"/>
      <c r="R350" s="50"/>
      <c r="S350" s="50"/>
      <c r="T350" s="50"/>
      <c r="U350" s="50"/>
      <c r="V350" s="50"/>
      <c r="W350" s="23"/>
      <c r="X350" s="23"/>
      <c r="Y350" s="50"/>
      <c r="Z350" s="51"/>
      <c r="AA350" s="35"/>
      <c r="AB350" s="24"/>
      <c r="AC350" s="28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</row>
    <row r="351" spans="1:41" ht="12.75">
      <c r="A351" s="21" t="s">
        <v>373</v>
      </c>
      <c r="B351" s="53" t="s">
        <v>425</v>
      </c>
      <c r="C351" s="54">
        <v>198552</v>
      </c>
      <c r="D351" s="54">
        <v>7</v>
      </c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28">
        <v>134</v>
      </c>
      <c r="P351" s="24">
        <v>32488</v>
      </c>
      <c r="Q351" s="36"/>
      <c r="R351" s="50"/>
      <c r="S351" s="50"/>
      <c r="T351" s="50"/>
      <c r="U351" s="50"/>
      <c r="V351" s="50"/>
      <c r="W351" s="23"/>
      <c r="X351" s="23"/>
      <c r="Y351" s="50"/>
      <c r="Z351" s="51"/>
      <c r="AA351" s="35"/>
      <c r="AB351" s="24"/>
      <c r="AC351" s="28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</row>
    <row r="352" spans="1:41" ht="12.75">
      <c r="A352" s="21" t="s">
        <v>373</v>
      </c>
      <c r="B352" s="53" t="s">
        <v>426</v>
      </c>
      <c r="C352" s="54">
        <v>198570</v>
      </c>
      <c r="D352" s="54">
        <v>7</v>
      </c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28">
        <v>104</v>
      </c>
      <c r="P352" s="24">
        <v>35869</v>
      </c>
      <c r="Q352" s="36"/>
      <c r="R352" s="50"/>
      <c r="S352" s="50"/>
      <c r="T352" s="50"/>
      <c r="U352" s="50"/>
      <c r="V352" s="50"/>
      <c r="W352" s="23"/>
      <c r="X352" s="23"/>
      <c r="Y352" s="50"/>
      <c r="Z352" s="51"/>
      <c r="AA352" s="35"/>
      <c r="AB352" s="24"/>
      <c r="AC352" s="28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</row>
    <row r="353" spans="1:41" ht="12.75">
      <c r="A353" s="21" t="s">
        <v>373</v>
      </c>
      <c r="B353" s="53" t="s">
        <v>427</v>
      </c>
      <c r="C353" s="54">
        <v>198622</v>
      </c>
      <c r="D353" s="54">
        <v>7</v>
      </c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28">
        <v>179</v>
      </c>
      <c r="P353" s="24">
        <v>34673</v>
      </c>
      <c r="Q353" s="36"/>
      <c r="R353" s="50"/>
      <c r="S353" s="50"/>
      <c r="T353" s="50"/>
      <c r="U353" s="50"/>
      <c r="V353" s="50"/>
      <c r="W353" s="23"/>
      <c r="X353" s="23"/>
      <c r="Y353" s="50"/>
      <c r="Z353" s="51"/>
      <c r="AA353" s="35"/>
      <c r="AB353" s="24"/>
      <c r="AC353" s="28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</row>
    <row r="354" spans="1:41" ht="12.75">
      <c r="A354" s="21" t="s">
        <v>373</v>
      </c>
      <c r="B354" s="53" t="s">
        <v>428</v>
      </c>
      <c r="C354" s="54">
        <v>198640</v>
      </c>
      <c r="D354" s="54">
        <v>7</v>
      </c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23">
        <v>54</v>
      </c>
      <c r="P354" s="24">
        <v>32060</v>
      </c>
      <c r="Q354" s="36"/>
      <c r="R354" s="50"/>
      <c r="S354" s="50"/>
      <c r="T354" s="50"/>
      <c r="U354" s="50"/>
      <c r="V354" s="50"/>
      <c r="W354" s="23"/>
      <c r="X354" s="23"/>
      <c r="Y354" s="50"/>
      <c r="Z354" s="51"/>
      <c r="AA354" s="35"/>
      <c r="AB354" s="24"/>
      <c r="AC354" s="28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</row>
    <row r="355" spans="1:41" ht="12.75">
      <c r="A355" s="21" t="s">
        <v>373</v>
      </c>
      <c r="B355" s="53" t="s">
        <v>429</v>
      </c>
      <c r="C355" s="54">
        <v>198668</v>
      </c>
      <c r="D355" s="54">
        <v>7</v>
      </c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28">
        <v>55</v>
      </c>
      <c r="P355" s="24">
        <v>31619</v>
      </c>
      <c r="Q355" s="36"/>
      <c r="R355" s="50"/>
      <c r="S355" s="50"/>
      <c r="T355" s="50"/>
      <c r="U355" s="50"/>
      <c r="V355" s="50"/>
      <c r="W355" s="23"/>
      <c r="X355" s="23"/>
      <c r="Y355" s="50"/>
      <c r="Z355" s="51"/>
      <c r="AA355" s="35"/>
      <c r="AB355" s="24"/>
      <c r="AC355" s="28"/>
      <c r="AD355" s="41"/>
      <c r="AE355" s="41"/>
      <c r="AF355" s="41"/>
      <c r="AH355" s="41"/>
      <c r="AI355" s="41"/>
      <c r="AJ355" s="41"/>
      <c r="AK355" s="41"/>
      <c r="AL355" s="41"/>
      <c r="AM355" s="41"/>
      <c r="AN355" s="41"/>
      <c r="AO355" s="41"/>
    </row>
    <row r="356" spans="1:41" ht="12.75">
      <c r="A356" s="21" t="s">
        <v>373</v>
      </c>
      <c r="B356" s="53" t="s">
        <v>430</v>
      </c>
      <c r="C356" s="54">
        <v>198729</v>
      </c>
      <c r="D356" s="54">
        <v>7</v>
      </c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28">
        <v>50</v>
      </c>
      <c r="P356" s="24">
        <v>31340</v>
      </c>
      <c r="Q356" s="36"/>
      <c r="R356" s="50"/>
      <c r="S356" s="50"/>
      <c r="T356" s="50"/>
      <c r="U356" s="50"/>
      <c r="V356" s="50"/>
      <c r="W356" s="23"/>
      <c r="X356" s="23"/>
      <c r="Y356" s="50"/>
      <c r="Z356" s="51"/>
      <c r="AA356" s="35"/>
      <c r="AB356" s="24"/>
      <c r="AC356" s="28"/>
      <c r="AD356" s="41"/>
      <c r="AE356" s="41"/>
      <c r="AF356" s="41"/>
      <c r="AH356" s="41"/>
      <c r="AI356" s="41"/>
      <c r="AJ356" s="41"/>
      <c r="AK356" s="41"/>
      <c r="AL356" s="41"/>
      <c r="AM356" s="41"/>
      <c r="AN356" s="41"/>
      <c r="AO356" s="41"/>
    </row>
    <row r="357" spans="1:41" ht="12.75">
      <c r="A357" s="21" t="s">
        <v>373</v>
      </c>
      <c r="B357" s="53" t="s">
        <v>431</v>
      </c>
      <c r="C357" s="54">
        <v>198710</v>
      </c>
      <c r="D357" s="54">
        <v>7</v>
      </c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28">
        <v>43</v>
      </c>
      <c r="P357" s="24">
        <v>27712</v>
      </c>
      <c r="Q357" s="36"/>
      <c r="R357" s="50"/>
      <c r="S357" s="50"/>
      <c r="T357" s="50"/>
      <c r="U357" s="50"/>
      <c r="V357" s="50"/>
      <c r="W357" s="23"/>
      <c r="X357" s="23"/>
      <c r="Y357" s="50"/>
      <c r="Z357" s="51"/>
      <c r="AA357" s="35"/>
      <c r="AB357" s="24"/>
      <c r="AC357" s="28"/>
      <c r="AD357" s="41"/>
      <c r="AE357" s="41"/>
      <c r="AF357" s="41"/>
      <c r="AH357" s="41"/>
      <c r="AI357" s="41"/>
      <c r="AJ357" s="41"/>
      <c r="AK357" s="41"/>
      <c r="AL357" s="41"/>
      <c r="AM357" s="41"/>
      <c r="AN357" s="41"/>
      <c r="AO357" s="41"/>
    </row>
    <row r="358" spans="1:41" ht="12.75">
      <c r="A358" s="21" t="s">
        <v>373</v>
      </c>
      <c r="B358" s="53" t="s">
        <v>432</v>
      </c>
      <c r="C358" s="54">
        <v>198774</v>
      </c>
      <c r="D358" s="54">
        <v>7</v>
      </c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28">
        <v>106</v>
      </c>
      <c r="P358" s="24">
        <v>29566</v>
      </c>
      <c r="Q358" s="36"/>
      <c r="R358" s="50"/>
      <c r="S358" s="50"/>
      <c r="T358" s="50"/>
      <c r="U358" s="50"/>
      <c r="V358" s="50"/>
      <c r="W358" s="23"/>
      <c r="X358" s="23"/>
      <c r="Y358" s="50"/>
      <c r="Z358" s="51"/>
      <c r="AA358" s="35"/>
      <c r="AB358" s="24"/>
      <c r="AC358" s="28"/>
      <c r="AD358" s="41"/>
      <c r="AE358" s="41"/>
      <c r="AF358" s="41"/>
      <c r="AH358" s="41"/>
      <c r="AI358" s="41"/>
      <c r="AJ358" s="41"/>
      <c r="AK358" s="41"/>
      <c r="AL358" s="41"/>
      <c r="AM358" s="41"/>
      <c r="AN358" s="41"/>
      <c r="AO358" s="41"/>
    </row>
    <row r="359" spans="1:41" ht="12.75">
      <c r="A359" s="21" t="s">
        <v>373</v>
      </c>
      <c r="B359" s="53" t="s">
        <v>433</v>
      </c>
      <c r="C359" s="54">
        <v>198817</v>
      </c>
      <c r="D359" s="54">
        <v>7</v>
      </c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28">
        <v>75</v>
      </c>
      <c r="P359" s="24">
        <v>30798</v>
      </c>
      <c r="Q359" s="36"/>
      <c r="R359" s="50"/>
      <c r="S359" s="50"/>
      <c r="T359" s="50"/>
      <c r="U359" s="50"/>
      <c r="V359" s="50"/>
      <c r="W359" s="23"/>
      <c r="X359" s="23"/>
      <c r="Y359" s="50"/>
      <c r="Z359" s="51"/>
      <c r="AA359" s="35"/>
      <c r="AB359" s="24"/>
      <c r="AC359" s="28"/>
      <c r="AD359" s="41"/>
      <c r="AE359" s="41"/>
      <c r="AF359" s="41"/>
      <c r="AH359" s="41"/>
      <c r="AI359" s="41"/>
      <c r="AJ359" s="41"/>
      <c r="AK359" s="41"/>
      <c r="AL359" s="41"/>
      <c r="AM359" s="41"/>
      <c r="AN359" s="41"/>
      <c r="AO359" s="41"/>
    </row>
    <row r="360" spans="1:41" ht="12.75">
      <c r="A360" s="21" t="s">
        <v>373</v>
      </c>
      <c r="B360" s="53" t="s">
        <v>434</v>
      </c>
      <c r="C360" s="54">
        <v>198905</v>
      </c>
      <c r="D360" s="54">
        <v>7</v>
      </c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28">
        <v>25</v>
      </c>
      <c r="P360" s="24">
        <v>31291</v>
      </c>
      <c r="Q360" s="36"/>
      <c r="R360" s="50"/>
      <c r="S360" s="50"/>
      <c r="T360" s="50"/>
      <c r="U360" s="50"/>
      <c r="V360" s="50"/>
      <c r="W360" s="23"/>
      <c r="X360" s="23"/>
      <c r="Y360" s="50"/>
      <c r="Z360" s="51"/>
      <c r="AA360" s="35"/>
      <c r="AB360" s="24"/>
      <c r="AC360" s="28"/>
      <c r="AD360" s="41"/>
      <c r="AE360" s="41"/>
      <c r="AF360" s="41"/>
      <c r="AH360" s="41"/>
      <c r="AI360" s="41"/>
      <c r="AJ360" s="41"/>
      <c r="AK360" s="41"/>
      <c r="AL360" s="41"/>
      <c r="AM360" s="41"/>
      <c r="AN360" s="41"/>
      <c r="AO360" s="41"/>
    </row>
    <row r="361" spans="1:41" ht="12.75">
      <c r="A361" s="21" t="s">
        <v>373</v>
      </c>
      <c r="B361" s="53" t="s">
        <v>435</v>
      </c>
      <c r="C361" s="54">
        <v>198914</v>
      </c>
      <c r="D361" s="54">
        <v>7</v>
      </c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28">
        <v>28</v>
      </c>
      <c r="P361" s="24">
        <v>27465</v>
      </c>
      <c r="Q361" s="36"/>
      <c r="R361" s="50"/>
      <c r="S361" s="50"/>
      <c r="T361" s="50"/>
      <c r="U361" s="50"/>
      <c r="V361" s="50"/>
      <c r="W361" s="23"/>
      <c r="X361" s="23"/>
      <c r="Y361" s="50"/>
      <c r="Z361" s="51"/>
      <c r="AA361" s="35"/>
      <c r="AB361" s="24"/>
      <c r="AC361" s="28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</row>
    <row r="362" spans="1:41" ht="12.75">
      <c r="A362" s="21" t="s">
        <v>373</v>
      </c>
      <c r="B362" s="53" t="s">
        <v>436</v>
      </c>
      <c r="C362" s="54">
        <v>198923</v>
      </c>
      <c r="D362" s="54">
        <v>7</v>
      </c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28">
        <v>34</v>
      </c>
      <c r="P362" s="24">
        <v>26854</v>
      </c>
      <c r="Q362" s="36"/>
      <c r="R362" s="50"/>
      <c r="S362" s="50"/>
      <c r="T362" s="50"/>
      <c r="U362" s="50"/>
      <c r="V362" s="50"/>
      <c r="W362" s="23"/>
      <c r="X362" s="23"/>
      <c r="Y362" s="50"/>
      <c r="Z362" s="51"/>
      <c r="AA362" s="35"/>
      <c r="AB362" s="24"/>
      <c r="AC362" s="28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</row>
    <row r="363" spans="1:41" ht="12.75">
      <c r="A363" s="21" t="s">
        <v>373</v>
      </c>
      <c r="B363" s="53" t="s">
        <v>437</v>
      </c>
      <c r="C363" s="54">
        <v>198987</v>
      </c>
      <c r="D363" s="54">
        <v>7</v>
      </c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28">
        <v>46</v>
      </c>
      <c r="P363" s="24">
        <v>30395</v>
      </c>
      <c r="Q363" s="36"/>
      <c r="R363" s="50"/>
      <c r="S363" s="50"/>
      <c r="T363" s="50"/>
      <c r="U363" s="50"/>
      <c r="V363" s="50"/>
      <c r="W363" s="23"/>
      <c r="X363" s="23"/>
      <c r="Y363" s="50"/>
      <c r="Z363" s="51"/>
      <c r="AA363" s="35"/>
      <c r="AB363" s="24"/>
      <c r="AC363" s="28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</row>
    <row r="364" spans="1:41" ht="12.75">
      <c r="A364" s="21" t="s">
        <v>373</v>
      </c>
      <c r="B364" s="53" t="s">
        <v>438</v>
      </c>
      <c r="C364" s="54">
        <v>199023</v>
      </c>
      <c r="D364" s="54">
        <v>7</v>
      </c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28">
        <v>25</v>
      </c>
      <c r="P364" s="24">
        <v>30023</v>
      </c>
      <c r="Q364" s="36"/>
      <c r="R364" s="50"/>
      <c r="S364" s="50"/>
      <c r="T364" s="50"/>
      <c r="U364" s="50"/>
      <c r="V364" s="50"/>
      <c r="W364" s="23"/>
      <c r="X364" s="23"/>
      <c r="Y364" s="50"/>
      <c r="Z364" s="51"/>
      <c r="AA364" s="35"/>
      <c r="AB364" s="24"/>
      <c r="AC364" s="28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</row>
    <row r="365" spans="1:41" ht="12.75">
      <c r="A365" s="21" t="s">
        <v>373</v>
      </c>
      <c r="B365" s="53" t="s">
        <v>439</v>
      </c>
      <c r="C365" s="54">
        <v>199087</v>
      </c>
      <c r="D365" s="54">
        <v>7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28">
        <v>53</v>
      </c>
      <c r="P365" s="24">
        <v>31582</v>
      </c>
      <c r="Q365" s="36"/>
      <c r="R365" s="50"/>
      <c r="S365" s="50"/>
      <c r="T365" s="50"/>
      <c r="U365" s="50"/>
      <c r="V365" s="50"/>
      <c r="W365" s="23"/>
      <c r="X365" s="23"/>
      <c r="Y365" s="50"/>
      <c r="Z365" s="51"/>
      <c r="AA365" s="35"/>
      <c r="AB365" s="24"/>
      <c r="AC365" s="28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</row>
    <row r="366" spans="1:41" ht="12.75">
      <c r="A366" s="21" t="s">
        <v>373</v>
      </c>
      <c r="B366" s="53" t="s">
        <v>440</v>
      </c>
      <c r="C366" s="54">
        <v>199263</v>
      </c>
      <c r="D366" s="54">
        <v>7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28">
        <v>10</v>
      </c>
      <c r="P366" s="24">
        <v>32457</v>
      </c>
      <c r="Q366" s="36"/>
      <c r="R366" s="50"/>
      <c r="S366" s="50"/>
      <c r="T366" s="50"/>
      <c r="U366" s="50"/>
      <c r="V366" s="50"/>
      <c r="W366" s="23"/>
      <c r="X366" s="23"/>
      <c r="Y366" s="50"/>
      <c r="Z366" s="51"/>
      <c r="AA366" s="35"/>
      <c r="AB366" s="24"/>
      <c r="AC366" s="28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</row>
    <row r="367" spans="1:41" ht="12.75">
      <c r="A367" s="21" t="s">
        <v>373</v>
      </c>
      <c r="B367" s="53" t="s">
        <v>441</v>
      </c>
      <c r="C367" s="54">
        <v>199324</v>
      </c>
      <c r="D367" s="54">
        <v>7</v>
      </c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28">
        <v>46</v>
      </c>
      <c r="P367" s="24">
        <v>29507</v>
      </c>
      <c r="Q367" s="36"/>
      <c r="R367" s="50"/>
      <c r="S367" s="50"/>
      <c r="T367" s="50"/>
      <c r="U367" s="50"/>
      <c r="V367" s="50"/>
      <c r="W367" s="23"/>
      <c r="X367" s="23"/>
      <c r="Y367" s="50"/>
      <c r="Z367" s="51"/>
      <c r="AA367" s="35"/>
      <c r="AB367" s="24"/>
      <c r="AC367" s="28"/>
      <c r="AD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</row>
    <row r="368" spans="1:41" ht="12.75">
      <c r="A368" s="21" t="s">
        <v>373</v>
      </c>
      <c r="B368" s="53" t="s">
        <v>442</v>
      </c>
      <c r="C368" s="54">
        <v>199333</v>
      </c>
      <c r="D368" s="54">
        <v>7</v>
      </c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28">
        <v>114</v>
      </c>
      <c r="P368" s="24">
        <v>31510</v>
      </c>
      <c r="Q368" s="36"/>
      <c r="R368" s="50"/>
      <c r="S368" s="50"/>
      <c r="T368" s="50"/>
      <c r="U368" s="50"/>
      <c r="V368" s="50"/>
      <c r="W368" s="23"/>
      <c r="X368" s="23"/>
      <c r="Y368" s="50"/>
      <c r="Z368" s="51"/>
      <c r="AA368" s="35"/>
      <c r="AB368" s="24"/>
      <c r="AC368" s="28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</row>
    <row r="369" spans="1:41" ht="12.75">
      <c r="A369" s="21" t="s">
        <v>373</v>
      </c>
      <c r="B369" s="53" t="s">
        <v>443</v>
      </c>
      <c r="C369" s="54">
        <v>199421</v>
      </c>
      <c r="D369" s="54">
        <v>7</v>
      </c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28">
        <v>44</v>
      </c>
      <c r="P369" s="24">
        <v>31651</v>
      </c>
      <c r="Q369" s="36"/>
      <c r="R369" s="50"/>
      <c r="S369" s="50"/>
      <c r="T369" s="50"/>
      <c r="U369" s="50"/>
      <c r="V369" s="50"/>
      <c r="W369" s="23"/>
      <c r="X369" s="23"/>
      <c r="Y369" s="50"/>
      <c r="Z369" s="51"/>
      <c r="AA369" s="35"/>
      <c r="AB369" s="24"/>
      <c r="AC369" s="28"/>
      <c r="AD369" s="41"/>
      <c r="AE369" s="41"/>
      <c r="AG369" s="41"/>
      <c r="AH369" s="41"/>
      <c r="AI369" s="41"/>
      <c r="AJ369" s="41"/>
      <c r="AK369" s="41"/>
      <c r="AL369" s="41"/>
      <c r="AM369" s="41"/>
      <c r="AN369" s="41"/>
      <c r="AO369" s="41"/>
    </row>
    <row r="370" spans="1:41" ht="12.75">
      <c r="A370" s="21" t="s">
        <v>373</v>
      </c>
      <c r="B370" s="53" t="s">
        <v>444</v>
      </c>
      <c r="C370" s="54">
        <v>199449</v>
      </c>
      <c r="D370" s="54">
        <v>7</v>
      </c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28">
        <v>34</v>
      </c>
      <c r="P370" s="24">
        <v>34793</v>
      </c>
      <c r="Q370" s="36"/>
      <c r="R370" s="50"/>
      <c r="S370" s="50"/>
      <c r="T370" s="50"/>
      <c r="U370" s="50"/>
      <c r="V370" s="50"/>
      <c r="W370" s="23"/>
      <c r="X370" s="23"/>
      <c r="Y370" s="50"/>
      <c r="Z370" s="51"/>
      <c r="AA370" s="35"/>
      <c r="AB370" s="24"/>
      <c r="AC370" s="28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</row>
    <row r="371" spans="1:41" ht="12.75">
      <c r="A371" s="21" t="s">
        <v>373</v>
      </c>
      <c r="B371" s="53" t="s">
        <v>445</v>
      </c>
      <c r="C371" s="54">
        <v>199467</v>
      </c>
      <c r="D371" s="54">
        <v>7</v>
      </c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28">
        <v>33</v>
      </c>
      <c r="P371" s="24">
        <v>29702</v>
      </c>
      <c r="Q371" s="36"/>
      <c r="R371" s="50"/>
      <c r="S371" s="50"/>
      <c r="T371" s="50"/>
      <c r="U371" s="50"/>
      <c r="V371" s="50"/>
      <c r="W371" s="23"/>
      <c r="X371" s="23"/>
      <c r="Y371" s="50"/>
      <c r="Z371" s="51"/>
      <c r="AA371" s="35"/>
      <c r="AB371" s="24"/>
      <c r="AC371" s="28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</row>
    <row r="372" spans="1:41" ht="12.75">
      <c r="A372" s="21" t="s">
        <v>373</v>
      </c>
      <c r="B372" s="53" t="s">
        <v>446</v>
      </c>
      <c r="C372" s="54">
        <v>199476</v>
      </c>
      <c r="D372" s="54">
        <v>7</v>
      </c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28">
        <v>40</v>
      </c>
      <c r="P372" s="24">
        <v>34929</v>
      </c>
      <c r="Q372" s="36"/>
      <c r="R372" s="50"/>
      <c r="S372" s="50"/>
      <c r="T372" s="50"/>
      <c r="U372" s="50"/>
      <c r="V372" s="50"/>
      <c r="W372" s="23"/>
      <c r="X372" s="23"/>
      <c r="Y372" s="50"/>
      <c r="Z372" s="51"/>
      <c r="AA372" s="35"/>
      <c r="AB372" s="24"/>
      <c r="AC372" s="28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</row>
    <row r="373" spans="1:41" ht="12.75">
      <c r="A373" s="21" t="s">
        <v>373</v>
      </c>
      <c r="B373" s="53" t="s">
        <v>447</v>
      </c>
      <c r="C373" s="54">
        <v>199485</v>
      </c>
      <c r="D373" s="54">
        <v>7</v>
      </c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28">
        <v>56</v>
      </c>
      <c r="P373" s="24">
        <v>33606</v>
      </c>
      <c r="Q373" s="36"/>
      <c r="R373" s="50"/>
      <c r="S373" s="50"/>
      <c r="T373" s="50"/>
      <c r="U373" s="50"/>
      <c r="V373" s="50"/>
      <c r="W373" s="23"/>
      <c r="X373" s="23"/>
      <c r="Y373" s="50"/>
      <c r="Z373" s="51"/>
      <c r="AA373" s="35"/>
      <c r="AB373" s="24"/>
      <c r="AC373" s="28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</row>
    <row r="374" spans="1:41" ht="12.75">
      <c r="A374" s="21" t="s">
        <v>373</v>
      </c>
      <c r="B374" s="53" t="s">
        <v>448</v>
      </c>
      <c r="C374" s="54">
        <v>199494</v>
      </c>
      <c r="D374" s="54">
        <v>7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28">
        <v>74</v>
      </c>
      <c r="P374" s="24">
        <v>34712</v>
      </c>
      <c r="Q374" s="36"/>
      <c r="R374" s="50"/>
      <c r="S374" s="50"/>
      <c r="T374" s="50"/>
      <c r="U374" s="50"/>
      <c r="V374" s="50"/>
      <c r="W374" s="23"/>
      <c r="X374" s="23"/>
      <c r="Y374" s="50"/>
      <c r="Z374" s="51"/>
      <c r="AA374" s="35"/>
      <c r="AB374" s="24"/>
      <c r="AC374" s="28"/>
      <c r="AD374" s="45"/>
      <c r="AE374" s="41"/>
      <c r="AF374" s="41"/>
      <c r="AG374" s="41"/>
      <c r="AH374" s="41"/>
      <c r="AI374" s="41"/>
      <c r="AJ374" s="41"/>
      <c r="AK374" s="41"/>
      <c r="AL374" s="41"/>
      <c r="AM374" s="41"/>
      <c r="AN374" s="45"/>
      <c r="AO374" s="41"/>
    </row>
    <row r="375" spans="1:41" ht="12.75">
      <c r="A375" s="21" t="s">
        <v>373</v>
      </c>
      <c r="B375" s="53" t="s">
        <v>449</v>
      </c>
      <c r="C375" s="54">
        <v>199625</v>
      </c>
      <c r="D375" s="54">
        <v>7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28">
        <v>38</v>
      </c>
      <c r="P375" s="24">
        <v>31635</v>
      </c>
      <c r="Q375" s="36"/>
      <c r="R375" s="50"/>
      <c r="S375" s="50"/>
      <c r="T375" s="50"/>
      <c r="U375" s="50"/>
      <c r="V375" s="50"/>
      <c r="W375" s="23"/>
      <c r="X375" s="23"/>
      <c r="Y375" s="50"/>
      <c r="Z375" s="51"/>
      <c r="AA375" s="35"/>
      <c r="AB375" s="24"/>
      <c r="AC375" s="28"/>
      <c r="AD375" s="41"/>
      <c r="AE375" s="41"/>
      <c r="AF375" s="41"/>
      <c r="AG375" s="41"/>
      <c r="AI375" s="41"/>
      <c r="AJ375" s="41"/>
      <c r="AK375" s="41"/>
      <c r="AL375" s="41"/>
      <c r="AM375" s="41"/>
      <c r="AN375" s="41"/>
      <c r="AO375" s="41"/>
    </row>
    <row r="376" spans="1:41" ht="12.75">
      <c r="A376" s="21" t="s">
        <v>373</v>
      </c>
      <c r="B376" s="53" t="s">
        <v>450</v>
      </c>
      <c r="C376" s="54">
        <v>199634</v>
      </c>
      <c r="D376" s="54">
        <v>7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28">
        <v>98</v>
      </c>
      <c r="P376" s="24">
        <v>36629</v>
      </c>
      <c r="Q376" s="36"/>
      <c r="R376" s="50"/>
      <c r="S376" s="50"/>
      <c r="T376" s="50"/>
      <c r="U376" s="50"/>
      <c r="V376" s="50"/>
      <c r="W376" s="23"/>
      <c r="X376" s="23"/>
      <c r="Y376" s="50"/>
      <c r="Z376" s="51"/>
      <c r="AA376" s="35"/>
      <c r="AB376" s="24"/>
      <c r="AC376" s="28"/>
      <c r="AD376" s="41"/>
      <c r="AE376" s="41"/>
      <c r="AG376" s="41"/>
      <c r="AH376" s="41"/>
      <c r="AI376" s="41"/>
      <c r="AJ376" s="41"/>
      <c r="AK376" s="41"/>
      <c r="AL376" s="41"/>
      <c r="AM376" s="41"/>
      <c r="AN376" s="41"/>
      <c r="AO376" s="41"/>
    </row>
    <row r="377" spans="1:41" ht="12.75">
      <c r="A377" s="21" t="s">
        <v>373</v>
      </c>
      <c r="B377" s="53" t="s">
        <v>451</v>
      </c>
      <c r="C377" s="54">
        <v>199722</v>
      </c>
      <c r="D377" s="54">
        <v>7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28">
        <v>56</v>
      </c>
      <c r="P377" s="24">
        <v>31784</v>
      </c>
      <c r="Q377" s="36"/>
      <c r="R377" s="50"/>
      <c r="S377" s="50"/>
      <c r="T377" s="50"/>
      <c r="U377" s="50"/>
      <c r="V377" s="50"/>
      <c r="W377" s="23"/>
      <c r="X377" s="23"/>
      <c r="Y377" s="50"/>
      <c r="Z377" s="51"/>
      <c r="AA377" s="35"/>
      <c r="AB377" s="24"/>
      <c r="AC377" s="28"/>
      <c r="AD377" s="41"/>
      <c r="AE377" s="41"/>
      <c r="AG377" s="41"/>
      <c r="AH377" s="41"/>
      <c r="AI377" s="41"/>
      <c r="AJ377" s="41"/>
      <c r="AK377" s="41"/>
      <c r="AL377" s="41"/>
      <c r="AM377" s="41"/>
      <c r="AN377" s="41"/>
      <c r="AO377" s="41"/>
    </row>
    <row r="378" spans="1:41" ht="12.75">
      <c r="A378" s="21" t="s">
        <v>373</v>
      </c>
      <c r="B378" s="53" t="s">
        <v>452</v>
      </c>
      <c r="C378" s="54">
        <v>199731</v>
      </c>
      <c r="D378" s="54">
        <v>7</v>
      </c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28">
        <v>47</v>
      </c>
      <c r="P378" s="24">
        <v>32878</v>
      </c>
      <c r="Q378" s="36"/>
      <c r="R378" s="50"/>
      <c r="S378" s="50"/>
      <c r="T378" s="50"/>
      <c r="U378" s="50"/>
      <c r="V378" s="50"/>
      <c r="W378" s="23"/>
      <c r="X378" s="23"/>
      <c r="Y378" s="50"/>
      <c r="Z378" s="51"/>
      <c r="AA378" s="35"/>
      <c r="AB378" s="24"/>
      <c r="AC378" s="28"/>
      <c r="AD378" s="41"/>
      <c r="AE378" s="41"/>
      <c r="AG378" s="41"/>
      <c r="AH378" s="41"/>
      <c r="AI378" s="41"/>
      <c r="AJ378" s="41"/>
      <c r="AK378" s="41"/>
      <c r="AL378" s="41"/>
      <c r="AM378" s="41"/>
      <c r="AN378" s="41"/>
      <c r="AO378" s="41"/>
    </row>
    <row r="379" spans="1:41" ht="12.75">
      <c r="A379" s="21" t="s">
        <v>373</v>
      </c>
      <c r="B379" s="53" t="s">
        <v>453</v>
      </c>
      <c r="C379" s="54">
        <v>199740</v>
      </c>
      <c r="D379" s="54">
        <v>7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28">
        <v>43</v>
      </c>
      <c r="P379" s="24">
        <v>30175</v>
      </c>
      <c r="Q379" s="36"/>
      <c r="R379" s="50"/>
      <c r="S379" s="50"/>
      <c r="T379" s="50"/>
      <c r="U379" s="50"/>
      <c r="V379" s="50"/>
      <c r="W379" s="23"/>
      <c r="X379" s="23"/>
      <c r="Y379" s="50"/>
      <c r="Z379" s="51"/>
      <c r="AA379" s="35"/>
      <c r="AB379" s="24"/>
      <c r="AC379" s="28"/>
      <c r="AD379" s="41"/>
      <c r="AE379" s="41"/>
      <c r="AG379" s="41"/>
      <c r="AH379" s="41"/>
      <c r="AI379" s="41"/>
      <c r="AJ379" s="41"/>
      <c r="AK379" s="41"/>
      <c r="AL379" s="41"/>
      <c r="AM379" s="41"/>
      <c r="AN379" s="41"/>
      <c r="AO379" s="41"/>
    </row>
    <row r="380" spans="1:41" ht="12.75">
      <c r="A380" s="21" t="s">
        <v>373</v>
      </c>
      <c r="B380" s="53" t="s">
        <v>454</v>
      </c>
      <c r="C380" s="54">
        <v>199768</v>
      </c>
      <c r="D380" s="54">
        <v>7</v>
      </c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28">
        <v>73</v>
      </c>
      <c r="P380" s="24">
        <v>32896</v>
      </c>
      <c r="Q380" s="36"/>
      <c r="R380" s="50"/>
      <c r="S380" s="50"/>
      <c r="T380" s="50"/>
      <c r="U380" s="50"/>
      <c r="V380" s="50"/>
      <c r="W380" s="23"/>
      <c r="X380" s="23"/>
      <c r="Y380" s="50"/>
      <c r="Z380" s="51"/>
      <c r="AA380" s="35"/>
      <c r="AB380" s="24"/>
      <c r="AC380" s="28"/>
      <c r="AD380" s="41"/>
      <c r="AE380" s="41"/>
      <c r="AG380" s="41"/>
      <c r="AH380" s="41"/>
      <c r="AI380" s="41"/>
      <c r="AJ380" s="41"/>
      <c r="AK380" s="41"/>
      <c r="AL380" s="41"/>
      <c r="AM380" s="41"/>
      <c r="AN380" s="41"/>
      <c r="AO380" s="41"/>
    </row>
    <row r="381" spans="1:41" ht="12.75">
      <c r="A381" s="21" t="s">
        <v>373</v>
      </c>
      <c r="B381" s="53" t="s">
        <v>455</v>
      </c>
      <c r="C381" s="54">
        <v>199795</v>
      </c>
      <c r="D381" s="54">
        <v>7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28">
        <v>22</v>
      </c>
      <c r="P381" s="24">
        <v>28185</v>
      </c>
      <c r="Q381" s="36"/>
      <c r="R381" s="50"/>
      <c r="S381" s="50"/>
      <c r="T381" s="50"/>
      <c r="U381" s="50"/>
      <c r="V381" s="50"/>
      <c r="W381" s="23"/>
      <c r="X381" s="23"/>
      <c r="Y381" s="50"/>
      <c r="Z381" s="51"/>
      <c r="AA381" s="35"/>
      <c r="AB381" s="24"/>
      <c r="AC381" s="28"/>
      <c r="AD381" s="41"/>
      <c r="AE381" s="41"/>
      <c r="AG381" s="41"/>
      <c r="AH381" s="41"/>
      <c r="AI381" s="41"/>
      <c r="AJ381" s="41"/>
      <c r="AK381" s="41"/>
      <c r="AL381" s="41"/>
      <c r="AM381" s="41"/>
      <c r="AN381" s="41"/>
      <c r="AO381" s="41"/>
    </row>
    <row r="382" spans="1:41" ht="12.75">
      <c r="A382" s="21" t="s">
        <v>373</v>
      </c>
      <c r="B382" s="53" t="s">
        <v>456</v>
      </c>
      <c r="C382" s="54">
        <v>199838</v>
      </c>
      <c r="D382" s="54">
        <v>7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28">
        <v>75</v>
      </c>
      <c r="P382" s="24">
        <v>31271</v>
      </c>
      <c r="Q382" s="36"/>
      <c r="R382" s="50"/>
      <c r="S382" s="50"/>
      <c r="T382" s="50"/>
      <c r="U382" s="50"/>
      <c r="V382" s="50"/>
      <c r="W382" s="23"/>
      <c r="X382" s="23"/>
      <c r="Y382" s="50"/>
      <c r="Z382" s="51"/>
      <c r="AA382" s="35"/>
      <c r="AB382" s="24"/>
      <c r="AC382" s="28"/>
      <c r="AD382" s="41"/>
      <c r="AE382" s="41"/>
      <c r="AG382" s="41"/>
      <c r="AH382" s="41"/>
      <c r="AI382" s="41"/>
      <c r="AJ382" s="41"/>
      <c r="AK382" s="41"/>
      <c r="AL382" s="41"/>
      <c r="AM382" s="41"/>
      <c r="AN382" s="41"/>
      <c r="AO382" s="41"/>
    </row>
    <row r="383" spans="1:36" ht="12.75">
      <c r="A383" s="21" t="s">
        <v>373</v>
      </c>
      <c r="B383" s="53" t="s">
        <v>457</v>
      </c>
      <c r="C383" s="54">
        <v>199856</v>
      </c>
      <c r="D383" s="54">
        <v>7</v>
      </c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28">
        <v>174</v>
      </c>
      <c r="P383" s="24">
        <v>32141</v>
      </c>
      <c r="Q383" s="36"/>
      <c r="R383" s="50"/>
      <c r="S383" s="50"/>
      <c r="T383" s="50"/>
      <c r="U383" s="50"/>
      <c r="V383" s="50"/>
      <c r="W383" s="23"/>
      <c r="X383" s="23"/>
      <c r="Y383" s="50"/>
      <c r="Z383" s="51"/>
      <c r="AA383" s="35"/>
      <c r="AB383" s="24"/>
      <c r="AC383" s="28"/>
      <c r="AD383" s="41"/>
      <c r="AE383" s="41"/>
      <c r="AF383" s="41"/>
      <c r="AG383" s="41"/>
      <c r="AH383" s="41"/>
      <c r="AI383" s="41"/>
      <c r="AJ383" s="41"/>
    </row>
    <row r="384" spans="1:29" ht="12.75">
      <c r="A384" s="21" t="s">
        <v>373</v>
      </c>
      <c r="B384" s="53" t="s">
        <v>458</v>
      </c>
      <c r="C384" s="54">
        <v>199892</v>
      </c>
      <c r="D384" s="54">
        <v>7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28">
        <v>89</v>
      </c>
      <c r="P384" s="24">
        <v>33983</v>
      </c>
      <c r="Q384" s="36"/>
      <c r="R384" s="50"/>
      <c r="S384" s="50"/>
      <c r="T384" s="50"/>
      <c r="U384" s="50"/>
      <c r="V384" s="50"/>
      <c r="W384" s="23"/>
      <c r="X384" s="23"/>
      <c r="Y384" s="50"/>
      <c r="Z384" s="51"/>
      <c r="AA384" s="35"/>
      <c r="AB384" s="24"/>
      <c r="AC384" s="28"/>
    </row>
    <row r="385" spans="1:29" ht="12.75">
      <c r="A385" s="21" t="s">
        <v>373</v>
      </c>
      <c r="B385" s="53" t="s">
        <v>459</v>
      </c>
      <c r="C385" s="54">
        <v>199908</v>
      </c>
      <c r="D385" s="54">
        <v>7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28">
        <v>65</v>
      </c>
      <c r="P385" s="24">
        <v>29789</v>
      </c>
      <c r="Q385" s="36"/>
      <c r="R385" s="50"/>
      <c r="S385" s="50"/>
      <c r="T385" s="50"/>
      <c r="U385" s="50"/>
      <c r="V385" s="50"/>
      <c r="W385" s="23"/>
      <c r="X385" s="23"/>
      <c r="Y385" s="50"/>
      <c r="Z385" s="51"/>
      <c r="AA385" s="35"/>
      <c r="AB385" s="24"/>
      <c r="AC385" s="28"/>
    </row>
    <row r="386" spans="1:29" ht="12.75">
      <c r="A386" s="21" t="s">
        <v>373</v>
      </c>
      <c r="B386" s="53" t="s">
        <v>460</v>
      </c>
      <c r="C386" s="54">
        <v>199926</v>
      </c>
      <c r="D386" s="54">
        <v>7</v>
      </c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28">
        <v>57</v>
      </c>
      <c r="P386" s="24">
        <v>32130</v>
      </c>
      <c r="Q386" s="36"/>
      <c r="R386" s="50"/>
      <c r="S386" s="50"/>
      <c r="T386" s="50"/>
      <c r="U386" s="50"/>
      <c r="V386" s="50"/>
      <c r="W386" s="23"/>
      <c r="X386" s="23"/>
      <c r="Y386" s="50"/>
      <c r="Z386" s="51"/>
      <c r="AA386" s="35"/>
      <c r="AB386" s="24"/>
      <c r="AC386" s="28"/>
    </row>
    <row r="387" spans="1:29" ht="12.75">
      <c r="A387" s="21" t="s">
        <v>373</v>
      </c>
      <c r="B387" s="53" t="s">
        <v>461</v>
      </c>
      <c r="C387" s="54">
        <v>199953</v>
      </c>
      <c r="D387" s="54">
        <v>7</v>
      </c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28">
        <v>48</v>
      </c>
      <c r="P387" s="24">
        <v>30574</v>
      </c>
      <c r="Q387" s="36"/>
      <c r="R387" s="50"/>
      <c r="S387" s="50"/>
      <c r="T387" s="50"/>
      <c r="U387" s="50"/>
      <c r="V387" s="50"/>
      <c r="W387" s="23"/>
      <c r="X387" s="23"/>
      <c r="Y387" s="50"/>
      <c r="Z387" s="51"/>
      <c r="AA387" s="35"/>
      <c r="AB387" s="24"/>
      <c r="AC387" s="28"/>
    </row>
    <row r="388" spans="1:29" ht="12.75">
      <c r="A388" s="21" t="s">
        <v>462</v>
      </c>
      <c r="B388" s="28" t="s">
        <v>463</v>
      </c>
      <c r="C388" s="70"/>
      <c r="D388" s="70"/>
      <c r="E388" s="28">
        <f>6+21</f>
        <v>27</v>
      </c>
      <c r="F388" s="28">
        <f>((6*93868)+(21*80222))/27</f>
        <v>83254.44444444444</v>
      </c>
      <c r="G388" s="28">
        <v>17</v>
      </c>
      <c r="H388" s="28">
        <v>67723</v>
      </c>
      <c r="I388" s="28">
        <v>14</v>
      </c>
      <c r="J388" s="28">
        <v>62713</v>
      </c>
      <c r="K388" s="23"/>
      <c r="L388" s="23"/>
      <c r="M388" s="23"/>
      <c r="N388" s="23"/>
      <c r="O388" s="23"/>
      <c r="P388" s="26"/>
      <c r="Q388" s="25">
        <v>2</v>
      </c>
      <c r="R388" s="28">
        <v>72320</v>
      </c>
      <c r="S388" s="28">
        <v>1</v>
      </c>
      <c r="T388" s="28">
        <v>59980</v>
      </c>
      <c r="U388" s="28">
        <v>1</v>
      </c>
      <c r="V388" s="28">
        <v>54882</v>
      </c>
      <c r="W388" s="28">
        <v>1</v>
      </c>
      <c r="X388" s="28">
        <v>37004</v>
      </c>
      <c r="Y388" s="23"/>
      <c r="Z388" s="26"/>
      <c r="AA388" s="38"/>
      <c r="AB388" s="26"/>
      <c r="AC388" s="21"/>
    </row>
    <row r="389" spans="1:29" ht="12.75">
      <c r="A389" s="21" t="s">
        <v>462</v>
      </c>
      <c r="B389" s="28" t="s">
        <v>464</v>
      </c>
      <c r="C389" s="70"/>
      <c r="D389" s="70"/>
      <c r="E389" s="28">
        <v>21</v>
      </c>
      <c r="F389" s="28">
        <f>((6*122658)+(15*82361))/21</f>
        <v>93874.42857142857</v>
      </c>
      <c r="G389" s="28">
        <v>4</v>
      </c>
      <c r="H389" s="28">
        <v>65245</v>
      </c>
      <c r="I389" s="28">
        <v>3</v>
      </c>
      <c r="J389" s="28">
        <v>60333</v>
      </c>
      <c r="K389" s="23"/>
      <c r="L389" s="23"/>
      <c r="M389" s="23"/>
      <c r="N389" s="23"/>
      <c r="O389" s="23"/>
      <c r="P389" s="26"/>
      <c r="Q389" s="25">
        <v>4</v>
      </c>
      <c r="R389" s="28">
        <f>((2*112067)+(2*108982))/4</f>
        <v>110524.5</v>
      </c>
      <c r="S389" s="28">
        <v>1</v>
      </c>
      <c r="T389" s="28">
        <v>100850</v>
      </c>
      <c r="U389" s="23"/>
      <c r="V389" s="23"/>
      <c r="W389" s="28">
        <v>4</v>
      </c>
      <c r="X389" s="28">
        <v>49716</v>
      </c>
      <c r="Y389" s="23"/>
      <c r="Z389" s="26"/>
      <c r="AA389" s="38"/>
      <c r="AB389" s="26"/>
      <c r="AC389" s="21"/>
    </row>
    <row r="390" spans="1:29" ht="12.75">
      <c r="A390" s="21" t="s">
        <v>462</v>
      </c>
      <c r="B390" s="31" t="s">
        <v>465</v>
      </c>
      <c r="C390" s="48">
        <v>207388</v>
      </c>
      <c r="D390" s="48">
        <v>1</v>
      </c>
      <c r="E390" s="21">
        <v>215</v>
      </c>
      <c r="F390" s="21">
        <v>72619</v>
      </c>
      <c r="G390" s="21">
        <v>236</v>
      </c>
      <c r="H390" s="21">
        <v>48743</v>
      </c>
      <c r="I390" s="21">
        <v>141</v>
      </c>
      <c r="J390" s="21">
        <v>42266</v>
      </c>
      <c r="K390" s="21">
        <v>15</v>
      </c>
      <c r="L390" s="21">
        <v>30756</v>
      </c>
      <c r="M390" s="23"/>
      <c r="N390" s="23"/>
      <c r="O390" s="23"/>
      <c r="P390" s="26"/>
      <c r="Q390" s="34">
        <v>65</v>
      </c>
      <c r="R390" s="21">
        <v>89698</v>
      </c>
      <c r="S390" s="21">
        <v>19</v>
      </c>
      <c r="T390" s="21">
        <v>65848</v>
      </c>
      <c r="U390" s="21">
        <v>1</v>
      </c>
      <c r="V390" s="21">
        <v>55908</v>
      </c>
      <c r="W390" s="21">
        <v>20</v>
      </c>
      <c r="X390" s="21">
        <v>28173</v>
      </c>
      <c r="Y390" s="23"/>
      <c r="Z390" s="26"/>
      <c r="AA390" s="38"/>
      <c r="AB390" s="26"/>
      <c r="AC390" s="21"/>
    </row>
    <row r="391" spans="1:29" ht="12.75">
      <c r="A391" s="21" t="s">
        <v>462</v>
      </c>
      <c r="B391" s="31" t="s">
        <v>466</v>
      </c>
      <c r="C391" s="48">
        <v>207500</v>
      </c>
      <c r="D391" s="48">
        <v>1</v>
      </c>
      <c r="E391" s="23">
        <v>225</v>
      </c>
      <c r="F391" s="23">
        <v>68128</v>
      </c>
      <c r="G391" s="28">
        <v>223</v>
      </c>
      <c r="H391" s="23">
        <v>47903</v>
      </c>
      <c r="I391" s="28">
        <v>205</v>
      </c>
      <c r="J391" s="23">
        <v>39800</v>
      </c>
      <c r="K391" s="23">
        <v>44</v>
      </c>
      <c r="L391" s="23">
        <v>23716</v>
      </c>
      <c r="M391" s="23"/>
      <c r="N391" s="23"/>
      <c r="O391" s="23"/>
      <c r="P391" s="26"/>
      <c r="Q391" s="25">
        <v>65</v>
      </c>
      <c r="R391" s="23">
        <v>86886</v>
      </c>
      <c r="S391" s="23">
        <v>29</v>
      </c>
      <c r="T391" s="23">
        <v>57730</v>
      </c>
      <c r="U391" s="23">
        <v>20</v>
      </c>
      <c r="V391" s="23">
        <v>39544</v>
      </c>
      <c r="W391" s="23">
        <v>2</v>
      </c>
      <c r="X391" s="23">
        <v>43000</v>
      </c>
      <c r="Y391" s="23"/>
      <c r="Z391" s="26"/>
      <c r="AA391" s="38"/>
      <c r="AB391" s="26"/>
      <c r="AC391" s="21"/>
    </row>
    <row r="392" spans="1:29" ht="12.75">
      <c r="A392" s="21" t="s">
        <v>462</v>
      </c>
      <c r="B392" s="31" t="s">
        <v>467</v>
      </c>
      <c r="C392" s="48">
        <v>206941</v>
      </c>
      <c r="D392" s="48">
        <v>3</v>
      </c>
      <c r="E392" s="28">
        <v>115</v>
      </c>
      <c r="F392" s="23">
        <v>55667</v>
      </c>
      <c r="G392" s="28">
        <v>86</v>
      </c>
      <c r="H392" s="23">
        <v>48973</v>
      </c>
      <c r="I392" s="28">
        <v>133</v>
      </c>
      <c r="J392" s="23">
        <v>43610</v>
      </c>
      <c r="K392" s="23">
        <v>45</v>
      </c>
      <c r="L392" s="23">
        <v>35392</v>
      </c>
      <c r="M392" s="23"/>
      <c r="N392" s="23"/>
      <c r="O392" s="23"/>
      <c r="P392" s="26"/>
      <c r="Q392" s="46"/>
      <c r="R392" s="23"/>
      <c r="S392" s="23"/>
      <c r="T392" s="23"/>
      <c r="U392" s="23"/>
      <c r="V392" s="23"/>
      <c r="W392" s="23"/>
      <c r="X392" s="23"/>
      <c r="Y392" s="23"/>
      <c r="Z392" s="26"/>
      <c r="AA392" s="38"/>
      <c r="AB392" s="26"/>
      <c r="AC392" s="21"/>
    </row>
    <row r="393" spans="1:29" ht="12.75">
      <c r="A393" s="21" t="s">
        <v>462</v>
      </c>
      <c r="B393" s="31" t="s">
        <v>468</v>
      </c>
      <c r="C393" s="48">
        <v>207263</v>
      </c>
      <c r="D393" s="48">
        <v>4</v>
      </c>
      <c r="E393" s="28">
        <v>63</v>
      </c>
      <c r="F393" s="23">
        <v>49964</v>
      </c>
      <c r="G393" s="28">
        <v>45</v>
      </c>
      <c r="H393" s="23">
        <v>41509</v>
      </c>
      <c r="I393" s="28">
        <v>89</v>
      </c>
      <c r="J393" s="23">
        <v>39064</v>
      </c>
      <c r="K393" s="28">
        <v>47</v>
      </c>
      <c r="L393" s="23">
        <v>33285</v>
      </c>
      <c r="M393" s="23"/>
      <c r="N393" s="23"/>
      <c r="O393" s="23"/>
      <c r="P393" s="26"/>
      <c r="Q393" s="25">
        <v>11</v>
      </c>
      <c r="R393" s="23">
        <v>69687</v>
      </c>
      <c r="S393" s="23">
        <v>1</v>
      </c>
      <c r="T393" s="23">
        <v>55080</v>
      </c>
      <c r="U393" s="23">
        <v>10</v>
      </c>
      <c r="V393" s="23">
        <v>52094</v>
      </c>
      <c r="W393" s="23">
        <v>2</v>
      </c>
      <c r="X393" s="23">
        <v>52200</v>
      </c>
      <c r="Y393" s="23"/>
      <c r="Z393" s="26"/>
      <c r="AA393" s="38"/>
      <c r="AB393" s="26"/>
      <c r="AC393" s="21"/>
    </row>
    <row r="394" spans="1:29" ht="12.75">
      <c r="A394" s="21" t="s">
        <v>462</v>
      </c>
      <c r="B394" s="31" t="s">
        <v>469</v>
      </c>
      <c r="C394" s="48">
        <v>207865</v>
      </c>
      <c r="D394" s="48">
        <v>4</v>
      </c>
      <c r="E394" s="28">
        <v>50</v>
      </c>
      <c r="F394" s="23">
        <v>52783</v>
      </c>
      <c r="G394" s="28">
        <v>40</v>
      </c>
      <c r="H394" s="23">
        <v>46867</v>
      </c>
      <c r="I394" s="28">
        <v>58</v>
      </c>
      <c r="J394" s="23">
        <v>38838</v>
      </c>
      <c r="K394" s="28">
        <v>56</v>
      </c>
      <c r="L394" s="23">
        <v>31756</v>
      </c>
      <c r="M394" s="23"/>
      <c r="N394" s="23"/>
      <c r="O394" s="23"/>
      <c r="P394" s="26"/>
      <c r="Q394" s="25">
        <v>2</v>
      </c>
      <c r="R394" s="23">
        <v>68400</v>
      </c>
      <c r="S394" s="23">
        <v>6</v>
      </c>
      <c r="T394" s="23">
        <v>57658</v>
      </c>
      <c r="U394" s="23">
        <v>3</v>
      </c>
      <c r="V394" s="23">
        <v>52044</v>
      </c>
      <c r="W394" s="23">
        <v>1</v>
      </c>
      <c r="X394" s="23">
        <v>31200</v>
      </c>
      <c r="Y394" s="23"/>
      <c r="Z394" s="26"/>
      <c r="AA394" s="38"/>
      <c r="AB394" s="26"/>
      <c r="AC394" s="21"/>
    </row>
    <row r="395" spans="1:29" ht="12.75">
      <c r="A395" s="21" t="s">
        <v>462</v>
      </c>
      <c r="B395" s="31" t="s">
        <v>470</v>
      </c>
      <c r="C395" s="48">
        <v>206914</v>
      </c>
      <c r="D395" s="48">
        <v>5</v>
      </c>
      <c r="E395" s="28">
        <v>46</v>
      </c>
      <c r="F395" s="23">
        <v>49852</v>
      </c>
      <c r="G395" s="28">
        <v>42</v>
      </c>
      <c r="H395" s="23">
        <v>42428</v>
      </c>
      <c r="I395" s="28">
        <v>59</v>
      </c>
      <c r="J395" s="23">
        <v>36712</v>
      </c>
      <c r="K395" s="28">
        <v>19</v>
      </c>
      <c r="L395" s="23">
        <v>29479</v>
      </c>
      <c r="M395" s="23"/>
      <c r="N395" s="23"/>
      <c r="O395" s="23"/>
      <c r="P395" s="26"/>
      <c r="Q395" s="46"/>
      <c r="R395" s="23"/>
      <c r="S395" s="23"/>
      <c r="T395" s="23"/>
      <c r="U395" s="23"/>
      <c r="V395" s="23"/>
      <c r="W395" s="23">
        <v>7</v>
      </c>
      <c r="X395" s="23">
        <v>35105</v>
      </c>
      <c r="Y395" s="23"/>
      <c r="Z395" s="26"/>
      <c r="AA395" s="38"/>
      <c r="AB395" s="26"/>
      <c r="AC395" s="21"/>
    </row>
    <row r="396" spans="1:29" ht="12.75">
      <c r="A396" s="21" t="s">
        <v>462</v>
      </c>
      <c r="B396" s="31" t="s">
        <v>471</v>
      </c>
      <c r="C396" s="48">
        <v>207041</v>
      </c>
      <c r="D396" s="48">
        <v>5</v>
      </c>
      <c r="E396" s="28">
        <v>37</v>
      </c>
      <c r="F396" s="23">
        <v>50134</v>
      </c>
      <c r="G396" s="28">
        <v>32</v>
      </c>
      <c r="H396" s="23">
        <v>43967</v>
      </c>
      <c r="I396" s="28">
        <v>64</v>
      </c>
      <c r="J396" s="23">
        <v>38444</v>
      </c>
      <c r="K396" s="28">
        <v>23</v>
      </c>
      <c r="L396" s="23">
        <v>37117</v>
      </c>
      <c r="M396" s="23"/>
      <c r="N396" s="23"/>
      <c r="O396" s="23"/>
      <c r="P396" s="26"/>
      <c r="Q396" s="25">
        <v>1</v>
      </c>
      <c r="R396" s="23">
        <v>69480</v>
      </c>
      <c r="S396" s="23"/>
      <c r="T396" s="23"/>
      <c r="U396" s="23"/>
      <c r="V396" s="23"/>
      <c r="W396" s="23">
        <v>1</v>
      </c>
      <c r="X396" s="23">
        <v>32170</v>
      </c>
      <c r="Y396" s="23"/>
      <c r="Z396" s="26"/>
      <c r="AA396" s="38"/>
      <c r="AB396" s="26"/>
      <c r="AC396" s="21"/>
    </row>
    <row r="397" spans="1:29" ht="12.75">
      <c r="A397" s="21" t="s">
        <v>462</v>
      </c>
      <c r="B397" s="31" t="s">
        <v>472</v>
      </c>
      <c r="C397" s="48">
        <v>207306</v>
      </c>
      <c r="D397" s="48">
        <v>5</v>
      </c>
      <c r="E397" s="28">
        <v>12</v>
      </c>
      <c r="F397" s="23">
        <v>46278</v>
      </c>
      <c r="G397" s="28">
        <v>12</v>
      </c>
      <c r="H397" s="23">
        <v>40620</v>
      </c>
      <c r="I397" s="28">
        <v>28</v>
      </c>
      <c r="J397" s="23">
        <v>36474</v>
      </c>
      <c r="K397" s="28">
        <v>19</v>
      </c>
      <c r="L397" s="23">
        <v>29253</v>
      </c>
      <c r="M397" s="23"/>
      <c r="N397" s="23"/>
      <c r="O397" s="23"/>
      <c r="P397" s="26"/>
      <c r="Q397" s="46"/>
      <c r="R397" s="23"/>
      <c r="S397" s="23"/>
      <c r="T397" s="23"/>
      <c r="U397" s="23"/>
      <c r="V397" s="23"/>
      <c r="W397" s="23">
        <v>3</v>
      </c>
      <c r="X397" s="23">
        <v>45337</v>
      </c>
      <c r="Y397" s="23"/>
      <c r="Z397" s="26"/>
      <c r="AA397" s="38"/>
      <c r="AB397" s="26"/>
      <c r="AC397" s="21"/>
    </row>
    <row r="398" spans="1:29" ht="12.75">
      <c r="A398" s="21" t="s">
        <v>462</v>
      </c>
      <c r="B398" s="31" t="s">
        <v>473</v>
      </c>
      <c r="C398" s="48">
        <v>207847</v>
      </c>
      <c r="D398" s="48">
        <v>5</v>
      </c>
      <c r="E398" s="28">
        <v>30</v>
      </c>
      <c r="F398" s="23">
        <v>51682</v>
      </c>
      <c r="G398" s="28">
        <v>22</v>
      </c>
      <c r="H398" s="23">
        <v>44654</v>
      </c>
      <c r="I398" s="28">
        <v>55</v>
      </c>
      <c r="J398" s="23">
        <v>39092</v>
      </c>
      <c r="K398" s="28">
        <v>38</v>
      </c>
      <c r="L398" s="23">
        <v>30811</v>
      </c>
      <c r="M398" s="23"/>
      <c r="N398" s="23"/>
      <c r="O398" s="23"/>
      <c r="P398" s="26"/>
      <c r="Q398" s="46"/>
      <c r="R398" s="23"/>
      <c r="S398" s="23"/>
      <c r="T398" s="23"/>
      <c r="U398" s="23"/>
      <c r="V398" s="23"/>
      <c r="W398" s="23">
        <v>3</v>
      </c>
      <c r="X398" s="23">
        <v>40492</v>
      </c>
      <c r="Y398" s="23"/>
      <c r="Z398" s="26"/>
      <c r="AA398" s="38"/>
      <c r="AB398" s="26"/>
      <c r="AC398" s="21"/>
    </row>
    <row r="399" spans="1:29" ht="12.75">
      <c r="A399" s="21" t="s">
        <v>462</v>
      </c>
      <c r="B399" s="31" t="s">
        <v>474</v>
      </c>
      <c r="C399" s="48">
        <v>207209</v>
      </c>
      <c r="D399" s="48">
        <v>6</v>
      </c>
      <c r="E399" s="28">
        <v>4</v>
      </c>
      <c r="F399" s="23">
        <v>42047</v>
      </c>
      <c r="G399" s="28">
        <v>22</v>
      </c>
      <c r="H399" s="23">
        <v>42536</v>
      </c>
      <c r="I399" s="28">
        <v>38</v>
      </c>
      <c r="J399" s="23">
        <v>34265</v>
      </c>
      <c r="K399" s="28">
        <v>20</v>
      </c>
      <c r="L399" s="23">
        <v>32429</v>
      </c>
      <c r="M399" s="23"/>
      <c r="N399" s="23"/>
      <c r="O399" s="23"/>
      <c r="P399" s="26"/>
      <c r="Q399" s="25">
        <v>4</v>
      </c>
      <c r="R399" s="23">
        <v>56650</v>
      </c>
      <c r="S399" s="23">
        <v>7</v>
      </c>
      <c r="T399" s="23">
        <v>52960</v>
      </c>
      <c r="U399" s="23">
        <v>10</v>
      </c>
      <c r="V399" s="23">
        <v>44094</v>
      </c>
      <c r="W399" s="23">
        <v>12</v>
      </c>
      <c r="X399" s="23">
        <v>37448</v>
      </c>
      <c r="Y399" s="23"/>
      <c r="Z399" s="26"/>
      <c r="AA399" s="38"/>
      <c r="AB399" s="26"/>
      <c r="AC399" s="21"/>
    </row>
    <row r="400" spans="1:29" ht="12.75">
      <c r="A400" s="21" t="s">
        <v>462</v>
      </c>
      <c r="B400" s="31" t="s">
        <v>475</v>
      </c>
      <c r="C400" s="48">
        <v>207351</v>
      </c>
      <c r="D400" s="48">
        <v>6</v>
      </c>
      <c r="E400" s="28">
        <v>5</v>
      </c>
      <c r="F400" s="23">
        <v>44553</v>
      </c>
      <c r="G400" s="28">
        <v>14</v>
      </c>
      <c r="H400" s="28">
        <v>38433</v>
      </c>
      <c r="I400" s="28">
        <v>13</v>
      </c>
      <c r="J400" s="23">
        <v>34236</v>
      </c>
      <c r="K400" s="28">
        <v>18</v>
      </c>
      <c r="L400" s="23">
        <v>28127</v>
      </c>
      <c r="M400" s="23"/>
      <c r="N400" s="23"/>
      <c r="O400" s="23"/>
      <c r="P400" s="26"/>
      <c r="Q400" s="25">
        <v>1</v>
      </c>
      <c r="R400" s="23">
        <v>47240</v>
      </c>
      <c r="S400" s="23"/>
      <c r="T400" s="23"/>
      <c r="U400" s="23"/>
      <c r="V400" s="23"/>
      <c r="W400" s="23">
        <v>1</v>
      </c>
      <c r="X400" s="23">
        <v>15034</v>
      </c>
      <c r="Y400" s="23"/>
      <c r="Z400" s="26"/>
      <c r="AA400" s="38"/>
      <c r="AB400" s="26"/>
      <c r="AC400" s="21"/>
    </row>
    <row r="401" spans="1:29" ht="12.75">
      <c r="A401" s="21" t="s">
        <v>462</v>
      </c>
      <c r="B401" s="31" t="s">
        <v>476</v>
      </c>
      <c r="C401" s="48">
        <v>207722</v>
      </c>
      <c r="D401" s="48">
        <v>6</v>
      </c>
      <c r="E401" s="28">
        <v>10</v>
      </c>
      <c r="F401" s="23">
        <v>48555</v>
      </c>
      <c r="G401" s="28">
        <v>13</v>
      </c>
      <c r="H401" s="23">
        <v>41746</v>
      </c>
      <c r="I401" s="28">
        <v>15</v>
      </c>
      <c r="J401" s="23">
        <v>37222</v>
      </c>
      <c r="K401" s="28">
        <v>10</v>
      </c>
      <c r="L401" s="23">
        <v>32940</v>
      </c>
      <c r="M401" s="23"/>
      <c r="N401" s="23"/>
      <c r="O401" s="23"/>
      <c r="P401" s="26"/>
      <c r="Q401" s="25">
        <v>2</v>
      </c>
      <c r="R401" s="23">
        <v>54200</v>
      </c>
      <c r="S401" s="23">
        <v>3</v>
      </c>
      <c r="T401" s="23">
        <v>54250</v>
      </c>
      <c r="U401" s="23">
        <v>1</v>
      </c>
      <c r="V401" s="23">
        <v>49500</v>
      </c>
      <c r="W401" s="23">
        <v>1</v>
      </c>
      <c r="X401" s="23">
        <v>47600</v>
      </c>
      <c r="Y401" s="23"/>
      <c r="Z401" s="26"/>
      <c r="AA401" s="38"/>
      <c r="AB401" s="26"/>
      <c r="AC401" s="21"/>
    </row>
    <row r="402" spans="1:29" ht="12.75">
      <c r="A402" s="21" t="s">
        <v>462</v>
      </c>
      <c r="B402" s="31" t="s">
        <v>477</v>
      </c>
      <c r="C402" s="48">
        <v>206923</v>
      </c>
      <c r="D402" s="48">
        <v>7</v>
      </c>
      <c r="E402" s="23"/>
      <c r="F402" s="23"/>
      <c r="G402" s="71"/>
      <c r="H402" s="23"/>
      <c r="I402" s="71"/>
      <c r="J402" s="23"/>
      <c r="K402" s="28"/>
      <c r="L402" s="23"/>
      <c r="M402" s="23"/>
      <c r="N402" s="23"/>
      <c r="O402" s="28">
        <v>26</v>
      </c>
      <c r="P402" s="26">
        <v>34179</v>
      </c>
      <c r="Q402" s="46"/>
      <c r="R402" s="23"/>
      <c r="S402" s="23"/>
      <c r="T402" s="23"/>
      <c r="U402" s="23"/>
      <c r="V402" s="23"/>
      <c r="W402" s="21"/>
      <c r="X402" s="21"/>
      <c r="Y402" s="23"/>
      <c r="Z402" s="26"/>
      <c r="AA402" s="38">
        <v>10</v>
      </c>
      <c r="AB402" s="26">
        <v>37652</v>
      </c>
      <c r="AC402" s="21"/>
    </row>
    <row r="403" spans="1:29" ht="12.75">
      <c r="A403" s="21" t="s">
        <v>462</v>
      </c>
      <c r="B403" s="31" t="s">
        <v>478</v>
      </c>
      <c r="C403" s="48">
        <v>206996</v>
      </c>
      <c r="D403" s="48">
        <v>7</v>
      </c>
      <c r="E403" s="23"/>
      <c r="F403" s="23"/>
      <c r="G403" s="71"/>
      <c r="H403" s="23"/>
      <c r="I403" s="71"/>
      <c r="J403" s="23"/>
      <c r="K403" s="23"/>
      <c r="L403" s="23"/>
      <c r="M403" s="23"/>
      <c r="N403" s="23"/>
      <c r="O403" s="23">
        <v>41</v>
      </c>
      <c r="P403" s="26">
        <v>35351</v>
      </c>
      <c r="Q403" s="46"/>
      <c r="R403" s="23"/>
      <c r="S403" s="23"/>
      <c r="T403" s="23"/>
      <c r="U403" s="23"/>
      <c r="V403" s="23"/>
      <c r="W403" s="21"/>
      <c r="X403" s="21"/>
      <c r="Y403" s="23"/>
      <c r="Z403" s="26"/>
      <c r="AA403" s="38">
        <v>6</v>
      </c>
      <c r="AB403" s="26">
        <v>46524</v>
      </c>
      <c r="AC403" s="21"/>
    </row>
    <row r="404" spans="1:29" ht="12.75">
      <c r="A404" s="21" t="s">
        <v>462</v>
      </c>
      <c r="B404" s="31" t="s">
        <v>479</v>
      </c>
      <c r="C404" s="48">
        <v>207050</v>
      </c>
      <c r="D404" s="48">
        <v>7</v>
      </c>
      <c r="E404" s="23"/>
      <c r="F404" s="23"/>
      <c r="G404" s="71"/>
      <c r="H404" s="23"/>
      <c r="I404" s="71"/>
      <c r="J404" s="23"/>
      <c r="K404" s="23"/>
      <c r="L404" s="23"/>
      <c r="M404" s="23"/>
      <c r="N404" s="23"/>
      <c r="O404" s="23">
        <v>44</v>
      </c>
      <c r="P404" s="26">
        <v>35896</v>
      </c>
      <c r="Q404" s="37"/>
      <c r="R404" s="23"/>
      <c r="S404" s="23"/>
      <c r="T404" s="23"/>
      <c r="U404" s="23"/>
      <c r="V404" s="23"/>
      <c r="W404" s="21"/>
      <c r="X404" s="21"/>
      <c r="Y404" s="23"/>
      <c r="Z404" s="26"/>
      <c r="AA404" s="38"/>
      <c r="AB404" s="26"/>
      <c r="AC404" s="21"/>
    </row>
    <row r="405" spans="1:29" ht="12.75">
      <c r="A405" s="21" t="s">
        <v>462</v>
      </c>
      <c r="B405" s="31" t="s">
        <v>480</v>
      </c>
      <c r="C405" s="48">
        <v>207236</v>
      </c>
      <c r="D405" s="48">
        <v>7</v>
      </c>
      <c r="E405" s="23"/>
      <c r="F405" s="23"/>
      <c r="G405" s="71"/>
      <c r="H405" s="23"/>
      <c r="I405" s="71"/>
      <c r="J405" s="23"/>
      <c r="K405" s="23"/>
      <c r="L405" s="23"/>
      <c r="M405" s="23"/>
      <c r="N405" s="23"/>
      <c r="O405" s="23">
        <v>38</v>
      </c>
      <c r="P405" s="26">
        <v>33835</v>
      </c>
      <c r="Q405" s="37"/>
      <c r="R405" s="23"/>
      <c r="S405" s="23"/>
      <c r="T405" s="23"/>
      <c r="U405" s="23"/>
      <c r="V405" s="23"/>
      <c r="W405" s="21"/>
      <c r="X405" s="21"/>
      <c r="Y405" s="23"/>
      <c r="Z405" s="26"/>
      <c r="AA405" s="38">
        <v>2</v>
      </c>
      <c r="AB405" s="26">
        <v>38771</v>
      </c>
      <c r="AC405" s="21"/>
    </row>
    <row r="406" spans="1:29" ht="12.75">
      <c r="A406" s="21" t="s">
        <v>462</v>
      </c>
      <c r="B406" s="31" t="s">
        <v>481</v>
      </c>
      <c r="C406" s="48">
        <v>207290</v>
      </c>
      <c r="D406" s="48">
        <v>7</v>
      </c>
      <c r="E406" s="23"/>
      <c r="F406" s="23"/>
      <c r="G406" s="71"/>
      <c r="H406" s="23"/>
      <c r="I406" s="71"/>
      <c r="J406" s="23"/>
      <c r="K406" s="23"/>
      <c r="L406" s="23"/>
      <c r="M406" s="23"/>
      <c r="N406" s="23"/>
      <c r="O406" s="23">
        <v>72</v>
      </c>
      <c r="P406" s="26">
        <v>33181</v>
      </c>
      <c r="Q406" s="37"/>
      <c r="R406" s="23"/>
      <c r="S406" s="23"/>
      <c r="T406" s="23"/>
      <c r="U406" s="23"/>
      <c r="V406" s="23"/>
      <c r="W406" s="21"/>
      <c r="X406" s="21"/>
      <c r="Y406" s="23"/>
      <c r="Z406" s="26"/>
      <c r="AA406" s="38">
        <v>7</v>
      </c>
      <c r="AB406" s="26">
        <v>42233</v>
      </c>
      <c r="AC406" s="21"/>
    </row>
    <row r="407" spans="1:29" ht="12.75">
      <c r="A407" s="21" t="s">
        <v>462</v>
      </c>
      <c r="B407" s="31" t="s">
        <v>482</v>
      </c>
      <c r="C407" s="48">
        <v>207281</v>
      </c>
      <c r="D407" s="48">
        <v>7</v>
      </c>
      <c r="E407" s="23"/>
      <c r="F407" s="23"/>
      <c r="G407" s="71"/>
      <c r="H407" s="23"/>
      <c r="I407" s="71"/>
      <c r="J407" s="23"/>
      <c r="K407" s="23"/>
      <c r="L407" s="23"/>
      <c r="M407" s="23"/>
      <c r="N407" s="23"/>
      <c r="O407" s="23">
        <v>52</v>
      </c>
      <c r="P407" s="26">
        <v>34753</v>
      </c>
      <c r="Q407" s="37"/>
      <c r="R407" s="23"/>
      <c r="S407" s="23"/>
      <c r="T407" s="23"/>
      <c r="U407" s="23"/>
      <c r="V407" s="23"/>
      <c r="W407" s="21"/>
      <c r="X407" s="21"/>
      <c r="Y407" s="23"/>
      <c r="Z407" s="26"/>
      <c r="AA407" s="35">
        <v>3</v>
      </c>
      <c r="AB407" s="24">
        <v>45814</v>
      </c>
      <c r="AC407" s="21"/>
    </row>
    <row r="408" spans="1:29" ht="12.75">
      <c r="A408" s="21" t="s">
        <v>462</v>
      </c>
      <c r="B408" s="31" t="s">
        <v>483</v>
      </c>
      <c r="C408" s="48">
        <v>207449</v>
      </c>
      <c r="D408" s="48">
        <v>7</v>
      </c>
      <c r="E408" s="23"/>
      <c r="F408" s="23"/>
      <c r="G408" s="71"/>
      <c r="H408" s="23"/>
      <c r="I408" s="71"/>
      <c r="J408" s="23"/>
      <c r="K408" s="23"/>
      <c r="L408" s="23"/>
      <c r="M408" s="23"/>
      <c r="N408" s="23"/>
      <c r="O408" s="23">
        <v>101</v>
      </c>
      <c r="P408" s="26">
        <v>39078</v>
      </c>
      <c r="Q408" s="37"/>
      <c r="R408" s="23"/>
      <c r="S408" s="23"/>
      <c r="T408" s="23"/>
      <c r="U408" s="23"/>
      <c r="V408" s="23"/>
      <c r="W408" s="21"/>
      <c r="X408" s="21"/>
      <c r="Y408" s="23"/>
      <c r="Z408" s="26"/>
      <c r="AA408" s="35">
        <v>4</v>
      </c>
      <c r="AB408" s="24">
        <v>53461</v>
      </c>
      <c r="AC408" s="21"/>
    </row>
    <row r="409" spans="1:29" ht="12.75">
      <c r="A409" s="21" t="s">
        <v>462</v>
      </c>
      <c r="B409" s="31" t="s">
        <v>484</v>
      </c>
      <c r="C409" s="48">
        <v>207397</v>
      </c>
      <c r="D409" s="48">
        <v>7</v>
      </c>
      <c r="E409" s="23"/>
      <c r="F409" s="23"/>
      <c r="G409" s="71"/>
      <c r="H409" s="23"/>
      <c r="I409" s="71"/>
      <c r="J409" s="23"/>
      <c r="K409" s="23"/>
      <c r="L409" s="23"/>
      <c r="M409" s="23"/>
      <c r="N409" s="23"/>
      <c r="O409" s="23">
        <v>43</v>
      </c>
      <c r="P409" s="26">
        <v>33076</v>
      </c>
      <c r="Q409" s="37"/>
      <c r="R409" s="23"/>
      <c r="S409" s="23"/>
      <c r="T409" s="23"/>
      <c r="U409" s="23"/>
      <c r="V409" s="23"/>
      <c r="W409" s="21"/>
      <c r="X409" s="21"/>
      <c r="Y409" s="23"/>
      <c r="Z409" s="26"/>
      <c r="AA409" s="35">
        <v>19</v>
      </c>
      <c r="AB409" s="24">
        <v>46588</v>
      </c>
      <c r="AC409" s="21"/>
    </row>
    <row r="410" spans="1:29" ht="12.75">
      <c r="A410" s="21" t="s">
        <v>462</v>
      </c>
      <c r="B410" s="31" t="s">
        <v>485</v>
      </c>
      <c r="C410" s="48">
        <v>207564</v>
      </c>
      <c r="D410" s="48">
        <v>7</v>
      </c>
      <c r="E410" s="23"/>
      <c r="F410" s="23"/>
      <c r="G410" s="71"/>
      <c r="H410" s="23"/>
      <c r="I410" s="71"/>
      <c r="J410" s="23"/>
      <c r="K410" s="23"/>
      <c r="L410" s="23"/>
      <c r="M410" s="23"/>
      <c r="N410" s="23"/>
      <c r="O410" s="23">
        <v>81</v>
      </c>
      <c r="P410" s="26">
        <v>27719</v>
      </c>
      <c r="Q410" s="37"/>
      <c r="R410" s="23"/>
      <c r="S410" s="23"/>
      <c r="T410" s="23"/>
      <c r="U410" s="23"/>
      <c r="V410" s="23"/>
      <c r="W410" s="21"/>
      <c r="X410" s="21"/>
      <c r="Y410" s="23"/>
      <c r="Z410" s="26"/>
      <c r="AA410" s="35">
        <v>53</v>
      </c>
      <c r="AB410" s="24">
        <v>50400</v>
      </c>
      <c r="AC410" s="21"/>
    </row>
    <row r="411" spans="1:29" ht="12.75">
      <c r="A411" s="21" t="s">
        <v>462</v>
      </c>
      <c r="B411" s="31" t="s">
        <v>486</v>
      </c>
      <c r="C411" s="48">
        <v>207069</v>
      </c>
      <c r="D411" s="48">
        <v>7</v>
      </c>
      <c r="E411" s="23"/>
      <c r="F411" s="23"/>
      <c r="G411" s="71"/>
      <c r="H411" s="23"/>
      <c r="I411" s="71"/>
      <c r="J411" s="23"/>
      <c r="K411" s="28"/>
      <c r="L411" s="23"/>
      <c r="M411" s="23"/>
      <c r="N411" s="23"/>
      <c r="O411" s="28">
        <v>22</v>
      </c>
      <c r="P411" s="26">
        <v>33490</v>
      </c>
      <c r="Q411" s="37"/>
      <c r="R411" s="23"/>
      <c r="S411" s="23"/>
      <c r="T411" s="23"/>
      <c r="U411" s="23"/>
      <c r="V411" s="23"/>
      <c r="W411" s="21"/>
      <c r="X411" s="21"/>
      <c r="Y411" s="23"/>
      <c r="Z411" s="26"/>
      <c r="AA411" s="35">
        <v>7</v>
      </c>
      <c r="AB411" s="24">
        <v>31955</v>
      </c>
      <c r="AC411" s="21"/>
    </row>
    <row r="412" spans="1:29" ht="12.75">
      <c r="A412" s="21" t="s">
        <v>462</v>
      </c>
      <c r="B412" s="31" t="s">
        <v>487</v>
      </c>
      <c r="C412" s="48">
        <v>207661</v>
      </c>
      <c r="D412" s="48">
        <v>7</v>
      </c>
      <c r="E412" s="23"/>
      <c r="F412" s="23"/>
      <c r="G412" s="71"/>
      <c r="H412" s="23"/>
      <c r="I412" s="71"/>
      <c r="J412" s="23"/>
      <c r="K412" s="28"/>
      <c r="L412" s="23"/>
      <c r="M412" s="23"/>
      <c r="N412" s="23"/>
      <c r="O412" s="28">
        <v>54</v>
      </c>
      <c r="P412" s="26">
        <v>34389</v>
      </c>
      <c r="Q412" s="37"/>
      <c r="R412" s="23"/>
      <c r="S412" s="23"/>
      <c r="T412" s="23"/>
      <c r="U412" s="23"/>
      <c r="V412" s="23"/>
      <c r="W412" s="21"/>
      <c r="X412" s="21"/>
      <c r="Y412" s="23"/>
      <c r="Z412" s="26"/>
      <c r="AA412" s="35">
        <v>5</v>
      </c>
      <c r="AB412" s="24">
        <v>55186</v>
      </c>
      <c r="AC412" s="21"/>
    </row>
    <row r="413" spans="1:29" ht="12.75">
      <c r="A413" s="21" t="s">
        <v>462</v>
      </c>
      <c r="B413" s="31" t="s">
        <v>488</v>
      </c>
      <c r="C413" s="48">
        <v>207670</v>
      </c>
      <c r="D413" s="48">
        <v>7</v>
      </c>
      <c r="E413" s="23"/>
      <c r="F413" s="23"/>
      <c r="G413" s="71"/>
      <c r="H413" s="23"/>
      <c r="I413" s="71"/>
      <c r="J413" s="23"/>
      <c r="K413" s="28"/>
      <c r="L413" s="23"/>
      <c r="M413" s="23"/>
      <c r="N413" s="23"/>
      <c r="O413" s="28">
        <v>124</v>
      </c>
      <c r="P413" s="26">
        <v>38375</v>
      </c>
      <c r="Q413" s="37"/>
      <c r="R413" s="23"/>
      <c r="S413" s="23"/>
      <c r="T413" s="23"/>
      <c r="U413" s="23"/>
      <c r="V413" s="23"/>
      <c r="W413" s="21"/>
      <c r="X413" s="21"/>
      <c r="Y413" s="23"/>
      <c r="Z413" s="26"/>
      <c r="AA413" s="35">
        <v>18</v>
      </c>
      <c r="AB413" s="24">
        <v>48439</v>
      </c>
      <c r="AC413" s="21"/>
    </row>
    <row r="414" spans="1:29" ht="12.75">
      <c r="A414" s="21" t="s">
        <v>462</v>
      </c>
      <c r="B414" s="31" t="s">
        <v>489</v>
      </c>
      <c r="C414" s="48">
        <v>207740</v>
      </c>
      <c r="D414" s="48">
        <v>7</v>
      </c>
      <c r="E414" s="23"/>
      <c r="F414" s="23"/>
      <c r="G414" s="71"/>
      <c r="H414" s="23"/>
      <c r="I414" s="71"/>
      <c r="J414" s="23"/>
      <c r="K414" s="28"/>
      <c r="L414" s="23"/>
      <c r="M414" s="23"/>
      <c r="N414" s="23"/>
      <c r="O414" s="28">
        <v>39</v>
      </c>
      <c r="P414" s="26">
        <v>33233</v>
      </c>
      <c r="Q414" s="37"/>
      <c r="R414" s="23"/>
      <c r="S414" s="23"/>
      <c r="T414" s="23"/>
      <c r="U414" s="23"/>
      <c r="V414" s="23"/>
      <c r="W414" s="21"/>
      <c r="X414" s="21"/>
      <c r="Y414" s="23"/>
      <c r="Z414" s="26"/>
      <c r="AA414" s="35">
        <v>4</v>
      </c>
      <c r="AB414" s="24">
        <v>39103</v>
      </c>
      <c r="AC414" s="21"/>
    </row>
    <row r="415" spans="1:29" ht="12.75">
      <c r="A415" s="21" t="s">
        <v>462</v>
      </c>
      <c r="B415" s="31" t="s">
        <v>490</v>
      </c>
      <c r="C415" s="48">
        <v>207935</v>
      </c>
      <c r="D415" s="48">
        <v>7</v>
      </c>
      <c r="E415" s="23"/>
      <c r="F415" s="23"/>
      <c r="G415" s="71"/>
      <c r="H415" s="23"/>
      <c r="I415" s="71"/>
      <c r="J415" s="23"/>
      <c r="K415" s="28"/>
      <c r="L415" s="23"/>
      <c r="M415" s="23"/>
      <c r="N415" s="23"/>
      <c r="O415" s="28">
        <v>220</v>
      </c>
      <c r="P415" s="26">
        <v>41982</v>
      </c>
      <c r="Q415" s="37"/>
      <c r="R415" s="23"/>
      <c r="S415" s="23"/>
      <c r="T415" s="23"/>
      <c r="U415" s="23"/>
      <c r="V415" s="23"/>
      <c r="W415" s="21"/>
      <c r="X415" s="21"/>
      <c r="Y415" s="23"/>
      <c r="Z415" s="26"/>
      <c r="AA415" s="35">
        <v>28</v>
      </c>
      <c r="AB415" s="24">
        <v>45100</v>
      </c>
      <c r="AC415" s="21"/>
    </row>
    <row r="416" spans="1:29" ht="12.75">
      <c r="A416" s="21" t="s">
        <v>462</v>
      </c>
      <c r="B416" s="31" t="s">
        <v>491</v>
      </c>
      <c r="C416" s="48">
        <v>207035</v>
      </c>
      <c r="D416" s="48">
        <v>7</v>
      </c>
      <c r="E416" s="23"/>
      <c r="F416" s="23"/>
      <c r="G416" s="71"/>
      <c r="H416" s="23"/>
      <c r="I416" s="71"/>
      <c r="J416" s="23"/>
      <c r="K416" s="28"/>
      <c r="L416" s="23"/>
      <c r="M416" s="23"/>
      <c r="N416" s="23"/>
      <c r="O416" s="28">
        <v>34</v>
      </c>
      <c r="P416" s="26">
        <v>35235</v>
      </c>
      <c r="Q416" s="37"/>
      <c r="R416" s="23"/>
      <c r="S416" s="23"/>
      <c r="T416" s="23"/>
      <c r="U416" s="23"/>
      <c r="V416" s="23"/>
      <c r="W416" s="21"/>
      <c r="X416" s="21"/>
      <c r="Y416" s="23"/>
      <c r="Z416" s="26"/>
      <c r="AA416" s="35">
        <v>7</v>
      </c>
      <c r="AB416" s="24">
        <v>38771</v>
      </c>
      <c r="AC416" s="21"/>
    </row>
    <row r="417" spans="1:29" ht="12.75">
      <c r="A417" s="21" t="s">
        <v>492</v>
      </c>
      <c r="B417" s="21" t="s">
        <v>493</v>
      </c>
      <c r="C417" s="22">
        <v>218663</v>
      </c>
      <c r="D417" s="22">
        <v>1</v>
      </c>
      <c r="E417" s="21">
        <v>349</v>
      </c>
      <c r="F417" s="50">
        <v>70733.4613180516</v>
      </c>
      <c r="G417" s="21">
        <v>313</v>
      </c>
      <c r="H417" s="50">
        <v>52369.1853035144</v>
      </c>
      <c r="I417" s="21">
        <v>184</v>
      </c>
      <c r="J417" s="50">
        <v>43509.847826087</v>
      </c>
      <c r="K417" s="21">
        <v>49</v>
      </c>
      <c r="L417" s="50">
        <v>32213.1632653061</v>
      </c>
      <c r="M417" s="21">
        <v>16</v>
      </c>
      <c r="N417" s="50">
        <v>34019.875</v>
      </c>
      <c r="O417" s="28"/>
      <c r="P417" s="24"/>
      <c r="Q417" s="34">
        <v>50</v>
      </c>
      <c r="R417" s="50">
        <v>86284.46</v>
      </c>
      <c r="S417" s="21">
        <v>27</v>
      </c>
      <c r="T417" s="50">
        <v>70464.3703703704</v>
      </c>
      <c r="U417" s="21">
        <v>8</v>
      </c>
      <c r="V417" s="50">
        <v>49530.75</v>
      </c>
      <c r="W417" s="21">
        <v>16</v>
      </c>
      <c r="X417" s="50">
        <v>41599.5</v>
      </c>
      <c r="Y417" s="21">
        <v>20</v>
      </c>
      <c r="Z417" s="51">
        <v>56736.8</v>
      </c>
      <c r="AA417" s="35"/>
      <c r="AB417" s="24"/>
      <c r="AC417" s="28"/>
    </row>
    <row r="418" spans="1:29" ht="12.75">
      <c r="A418" s="21" t="s">
        <v>492</v>
      </c>
      <c r="B418" s="21" t="s">
        <v>494</v>
      </c>
      <c r="C418" s="22">
        <v>217882</v>
      </c>
      <c r="D418" s="22">
        <v>2</v>
      </c>
      <c r="E418" s="23">
        <v>320</v>
      </c>
      <c r="F418" s="50">
        <v>69888.6375</v>
      </c>
      <c r="G418" s="28">
        <v>228</v>
      </c>
      <c r="H418" s="50">
        <v>51783.9385964912</v>
      </c>
      <c r="I418" s="28">
        <v>142</v>
      </c>
      <c r="J418" s="50">
        <v>42226.1549295775</v>
      </c>
      <c r="K418" s="23">
        <v>48</v>
      </c>
      <c r="L418" s="50">
        <v>24921</v>
      </c>
      <c r="M418" s="23">
        <v>53</v>
      </c>
      <c r="N418" s="50">
        <v>34260.358490566</v>
      </c>
      <c r="O418" s="28"/>
      <c r="P418" s="24"/>
      <c r="Q418" s="25">
        <v>48</v>
      </c>
      <c r="R418" s="50">
        <v>75635.1666666667</v>
      </c>
      <c r="S418" s="21">
        <v>9</v>
      </c>
      <c r="T418" s="50">
        <v>53816</v>
      </c>
      <c r="U418" s="21">
        <v>5</v>
      </c>
      <c r="V418" s="50">
        <v>43352.2</v>
      </c>
      <c r="W418" s="21">
        <v>0</v>
      </c>
      <c r="X418" s="50">
        <v>0</v>
      </c>
      <c r="Y418" s="21">
        <v>12</v>
      </c>
      <c r="Z418" s="51">
        <v>51169.9166666667</v>
      </c>
      <c r="AA418" s="35"/>
      <c r="AB418" s="24"/>
      <c r="AC418" s="28"/>
    </row>
    <row r="419" spans="1:29" ht="12.75">
      <c r="A419" s="21" t="s">
        <v>492</v>
      </c>
      <c r="B419" s="21" t="s">
        <v>495</v>
      </c>
      <c r="C419" s="22">
        <v>218964</v>
      </c>
      <c r="D419" s="22">
        <v>3</v>
      </c>
      <c r="E419" s="28">
        <v>72</v>
      </c>
      <c r="F419" s="50">
        <v>52314.6666666667</v>
      </c>
      <c r="G419" s="28">
        <v>82</v>
      </c>
      <c r="H419" s="50">
        <v>43003.3658536585</v>
      </c>
      <c r="I419" s="28">
        <v>63</v>
      </c>
      <c r="J419" s="50">
        <v>37497.9682539683</v>
      </c>
      <c r="K419" s="23">
        <v>22</v>
      </c>
      <c r="L419" s="50">
        <v>29295.0454545455</v>
      </c>
      <c r="M419" s="28"/>
      <c r="N419" s="50">
        <v>0</v>
      </c>
      <c r="O419" s="28"/>
      <c r="P419" s="24"/>
      <c r="Q419" s="25">
        <v>3</v>
      </c>
      <c r="R419" s="50">
        <v>56415</v>
      </c>
      <c r="S419" s="21">
        <v>1</v>
      </c>
      <c r="T419" s="50">
        <v>39796</v>
      </c>
      <c r="U419" s="21">
        <v>1</v>
      </c>
      <c r="V419" s="50">
        <v>52666</v>
      </c>
      <c r="W419" s="28"/>
      <c r="X419" s="50">
        <v>0</v>
      </c>
      <c r="Y419" s="28"/>
      <c r="Z419" s="51">
        <v>0</v>
      </c>
      <c r="AA419" s="38"/>
      <c r="AB419" s="24"/>
      <c r="AC419" s="28"/>
    </row>
    <row r="420" spans="1:29" ht="12.75">
      <c r="A420" s="21" t="s">
        <v>492</v>
      </c>
      <c r="B420" s="21" t="s">
        <v>496</v>
      </c>
      <c r="C420" s="22">
        <v>217819</v>
      </c>
      <c r="D420" s="22">
        <v>4</v>
      </c>
      <c r="E420" s="28">
        <v>75</v>
      </c>
      <c r="F420" s="50">
        <v>55589.8</v>
      </c>
      <c r="G420" s="28">
        <v>85</v>
      </c>
      <c r="H420" s="50">
        <v>46663.6588235294</v>
      </c>
      <c r="I420" s="28">
        <v>134</v>
      </c>
      <c r="J420" s="50">
        <v>37349.6343283582</v>
      </c>
      <c r="K420" s="23">
        <v>49</v>
      </c>
      <c r="L420" s="50">
        <v>20372.7755102041</v>
      </c>
      <c r="M420" s="28"/>
      <c r="N420" s="50">
        <v>0</v>
      </c>
      <c r="O420" s="23"/>
      <c r="P420" s="24"/>
      <c r="Q420" s="25">
        <v>25</v>
      </c>
      <c r="R420" s="50">
        <v>70325.4</v>
      </c>
      <c r="S420" s="21">
        <v>9</v>
      </c>
      <c r="T420" s="50">
        <v>59244.3333333333</v>
      </c>
      <c r="U420" s="21">
        <v>1</v>
      </c>
      <c r="V420" s="50">
        <v>46691</v>
      </c>
      <c r="W420" s="28"/>
      <c r="X420" s="50">
        <v>0</v>
      </c>
      <c r="Y420" s="28"/>
      <c r="Z420" s="51">
        <v>0</v>
      </c>
      <c r="AA420" s="38"/>
      <c r="AB420" s="24"/>
      <c r="AC420" s="23"/>
    </row>
    <row r="421" spans="1:29" ht="12.75">
      <c r="A421" s="21" t="s">
        <v>492</v>
      </c>
      <c r="B421" s="21" t="s">
        <v>497</v>
      </c>
      <c r="C421" s="22">
        <v>217864</v>
      </c>
      <c r="D421" s="22">
        <v>4</v>
      </c>
      <c r="E421" s="28">
        <v>56</v>
      </c>
      <c r="F421" s="50">
        <v>56582.2142857143</v>
      </c>
      <c r="G421" s="28">
        <v>61</v>
      </c>
      <c r="H421" s="50">
        <v>45631.6721311475</v>
      </c>
      <c r="I421" s="28">
        <v>28</v>
      </c>
      <c r="J421" s="50">
        <v>36716.0357142857</v>
      </c>
      <c r="K421" s="28">
        <v>5</v>
      </c>
      <c r="L421" s="50">
        <v>19200</v>
      </c>
      <c r="M421" s="28"/>
      <c r="N421" s="50">
        <v>0</v>
      </c>
      <c r="O421" s="28"/>
      <c r="P421" s="24"/>
      <c r="Q421" s="34"/>
      <c r="R421" s="50">
        <v>0</v>
      </c>
      <c r="S421" s="28"/>
      <c r="T421" s="50">
        <v>0</v>
      </c>
      <c r="U421" s="28"/>
      <c r="V421" s="50">
        <v>0</v>
      </c>
      <c r="W421" s="28"/>
      <c r="X421" s="50">
        <v>0</v>
      </c>
      <c r="Y421" s="28"/>
      <c r="Z421" s="51">
        <v>0</v>
      </c>
      <c r="AA421" s="35"/>
      <c r="AB421" s="24"/>
      <c r="AC421" s="28"/>
    </row>
    <row r="422" spans="1:29" ht="12.75">
      <c r="A422" s="21" t="s">
        <v>492</v>
      </c>
      <c r="B422" s="21" t="s">
        <v>498</v>
      </c>
      <c r="C422" s="22">
        <v>218061</v>
      </c>
      <c r="D422" s="22">
        <v>5</v>
      </c>
      <c r="E422" s="28">
        <v>67</v>
      </c>
      <c r="F422" s="50">
        <v>53762.5970149254</v>
      </c>
      <c r="G422" s="28">
        <v>41</v>
      </c>
      <c r="H422" s="50">
        <v>43650.5365853659</v>
      </c>
      <c r="I422" s="28">
        <v>40</v>
      </c>
      <c r="J422" s="50">
        <v>36879.1</v>
      </c>
      <c r="K422" s="28">
        <v>10</v>
      </c>
      <c r="L422" s="50">
        <v>27738.3</v>
      </c>
      <c r="M422" s="28"/>
      <c r="N422" s="50">
        <v>0</v>
      </c>
      <c r="O422" s="28"/>
      <c r="P422" s="24"/>
      <c r="Q422" s="25">
        <v>3</v>
      </c>
      <c r="R422" s="50">
        <v>79659</v>
      </c>
      <c r="S422" s="28"/>
      <c r="T422" s="50">
        <v>0</v>
      </c>
      <c r="U422" s="28"/>
      <c r="V422" s="50">
        <v>0</v>
      </c>
      <c r="W422" s="28"/>
      <c r="X422" s="50">
        <v>0</v>
      </c>
      <c r="Y422" s="28"/>
      <c r="Z422" s="51">
        <v>0</v>
      </c>
      <c r="AA422" s="35"/>
      <c r="AB422" s="24"/>
      <c r="AC422" s="28"/>
    </row>
    <row r="423" spans="1:29" ht="12.75">
      <c r="A423" s="21" t="s">
        <v>492</v>
      </c>
      <c r="B423" s="21" t="s">
        <v>499</v>
      </c>
      <c r="C423" s="22">
        <v>218733</v>
      </c>
      <c r="D423" s="22">
        <v>5</v>
      </c>
      <c r="E423" s="28">
        <v>42</v>
      </c>
      <c r="F423" s="50">
        <v>51255.2380952381</v>
      </c>
      <c r="G423" s="28">
        <v>52</v>
      </c>
      <c r="H423" s="50">
        <v>45411.8461538462</v>
      </c>
      <c r="I423" s="28">
        <v>69</v>
      </c>
      <c r="J423" s="50">
        <v>38956.3188405797</v>
      </c>
      <c r="K423" s="28">
        <v>26</v>
      </c>
      <c r="L423" s="50">
        <v>31244.1923076923</v>
      </c>
      <c r="M423" s="28"/>
      <c r="N423" s="50">
        <v>0</v>
      </c>
      <c r="O423" s="28"/>
      <c r="P423" s="24"/>
      <c r="Q423" s="25">
        <v>17</v>
      </c>
      <c r="R423" s="50">
        <v>67135.7647058823</v>
      </c>
      <c r="S423" s="21">
        <v>13</v>
      </c>
      <c r="T423" s="50">
        <v>59681.6153846154</v>
      </c>
      <c r="U423" s="21">
        <v>6</v>
      </c>
      <c r="V423" s="50">
        <v>49771.5</v>
      </c>
      <c r="W423" s="21">
        <v>10</v>
      </c>
      <c r="X423" s="50">
        <v>37369.3</v>
      </c>
      <c r="Y423" s="28"/>
      <c r="Z423" s="51">
        <v>0</v>
      </c>
      <c r="AA423" s="35"/>
      <c r="AB423" s="24"/>
      <c r="AC423" s="28"/>
    </row>
    <row r="424" spans="1:29" ht="12.75">
      <c r="A424" s="21" t="s">
        <v>492</v>
      </c>
      <c r="B424" s="21" t="s">
        <v>500</v>
      </c>
      <c r="C424" s="22">
        <v>218229</v>
      </c>
      <c r="D424" s="22">
        <v>6</v>
      </c>
      <c r="E424" s="28">
        <v>27</v>
      </c>
      <c r="F424" s="50">
        <v>52781.1111111111</v>
      </c>
      <c r="G424" s="28">
        <v>52</v>
      </c>
      <c r="H424" s="50">
        <v>43321.8653846154</v>
      </c>
      <c r="I424" s="28">
        <v>57</v>
      </c>
      <c r="J424" s="50">
        <v>38451.6666666667</v>
      </c>
      <c r="K424" s="28">
        <v>19</v>
      </c>
      <c r="L424" s="50">
        <v>27422.3684210526</v>
      </c>
      <c r="M424" s="28">
        <v>5</v>
      </c>
      <c r="N424" s="50">
        <v>35559</v>
      </c>
      <c r="O424" s="28"/>
      <c r="P424" s="24"/>
      <c r="Q424" s="25">
        <v>10</v>
      </c>
      <c r="R424" s="50">
        <v>72737.5</v>
      </c>
      <c r="S424" s="21">
        <v>6</v>
      </c>
      <c r="T424" s="50">
        <v>53004.8333333333</v>
      </c>
      <c r="U424" s="21">
        <v>1</v>
      </c>
      <c r="V424" s="50">
        <v>55508</v>
      </c>
      <c r="W424" s="28"/>
      <c r="X424" s="50">
        <v>0</v>
      </c>
      <c r="Y424" s="21">
        <v>2</v>
      </c>
      <c r="Z424" s="51">
        <v>37307</v>
      </c>
      <c r="AA424" s="35"/>
      <c r="AB424" s="24"/>
      <c r="AC424" s="28"/>
    </row>
    <row r="425" spans="1:29" ht="12.75">
      <c r="A425" s="21" t="s">
        <v>492</v>
      </c>
      <c r="B425" s="21" t="s">
        <v>501</v>
      </c>
      <c r="C425" s="22">
        <v>218645</v>
      </c>
      <c r="D425" s="22">
        <v>6</v>
      </c>
      <c r="E425" s="28">
        <v>37</v>
      </c>
      <c r="F425" s="50">
        <v>51577.4594594595</v>
      </c>
      <c r="G425" s="28">
        <v>33</v>
      </c>
      <c r="H425" s="50">
        <v>42119.8484848485</v>
      </c>
      <c r="I425" s="28">
        <v>34</v>
      </c>
      <c r="J425" s="50">
        <v>38246.4117647059</v>
      </c>
      <c r="K425" s="28">
        <v>12</v>
      </c>
      <c r="L425" s="50">
        <v>29304</v>
      </c>
      <c r="M425" s="28"/>
      <c r="N425" s="50">
        <v>0</v>
      </c>
      <c r="O425" s="28"/>
      <c r="P425" s="24"/>
      <c r="Q425" s="25">
        <v>3</v>
      </c>
      <c r="R425" s="50">
        <v>75554.3333333333</v>
      </c>
      <c r="S425" s="21">
        <v>1</v>
      </c>
      <c r="T425" s="50">
        <v>63550</v>
      </c>
      <c r="U425" s="28"/>
      <c r="V425" s="50">
        <v>0</v>
      </c>
      <c r="W425" s="28"/>
      <c r="X425" s="50">
        <v>0</v>
      </c>
      <c r="Y425" s="28"/>
      <c r="Z425" s="51">
        <v>0</v>
      </c>
      <c r="AA425" s="35"/>
      <c r="AB425" s="24"/>
      <c r="AC425" s="28"/>
    </row>
    <row r="426" spans="1:29" ht="12.75">
      <c r="A426" s="21" t="s">
        <v>492</v>
      </c>
      <c r="B426" s="21" t="s">
        <v>502</v>
      </c>
      <c r="C426" s="22">
        <v>218724</v>
      </c>
      <c r="D426" s="22">
        <v>6</v>
      </c>
      <c r="E426" s="28">
        <v>31</v>
      </c>
      <c r="F426" s="50">
        <v>52699.7096774194</v>
      </c>
      <c r="G426" s="28">
        <v>31</v>
      </c>
      <c r="H426" s="50">
        <v>43080.935483871</v>
      </c>
      <c r="I426" s="28">
        <v>23</v>
      </c>
      <c r="J426" s="50">
        <v>38477.3913043478</v>
      </c>
      <c r="K426" s="28">
        <v>13</v>
      </c>
      <c r="L426" s="50">
        <v>33823.9230769231</v>
      </c>
      <c r="M426" s="28"/>
      <c r="N426" s="50">
        <v>0</v>
      </c>
      <c r="O426" s="28"/>
      <c r="P426" s="24"/>
      <c r="Q426" s="25">
        <v>5</v>
      </c>
      <c r="R426" s="50">
        <v>61872.6</v>
      </c>
      <c r="S426" s="21">
        <v>6</v>
      </c>
      <c r="T426" s="50">
        <v>60881.6666666667</v>
      </c>
      <c r="U426" s="21">
        <v>4</v>
      </c>
      <c r="V426" s="50">
        <v>50203.5</v>
      </c>
      <c r="W426" s="21">
        <v>2</v>
      </c>
      <c r="X426" s="50">
        <v>31111</v>
      </c>
      <c r="Y426" s="28"/>
      <c r="Z426" s="51">
        <v>0</v>
      </c>
      <c r="AA426" s="35"/>
      <c r="AB426" s="24"/>
      <c r="AC426" s="28"/>
    </row>
    <row r="427" spans="1:29" ht="12.75">
      <c r="A427" s="21" t="s">
        <v>492</v>
      </c>
      <c r="B427" s="21" t="s">
        <v>503</v>
      </c>
      <c r="C427" s="22">
        <v>218742</v>
      </c>
      <c r="D427" s="22">
        <v>6</v>
      </c>
      <c r="E427" s="28">
        <v>46</v>
      </c>
      <c r="F427" s="50">
        <v>51941.1956521739</v>
      </c>
      <c r="G427" s="28">
        <v>37</v>
      </c>
      <c r="H427" s="50">
        <v>43159.8918918919</v>
      </c>
      <c r="I427" s="28">
        <v>20</v>
      </c>
      <c r="J427" s="50">
        <v>37897.75</v>
      </c>
      <c r="K427" s="28">
        <v>22</v>
      </c>
      <c r="L427" s="50">
        <v>31306.6363636364</v>
      </c>
      <c r="M427" s="28">
        <v>1</v>
      </c>
      <c r="N427" s="50">
        <v>20876</v>
      </c>
      <c r="O427" s="28"/>
      <c r="P427" s="24"/>
      <c r="Q427" s="25">
        <v>7</v>
      </c>
      <c r="R427" s="50">
        <v>74196.7142857143</v>
      </c>
      <c r="S427" s="21">
        <v>2</v>
      </c>
      <c r="T427" s="50">
        <v>58553</v>
      </c>
      <c r="U427" s="28"/>
      <c r="V427" s="50">
        <v>0</v>
      </c>
      <c r="W427" s="21">
        <v>1</v>
      </c>
      <c r="X427" s="50">
        <v>28350</v>
      </c>
      <c r="Y427" s="28"/>
      <c r="Z427" s="51">
        <v>0</v>
      </c>
      <c r="AA427" s="35"/>
      <c r="AB427" s="24"/>
      <c r="AC427" s="28"/>
    </row>
    <row r="428" spans="1:29" ht="12.75">
      <c r="A428" s="21" t="s">
        <v>492</v>
      </c>
      <c r="B428" s="21" t="s">
        <v>504</v>
      </c>
      <c r="C428" s="22">
        <v>217615</v>
      </c>
      <c r="D428" s="22">
        <v>7</v>
      </c>
      <c r="E428" s="28"/>
      <c r="F428" s="28"/>
      <c r="G428" s="28"/>
      <c r="H428" s="28"/>
      <c r="I428" s="28"/>
      <c r="J428" s="28"/>
      <c r="K428" s="21"/>
      <c r="L428" s="21"/>
      <c r="M428" s="28">
        <v>48</v>
      </c>
      <c r="N428" s="50">
        <v>35754.4166666667</v>
      </c>
      <c r="O428" s="28"/>
      <c r="P428" s="24"/>
      <c r="Q428" s="34"/>
      <c r="R428" s="28"/>
      <c r="S428" s="28"/>
      <c r="T428" s="28"/>
      <c r="U428" s="28"/>
      <c r="V428" s="28"/>
      <c r="W428" s="28"/>
      <c r="X428" s="23"/>
      <c r="Y428" s="28"/>
      <c r="Z428" s="24"/>
      <c r="AA428" s="35"/>
      <c r="AB428" s="24"/>
      <c r="AC428" s="28"/>
    </row>
    <row r="429" spans="1:29" ht="12.75">
      <c r="A429" s="21" t="s">
        <v>492</v>
      </c>
      <c r="B429" s="21" t="s">
        <v>505</v>
      </c>
      <c r="C429" s="22">
        <v>218858</v>
      </c>
      <c r="D429" s="22">
        <v>7</v>
      </c>
      <c r="E429" s="28"/>
      <c r="F429" s="28"/>
      <c r="G429" s="28"/>
      <c r="H429" s="28"/>
      <c r="I429" s="28"/>
      <c r="J429" s="28"/>
      <c r="K429" s="21"/>
      <c r="L429" s="21"/>
      <c r="M429" s="28">
        <v>60</v>
      </c>
      <c r="N429" s="50">
        <v>31924.0666666667</v>
      </c>
      <c r="O429" s="28"/>
      <c r="P429" s="24"/>
      <c r="Q429" s="34"/>
      <c r="R429" s="28"/>
      <c r="S429" s="28"/>
      <c r="T429" s="28"/>
      <c r="U429" s="28"/>
      <c r="V429" s="28"/>
      <c r="W429" s="28"/>
      <c r="X429" s="23"/>
      <c r="Y429" s="28"/>
      <c r="Z429" s="24"/>
      <c r="AA429" s="35"/>
      <c r="AB429" s="24"/>
      <c r="AC429" s="28"/>
    </row>
    <row r="430" spans="1:29" ht="12.75">
      <c r="A430" s="21" t="s">
        <v>492</v>
      </c>
      <c r="B430" s="21" t="s">
        <v>506</v>
      </c>
      <c r="C430" s="22">
        <v>217837</v>
      </c>
      <c r="D430" s="22">
        <v>7</v>
      </c>
      <c r="E430" s="28"/>
      <c r="F430" s="28"/>
      <c r="G430" s="28"/>
      <c r="H430" s="28"/>
      <c r="I430" s="28"/>
      <c r="J430" s="28"/>
      <c r="K430" s="23">
        <v>23</v>
      </c>
      <c r="L430" s="50">
        <v>30679.2173913043</v>
      </c>
      <c r="M430" s="28"/>
      <c r="N430" s="28"/>
      <c r="O430" s="28"/>
      <c r="P430" s="24"/>
      <c r="Q430" s="34"/>
      <c r="R430" s="28"/>
      <c r="S430" s="28"/>
      <c r="T430" s="28"/>
      <c r="U430" s="28"/>
      <c r="V430" s="28"/>
      <c r="W430" s="28"/>
      <c r="X430" s="23"/>
      <c r="Y430" s="28"/>
      <c r="Z430" s="24"/>
      <c r="AA430" s="35"/>
      <c r="AB430" s="24"/>
      <c r="AC430" s="28"/>
    </row>
    <row r="431" spans="1:29" ht="12.75">
      <c r="A431" s="21" t="s">
        <v>492</v>
      </c>
      <c r="B431" s="21" t="s">
        <v>507</v>
      </c>
      <c r="C431" s="22">
        <v>217989</v>
      </c>
      <c r="D431" s="22">
        <v>7</v>
      </c>
      <c r="E431" s="28"/>
      <c r="F431" s="28"/>
      <c r="G431" s="28"/>
      <c r="H431" s="28"/>
      <c r="I431" s="28"/>
      <c r="J431" s="28"/>
      <c r="K431" s="21"/>
      <c r="L431" s="21"/>
      <c r="M431" s="23">
        <v>28</v>
      </c>
      <c r="N431" s="50">
        <v>28481</v>
      </c>
      <c r="O431" s="28"/>
      <c r="P431" s="24"/>
      <c r="Q431" s="34"/>
      <c r="R431" s="28"/>
      <c r="S431" s="28"/>
      <c r="T431" s="28"/>
      <c r="U431" s="28"/>
      <c r="V431" s="28"/>
      <c r="W431" s="28"/>
      <c r="X431" s="23"/>
      <c r="Y431" s="28"/>
      <c r="Z431" s="24"/>
      <c r="AA431" s="35"/>
      <c r="AB431" s="24"/>
      <c r="AC431" s="28"/>
    </row>
    <row r="432" spans="1:29" ht="12.75">
      <c r="A432" s="21" t="s">
        <v>492</v>
      </c>
      <c r="B432" s="21" t="s">
        <v>508</v>
      </c>
      <c r="C432" s="22">
        <v>218025</v>
      </c>
      <c r="D432" s="22">
        <v>7</v>
      </c>
      <c r="E432" s="28"/>
      <c r="F432" s="28"/>
      <c r="G432" s="28"/>
      <c r="H432" s="28"/>
      <c r="I432" s="28"/>
      <c r="J432" s="28"/>
      <c r="K432" s="23">
        <v>92</v>
      </c>
      <c r="L432" s="50">
        <v>33057.152173913</v>
      </c>
      <c r="M432" s="28"/>
      <c r="N432" s="28"/>
      <c r="O432" s="28"/>
      <c r="P432" s="24"/>
      <c r="Q432" s="34"/>
      <c r="R432" s="28"/>
      <c r="S432" s="28"/>
      <c r="T432" s="28"/>
      <c r="U432" s="28"/>
      <c r="V432" s="28"/>
      <c r="W432" s="28"/>
      <c r="X432" s="23"/>
      <c r="Y432" s="28"/>
      <c r="Z432" s="24"/>
      <c r="AA432" s="35"/>
      <c r="AB432" s="24"/>
      <c r="AC432" s="28"/>
    </row>
    <row r="433" spans="1:29" ht="12.75">
      <c r="A433" s="21" t="s">
        <v>492</v>
      </c>
      <c r="B433" s="21" t="s">
        <v>509</v>
      </c>
      <c r="C433" s="22">
        <v>218113</v>
      </c>
      <c r="D433" s="22">
        <v>7</v>
      </c>
      <c r="E433" s="28"/>
      <c r="F433" s="28"/>
      <c r="G433" s="28"/>
      <c r="H433" s="28"/>
      <c r="I433" s="28"/>
      <c r="J433" s="28"/>
      <c r="K433" s="23">
        <v>223</v>
      </c>
      <c r="L433" s="50">
        <v>32842.5874439462</v>
      </c>
      <c r="M433" s="28"/>
      <c r="N433" s="28"/>
      <c r="O433" s="28"/>
      <c r="P433" s="24"/>
      <c r="Q433" s="34"/>
      <c r="R433" s="28"/>
      <c r="S433" s="28"/>
      <c r="T433" s="28"/>
      <c r="U433" s="28"/>
      <c r="V433" s="28"/>
      <c r="W433" s="28"/>
      <c r="X433" s="23"/>
      <c r="Y433" s="28"/>
      <c r="Z433" s="24"/>
      <c r="AA433" s="35"/>
      <c r="AB433" s="24"/>
      <c r="AC433" s="28"/>
    </row>
    <row r="434" spans="1:29" ht="12.75">
      <c r="A434" s="21" t="s">
        <v>492</v>
      </c>
      <c r="B434" s="21" t="s">
        <v>510</v>
      </c>
      <c r="C434" s="22">
        <v>218140</v>
      </c>
      <c r="D434" s="22">
        <v>7</v>
      </c>
      <c r="E434" s="28"/>
      <c r="F434" s="28"/>
      <c r="G434" s="28"/>
      <c r="H434" s="28"/>
      <c r="I434" s="28"/>
      <c r="J434" s="28"/>
      <c r="K434" s="21"/>
      <c r="L434" s="21"/>
      <c r="M434" s="23">
        <v>88</v>
      </c>
      <c r="N434" s="50">
        <v>34441.6363636364</v>
      </c>
      <c r="O434" s="28"/>
      <c r="P434" s="24"/>
      <c r="Q434" s="34"/>
      <c r="R434" s="28"/>
      <c r="S434" s="28"/>
      <c r="T434" s="28"/>
      <c r="U434" s="28"/>
      <c r="V434" s="28"/>
      <c r="W434" s="28"/>
      <c r="X434" s="23"/>
      <c r="Y434" s="28"/>
      <c r="Z434" s="24"/>
      <c r="AA434" s="35"/>
      <c r="AB434" s="24"/>
      <c r="AC434" s="28"/>
    </row>
    <row r="435" spans="1:29" ht="12.75">
      <c r="A435" s="21" t="s">
        <v>492</v>
      </c>
      <c r="B435" s="21" t="s">
        <v>511</v>
      </c>
      <c r="C435" s="22">
        <v>218353</v>
      </c>
      <c r="D435" s="22">
        <v>7</v>
      </c>
      <c r="E435" s="28"/>
      <c r="F435" s="28"/>
      <c r="G435" s="28"/>
      <c r="H435" s="28"/>
      <c r="I435" s="28"/>
      <c r="J435" s="28"/>
      <c r="K435" s="21"/>
      <c r="L435" s="21"/>
      <c r="M435" s="23">
        <v>211</v>
      </c>
      <c r="N435" s="50">
        <v>34643.2748815166</v>
      </c>
      <c r="O435" s="28"/>
      <c r="P435" s="24"/>
      <c r="Q435" s="34"/>
      <c r="R435" s="28"/>
      <c r="S435" s="28"/>
      <c r="T435" s="28"/>
      <c r="U435" s="28"/>
      <c r="V435" s="28"/>
      <c r="W435" s="28"/>
      <c r="X435" s="23"/>
      <c r="Y435" s="28"/>
      <c r="Z435" s="24"/>
      <c r="AA435" s="35"/>
      <c r="AB435" s="24"/>
      <c r="AC435" s="28"/>
    </row>
    <row r="436" spans="1:41" ht="12.75">
      <c r="A436" s="21" t="s">
        <v>492</v>
      </c>
      <c r="B436" s="21" t="s">
        <v>512</v>
      </c>
      <c r="C436" s="22">
        <v>218487</v>
      </c>
      <c r="D436" s="22">
        <v>7</v>
      </c>
      <c r="E436" s="28"/>
      <c r="F436" s="28"/>
      <c r="G436" s="28"/>
      <c r="H436" s="28"/>
      <c r="I436" s="28"/>
      <c r="J436" s="28"/>
      <c r="K436" s="23">
        <v>72</v>
      </c>
      <c r="L436" s="50">
        <v>29141.7361111111</v>
      </c>
      <c r="M436" s="28"/>
      <c r="N436" s="28"/>
      <c r="O436" s="28"/>
      <c r="P436" s="24"/>
      <c r="Q436" s="34"/>
      <c r="R436" s="28"/>
      <c r="S436" s="28"/>
      <c r="T436" s="28"/>
      <c r="U436" s="28"/>
      <c r="V436" s="28"/>
      <c r="W436" s="28"/>
      <c r="X436" s="23"/>
      <c r="Y436" s="28"/>
      <c r="Z436" s="24"/>
      <c r="AA436" s="35"/>
      <c r="AB436" s="24"/>
      <c r="AC436" s="28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</row>
    <row r="437" spans="1:41" ht="12.75">
      <c r="A437" s="21" t="s">
        <v>492</v>
      </c>
      <c r="B437" s="21" t="s">
        <v>513</v>
      </c>
      <c r="C437" s="22">
        <v>218520</v>
      </c>
      <c r="D437" s="22">
        <v>7</v>
      </c>
      <c r="E437" s="28"/>
      <c r="F437" s="28"/>
      <c r="G437" s="28"/>
      <c r="H437" s="28"/>
      <c r="I437" s="28"/>
      <c r="J437" s="28"/>
      <c r="K437" s="21"/>
      <c r="L437" s="21"/>
      <c r="M437" s="23">
        <v>82</v>
      </c>
      <c r="N437" s="50">
        <v>30365.6463414634</v>
      </c>
      <c r="O437" s="28"/>
      <c r="P437" s="24"/>
      <c r="Q437" s="34"/>
      <c r="R437" s="28"/>
      <c r="S437" s="28"/>
      <c r="T437" s="28"/>
      <c r="U437" s="28"/>
      <c r="V437" s="28"/>
      <c r="W437" s="28"/>
      <c r="X437" s="23"/>
      <c r="Y437" s="28"/>
      <c r="Z437" s="24"/>
      <c r="AA437" s="35"/>
      <c r="AB437" s="24"/>
      <c r="AC437" s="28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</row>
    <row r="438" spans="1:41" ht="12.75">
      <c r="A438" s="21" t="s">
        <v>492</v>
      </c>
      <c r="B438" s="21" t="s">
        <v>514</v>
      </c>
      <c r="C438" s="22">
        <v>218830</v>
      </c>
      <c r="D438" s="22">
        <v>7</v>
      </c>
      <c r="E438" s="28"/>
      <c r="F438" s="28"/>
      <c r="G438" s="28"/>
      <c r="H438" s="28"/>
      <c r="I438" s="28"/>
      <c r="J438" s="28"/>
      <c r="K438" s="21"/>
      <c r="L438" s="21"/>
      <c r="M438" s="28">
        <v>91</v>
      </c>
      <c r="N438" s="50">
        <v>31637.956043956</v>
      </c>
      <c r="O438" s="28"/>
      <c r="P438" s="24"/>
      <c r="Q438" s="34"/>
      <c r="R438" s="28"/>
      <c r="S438" s="28"/>
      <c r="T438" s="28"/>
      <c r="U438" s="28"/>
      <c r="V438" s="28"/>
      <c r="W438" s="28"/>
      <c r="X438" s="23"/>
      <c r="Y438" s="28"/>
      <c r="Z438" s="24"/>
      <c r="AA438" s="35"/>
      <c r="AB438" s="24"/>
      <c r="AC438" s="28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</row>
    <row r="439" spans="1:41" ht="12.75">
      <c r="A439" s="21" t="s">
        <v>492</v>
      </c>
      <c r="B439" s="21" t="s">
        <v>515</v>
      </c>
      <c r="C439" s="22">
        <v>217712</v>
      </c>
      <c r="D439" s="22">
        <v>7</v>
      </c>
      <c r="E439" s="28"/>
      <c r="F439" s="28"/>
      <c r="G439" s="28"/>
      <c r="H439" s="28"/>
      <c r="I439" s="28"/>
      <c r="J439" s="28"/>
      <c r="K439" s="28">
        <v>38</v>
      </c>
      <c r="L439" s="50">
        <v>30239.2368421053</v>
      </c>
      <c r="M439" s="28"/>
      <c r="N439" s="28"/>
      <c r="O439" s="28"/>
      <c r="P439" s="24"/>
      <c r="Q439" s="34"/>
      <c r="R439" s="28"/>
      <c r="S439" s="28"/>
      <c r="T439" s="28"/>
      <c r="U439" s="28"/>
      <c r="V439" s="28"/>
      <c r="W439" s="28"/>
      <c r="X439" s="23"/>
      <c r="Y439" s="28"/>
      <c r="Z439" s="24"/>
      <c r="AA439" s="35"/>
      <c r="AB439" s="24"/>
      <c r="AC439" s="28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</row>
    <row r="440" spans="1:41" ht="12.75">
      <c r="A440" s="21" t="s">
        <v>492</v>
      </c>
      <c r="B440" s="21" t="s">
        <v>516</v>
      </c>
      <c r="C440" s="22">
        <v>218885</v>
      </c>
      <c r="D440" s="22">
        <v>7</v>
      </c>
      <c r="E440" s="28"/>
      <c r="F440" s="28"/>
      <c r="G440" s="28"/>
      <c r="H440" s="28"/>
      <c r="I440" s="28"/>
      <c r="J440" s="28"/>
      <c r="K440" s="28">
        <v>86</v>
      </c>
      <c r="L440" s="50">
        <v>33369.5813953488</v>
      </c>
      <c r="M440" s="28"/>
      <c r="N440" s="28"/>
      <c r="O440" s="28"/>
      <c r="P440" s="24"/>
      <c r="Q440" s="34"/>
      <c r="R440" s="28"/>
      <c r="S440" s="28"/>
      <c r="T440" s="28"/>
      <c r="U440" s="28"/>
      <c r="V440" s="28"/>
      <c r="W440" s="28"/>
      <c r="X440" s="23"/>
      <c r="Y440" s="28"/>
      <c r="Z440" s="24"/>
      <c r="AA440" s="35"/>
      <c r="AB440" s="24"/>
      <c r="AC440" s="28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</row>
    <row r="441" spans="1:41" ht="12.75">
      <c r="A441" s="21" t="s">
        <v>492</v>
      </c>
      <c r="B441" s="21" t="s">
        <v>517</v>
      </c>
      <c r="C441" s="22">
        <v>218894</v>
      </c>
      <c r="D441" s="22">
        <v>7</v>
      </c>
      <c r="E441" s="23"/>
      <c r="F441" s="23"/>
      <c r="G441" s="23"/>
      <c r="H441" s="23"/>
      <c r="I441" s="23"/>
      <c r="J441" s="23"/>
      <c r="K441" s="23"/>
      <c r="L441" s="23"/>
      <c r="M441" s="28">
        <v>216</v>
      </c>
      <c r="N441" s="50">
        <v>35921.0925925926</v>
      </c>
      <c r="O441" s="21"/>
      <c r="P441" s="32"/>
      <c r="Q441" s="25"/>
      <c r="R441" s="23"/>
      <c r="S441" s="23"/>
      <c r="T441" s="23"/>
      <c r="U441" s="23"/>
      <c r="V441" s="23"/>
      <c r="W441" s="23"/>
      <c r="X441" s="23"/>
      <c r="Y441" s="21"/>
      <c r="Z441" s="26"/>
      <c r="AA441" s="27"/>
      <c r="AB441" s="26"/>
      <c r="AC441" s="2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</row>
    <row r="442" spans="1:41" ht="12.75">
      <c r="A442" s="21" t="s">
        <v>492</v>
      </c>
      <c r="B442" s="21" t="s">
        <v>518</v>
      </c>
      <c r="C442" s="22">
        <v>218654</v>
      </c>
      <c r="D442" s="22">
        <v>7</v>
      </c>
      <c r="E442" s="28">
        <v>6</v>
      </c>
      <c r="F442" s="50">
        <v>48951</v>
      </c>
      <c r="G442" s="28">
        <v>9</v>
      </c>
      <c r="H442" s="50">
        <v>39595.3333333333</v>
      </c>
      <c r="I442" s="28">
        <v>5</v>
      </c>
      <c r="J442" s="50">
        <v>32928.4</v>
      </c>
      <c r="K442" s="50"/>
      <c r="L442" s="49"/>
      <c r="M442" s="50"/>
      <c r="N442" s="49"/>
      <c r="O442" s="50"/>
      <c r="P442" s="51"/>
      <c r="Q442" s="36"/>
      <c r="R442" s="49"/>
      <c r="S442" s="21">
        <v>1</v>
      </c>
      <c r="T442" s="50">
        <v>50335</v>
      </c>
      <c r="U442" s="21">
        <v>1</v>
      </c>
      <c r="V442" s="50">
        <v>43770</v>
      </c>
      <c r="W442" s="21">
        <v>2</v>
      </c>
      <c r="X442" s="50">
        <v>41500</v>
      </c>
      <c r="Y442" s="50"/>
      <c r="Z442" s="56"/>
      <c r="AA442" s="52"/>
      <c r="AB442" s="56"/>
      <c r="AC442" s="50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</row>
    <row r="443" spans="1:41" ht="12.75">
      <c r="A443" s="21" t="s">
        <v>492</v>
      </c>
      <c r="B443" s="21" t="s">
        <v>519</v>
      </c>
      <c r="C443" s="22">
        <v>218672</v>
      </c>
      <c r="D443" s="22">
        <v>7</v>
      </c>
      <c r="E443" s="28">
        <v>7</v>
      </c>
      <c r="F443" s="50">
        <v>51262.4285714286</v>
      </c>
      <c r="G443" s="28">
        <v>9</v>
      </c>
      <c r="H443" s="50">
        <v>41240.8888888889</v>
      </c>
      <c r="I443" s="28">
        <v>4</v>
      </c>
      <c r="J443" s="50">
        <v>32816</v>
      </c>
      <c r="K443" s="28">
        <v>1</v>
      </c>
      <c r="L443" s="50">
        <v>30000</v>
      </c>
      <c r="M443" s="50"/>
      <c r="N443" s="50"/>
      <c r="O443" s="50"/>
      <c r="P443" s="51"/>
      <c r="Q443" s="25">
        <v>1</v>
      </c>
      <c r="R443" s="50">
        <v>61638</v>
      </c>
      <c r="S443" s="21">
        <v>3</v>
      </c>
      <c r="T443" s="50">
        <v>53815</v>
      </c>
      <c r="U443" s="21">
        <v>1</v>
      </c>
      <c r="V443" s="50">
        <v>55472</v>
      </c>
      <c r="W443" s="50"/>
      <c r="X443" s="50"/>
      <c r="Y443" s="50"/>
      <c r="Z443" s="51"/>
      <c r="AA443" s="52"/>
      <c r="AB443" s="51"/>
      <c r="AC443" s="50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</row>
    <row r="444" spans="1:41" ht="12.75">
      <c r="A444" s="21" t="s">
        <v>492</v>
      </c>
      <c r="B444" s="21" t="s">
        <v>520</v>
      </c>
      <c r="C444" s="22">
        <v>218681</v>
      </c>
      <c r="D444" s="22">
        <v>7</v>
      </c>
      <c r="E444" s="28">
        <v>5</v>
      </c>
      <c r="F444" s="50">
        <v>46902.2</v>
      </c>
      <c r="G444" s="28">
        <v>4</v>
      </c>
      <c r="H444" s="50">
        <v>37797.75</v>
      </c>
      <c r="I444" s="28">
        <v>7</v>
      </c>
      <c r="J444" s="50">
        <v>31049.1428571429</v>
      </c>
      <c r="K444" s="28">
        <v>3</v>
      </c>
      <c r="L444" s="50">
        <v>26686.3333333333</v>
      </c>
      <c r="M444" s="50"/>
      <c r="N444" s="50"/>
      <c r="O444" s="50"/>
      <c r="P444" s="51"/>
      <c r="Q444" s="36"/>
      <c r="R444" s="50"/>
      <c r="S444" s="28">
        <v>2</v>
      </c>
      <c r="T444" s="50">
        <v>47686</v>
      </c>
      <c r="U444" s="21">
        <v>1</v>
      </c>
      <c r="V444" s="50">
        <v>51676</v>
      </c>
      <c r="W444" s="21">
        <v>3</v>
      </c>
      <c r="X444" s="50">
        <v>30409.3333333333</v>
      </c>
      <c r="Y444" s="21">
        <v>1</v>
      </c>
      <c r="Z444" s="51">
        <v>37391</v>
      </c>
      <c r="AA444" s="52"/>
      <c r="AB444" s="51"/>
      <c r="AC444" s="50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</row>
    <row r="445" spans="1:41" ht="12.75">
      <c r="A445" s="21" t="s">
        <v>492</v>
      </c>
      <c r="B445" s="21" t="s">
        <v>521</v>
      </c>
      <c r="C445" s="22">
        <v>218690</v>
      </c>
      <c r="D445" s="22">
        <v>7</v>
      </c>
      <c r="E445" s="28">
        <v>18</v>
      </c>
      <c r="F445" s="50">
        <v>47193.1111111111</v>
      </c>
      <c r="G445" s="28">
        <v>10</v>
      </c>
      <c r="H445" s="50">
        <v>38598.1</v>
      </c>
      <c r="I445" s="28">
        <v>5</v>
      </c>
      <c r="J445" s="50">
        <v>37078.6</v>
      </c>
      <c r="K445" s="28">
        <v>4</v>
      </c>
      <c r="L445" s="50">
        <v>26250</v>
      </c>
      <c r="M445" s="50"/>
      <c r="N445" s="50"/>
      <c r="O445" s="50"/>
      <c r="P445" s="51"/>
      <c r="Q445" s="25">
        <v>3</v>
      </c>
      <c r="R445" s="50">
        <v>71425.3333333333</v>
      </c>
      <c r="S445" s="21">
        <v>1</v>
      </c>
      <c r="T445" s="50">
        <v>57948</v>
      </c>
      <c r="U445" s="50"/>
      <c r="V445" s="50"/>
      <c r="W445" s="50"/>
      <c r="X445" s="50"/>
      <c r="Y445" s="50"/>
      <c r="Z445" s="51"/>
      <c r="AA445" s="52"/>
      <c r="AB445" s="51"/>
      <c r="AC445" s="50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</row>
    <row r="446" spans="1:41" ht="12.75">
      <c r="A446" s="21" t="s">
        <v>492</v>
      </c>
      <c r="B446" s="21" t="s">
        <v>522</v>
      </c>
      <c r="C446" s="22">
        <v>218706</v>
      </c>
      <c r="D446" s="22">
        <v>7</v>
      </c>
      <c r="E446" s="28">
        <v>5</v>
      </c>
      <c r="F446" s="50">
        <v>48948.2</v>
      </c>
      <c r="G446" s="28">
        <v>1</v>
      </c>
      <c r="H446" s="50">
        <v>45183</v>
      </c>
      <c r="I446" s="28">
        <v>1</v>
      </c>
      <c r="J446" s="50">
        <v>32000</v>
      </c>
      <c r="K446" s="50"/>
      <c r="L446" s="50"/>
      <c r="M446" s="50"/>
      <c r="N446" s="50"/>
      <c r="O446" s="50"/>
      <c r="P446" s="51"/>
      <c r="Q446" s="36"/>
      <c r="R446" s="50"/>
      <c r="S446" s="50"/>
      <c r="T446" s="50"/>
      <c r="U446" s="50"/>
      <c r="V446" s="50"/>
      <c r="W446" s="21">
        <v>3</v>
      </c>
      <c r="X446" s="50">
        <v>34538.6666666667</v>
      </c>
      <c r="Y446" s="50"/>
      <c r="Z446" s="51"/>
      <c r="AA446" s="52"/>
      <c r="AB446" s="51"/>
      <c r="AC446" s="2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</row>
    <row r="447" spans="1:41" ht="12.75">
      <c r="A447" s="21" t="s">
        <v>492</v>
      </c>
      <c r="B447" s="21" t="s">
        <v>523</v>
      </c>
      <c r="C447" s="22">
        <v>218955</v>
      </c>
      <c r="D447" s="22">
        <v>7</v>
      </c>
      <c r="E447" s="50"/>
      <c r="F447" s="50"/>
      <c r="G447" s="50"/>
      <c r="H447" s="50"/>
      <c r="I447" s="50"/>
      <c r="J447" s="50"/>
      <c r="K447" s="28">
        <v>12</v>
      </c>
      <c r="L447" s="50">
        <v>28386.3333333333</v>
      </c>
      <c r="M447" s="50"/>
      <c r="N447" s="50"/>
      <c r="O447" s="50"/>
      <c r="P447" s="51"/>
      <c r="Q447" s="36"/>
      <c r="R447" s="50"/>
      <c r="S447" s="50"/>
      <c r="T447" s="50"/>
      <c r="U447" s="50"/>
      <c r="V447" s="50"/>
      <c r="W447" s="50"/>
      <c r="X447" s="50"/>
      <c r="Y447" s="50"/>
      <c r="Z447" s="51"/>
      <c r="AA447" s="52"/>
      <c r="AB447" s="51"/>
      <c r="AC447" s="50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</row>
    <row r="448" spans="1:41" ht="12.75">
      <c r="A448" s="21" t="s">
        <v>492</v>
      </c>
      <c r="B448" s="21" t="s">
        <v>524</v>
      </c>
      <c r="C448" s="22">
        <v>218991</v>
      </c>
      <c r="D448" s="22">
        <v>7</v>
      </c>
      <c r="E448" s="50"/>
      <c r="F448" s="50"/>
      <c r="G448" s="50"/>
      <c r="H448" s="50"/>
      <c r="I448" s="50"/>
      <c r="J448" s="50"/>
      <c r="K448" s="50"/>
      <c r="L448" s="50"/>
      <c r="M448" s="28">
        <v>90</v>
      </c>
      <c r="N448" s="50">
        <v>33272.2111111111</v>
      </c>
      <c r="O448" s="50"/>
      <c r="P448" s="51"/>
      <c r="Q448" s="36"/>
      <c r="R448" s="50"/>
      <c r="S448" s="50"/>
      <c r="T448" s="50"/>
      <c r="U448" s="50"/>
      <c r="V448" s="50"/>
      <c r="W448" s="50"/>
      <c r="X448" s="50"/>
      <c r="Y448" s="50"/>
      <c r="Z448" s="51"/>
      <c r="AA448" s="52"/>
      <c r="AB448" s="51"/>
      <c r="AC448" s="50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</row>
    <row r="449" spans="1:41" ht="12.75">
      <c r="A449" s="21" t="s">
        <v>525</v>
      </c>
      <c r="B449" s="31" t="s">
        <v>526</v>
      </c>
      <c r="C449" s="48">
        <v>221759</v>
      </c>
      <c r="D449" s="48">
        <v>1</v>
      </c>
      <c r="E449" s="50">
        <v>500</v>
      </c>
      <c r="F449" s="50">
        <v>66824</v>
      </c>
      <c r="G449" s="50">
        <v>282</v>
      </c>
      <c r="H449" s="50">
        <v>52582</v>
      </c>
      <c r="I449" s="50">
        <v>171</v>
      </c>
      <c r="J449" s="50">
        <v>42827</v>
      </c>
      <c r="K449" s="50">
        <v>47</v>
      </c>
      <c r="L449" s="50">
        <v>28098</v>
      </c>
      <c r="M449" s="55">
        <v>6</v>
      </c>
      <c r="N449" s="50">
        <v>39788</v>
      </c>
      <c r="O449" s="50"/>
      <c r="P449" s="51"/>
      <c r="Q449" s="72">
        <v>36</v>
      </c>
      <c r="R449" s="50">
        <v>103247</v>
      </c>
      <c r="S449" s="55">
        <v>22</v>
      </c>
      <c r="T449" s="50">
        <v>58870</v>
      </c>
      <c r="U449" s="55">
        <v>6</v>
      </c>
      <c r="V449" s="50">
        <v>49207</v>
      </c>
      <c r="W449" s="55">
        <v>8</v>
      </c>
      <c r="X449" s="50">
        <v>35550</v>
      </c>
      <c r="Y449" s="55">
        <v>1</v>
      </c>
      <c r="Z449" s="32">
        <v>39048</v>
      </c>
      <c r="AA449" s="52"/>
      <c r="AB449" s="51"/>
      <c r="AC449" s="50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</row>
    <row r="450" spans="1:41" ht="12.75">
      <c r="A450" s="21" t="s">
        <v>525</v>
      </c>
      <c r="B450" s="29" t="s">
        <v>527</v>
      </c>
      <c r="C450" s="30">
        <v>220862</v>
      </c>
      <c r="D450" s="30">
        <v>2</v>
      </c>
      <c r="E450" s="23">
        <v>253</v>
      </c>
      <c r="F450" s="50">
        <v>63188</v>
      </c>
      <c r="G450" s="23">
        <v>207</v>
      </c>
      <c r="H450" s="23">
        <v>47547</v>
      </c>
      <c r="I450" s="23">
        <v>150</v>
      </c>
      <c r="J450" s="23">
        <v>40269</v>
      </c>
      <c r="K450" s="23">
        <v>46</v>
      </c>
      <c r="L450" s="23">
        <v>26257</v>
      </c>
      <c r="M450" s="71">
        <v>3</v>
      </c>
      <c r="N450" s="23">
        <v>19342</v>
      </c>
      <c r="O450" s="50"/>
      <c r="P450" s="51"/>
      <c r="Q450" s="46">
        <v>17</v>
      </c>
      <c r="R450" s="23">
        <v>93669</v>
      </c>
      <c r="S450" s="71">
        <v>9</v>
      </c>
      <c r="T450" s="23">
        <v>56697</v>
      </c>
      <c r="U450" s="71">
        <v>7</v>
      </c>
      <c r="V450" s="23">
        <v>40602</v>
      </c>
      <c r="W450" s="71">
        <v>9</v>
      </c>
      <c r="X450" s="23">
        <v>39331</v>
      </c>
      <c r="Y450" s="71">
        <v>1</v>
      </c>
      <c r="Z450" s="32">
        <v>63060</v>
      </c>
      <c r="AA450" s="52"/>
      <c r="AB450" s="51"/>
      <c r="AC450" s="50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</row>
    <row r="451" spans="1:41" ht="12.75">
      <c r="A451" s="21" t="s">
        <v>525</v>
      </c>
      <c r="B451" s="31" t="s">
        <v>528</v>
      </c>
      <c r="C451" s="48">
        <v>220075</v>
      </c>
      <c r="D451" s="48">
        <v>3</v>
      </c>
      <c r="E451" s="23">
        <v>108</v>
      </c>
      <c r="F451" s="23">
        <v>58421</v>
      </c>
      <c r="G451" s="23">
        <v>106</v>
      </c>
      <c r="H451" s="23">
        <v>48490</v>
      </c>
      <c r="I451" s="23">
        <v>122</v>
      </c>
      <c r="J451" s="23">
        <v>40410</v>
      </c>
      <c r="K451" s="23">
        <v>44</v>
      </c>
      <c r="L451" s="23">
        <v>33781</v>
      </c>
      <c r="M451" s="50"/>
      <c r="N451" s="50"/>
      <c r="O451" s="50"/>
      <c r="P451" s="51"/>
      <c r="Q451" s="46">
        <v>19</v>
      </c>
      <c r="R451" s="23">
        <v>72065</v>
      </c>
      <c r="S451" s="71">
        <v>25</v>
      </c>
      <c r="T451" s="23">
        <v>54155</v>
      </c>
      <c r="U451" s="71">
        <v>35</v>
      </c>
      <c r="V451" s="23">
        <v>46766</v>
      </c>
      <c r="W451" s="71">
        <v>22</v>
      </c>
      <c r="X451" s="23">
        <v>35343</v>
      </c>
      <c r="Y451" s="50"/>
      <c r="Z451" s="51"/>
      <c r="AA451" s="52"/>
      <c r="AB451" s="51"/>
      <c r="AC451" s="50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</row>
    <row r="452" spans="1:41" ht="12.75">
      <c r="A452" s="21" t="s">
        <v>525</v>
      </c>
      <c r="B452" s="31" t="s">
        <v>529</v>
      </c>
      <c r="C452" s="48">
        <v>220978</v>
      </c>
      <c r="D452" s="48">
        <v>3</v>
      </c>
      <c r="E452" s="23">
        <v>214</v>
      </c>
      <c r="F452" s="23">
        <v>60175</v>
      </c>
      <c r="G452" s="23">
        <v>185</v>
      </c>
      <c r="H452" s="23">
        <v>46242</v>
      </c>
      <c r="I452" s="23">
        <v>210</v>
      </c>
      <c r="J452" s="23">
        <v>38352</v>
      </c>
      <c r="K452" s="23">
        <v>65</v>
      </c>
      <c r="L452" s="23">
        <v>29473</v>
      </c>
      <c r="M452" s="50"/>
      <c r="N452" s="50"/>
      <c r="O452" s="50"/>
      <c r="P452" s="51"/>
      <c r="Q452" s="46">
        <v>1</v>
      </c>
      <c r="R452" s="23">
        <v>83423</v>
      </c>
      <c r="S452" s="71">
        <v>2</v>
      </c>
      <c r="T452" s="23">
        <v>55378</v>
      </c>
      <c r="U452" s="71">
        <v>17</v>
      </c>
      <c r="V452" s="23">
        <v>43504</v>
      </c>
      <c r="W452" s="71">
        <v>5</v>
      </c>
      <c r="X452" s="23">
        <v>32972</v>
      </c>
      <c r="Y452" s="50"/>
      <c r="Z452" s="51"/>
      <c r="AA452" s="52"/>
      <c r="AB452" s="51"/>
      <c r="AC452" s="50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</row>
    <row r="453" spans="1:41" ht="12.75">
      <c r="A453" s="21" t="s">
        <v>525</v>
      </c>
      <c r="B453" s="31" t="s">
        <v>530</v>
      </c>
      <c r="C453" s="48">
        <v>221838</v>
      </c>
      <c r="D453" s="48">
        <v>3</v>
      </c>
      <c r="E453" s="23">
        <v>112</v>
      </c>
      <c r="F453" s="23">
        <v>56418</v>
      </c>
      <c r="G453" s="23">
        <v>60</v>
      </c>
      <c r="H453" s="23">
        <v>49363</v>
      </c>
      <c r="I453" s="23">
        <v>83</v>
      </c>
      <c r="J453" s="23">
        <v>38492</v>
      </c>
      <c r="K453" s="23">
        <v>17</v>
      </c>
      <c r="L453" s="23">
        <v>35197</v>
      </c>
      <c r="M453" s="50"/>
      <c r="N453" s="50"/>
      <c r="O453" s="50"/>
      <c r="P453" s="51"/>
      <c r="Q453" s="46">
        <v>7</v>
      </c>
      <c r="R453" s="23">
        <v>70626</v>
      </c>
      <c r="S453" s="71">
        <v>3</v>
      </c>
      <c r="T453" s="23">
        <v>56052</v>
      </c>
      <c r="U453" s="71">
        <v>21</v>
      </c>
      <c r="V453" s="23">
        <v>43216</v>
      </c>
      <c r="W453" s="71">
        <v>5</v>
      </c>
      <c r="X453" s="23">
        <v>31657</v>
      </c>
      <c r="Y453" s="50"/>
      <c r="Z453" s="51"/>
      <c r="AA453" s="52"/>
      <c r="AB453" s="51"/>
      <c r="AC453" s="50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</row>
    <row r="454" spans="1:41" ht="12.75">
      <c r="A454" s="21" t="s">
        <v>525</v>
      </c>
      <c r="B454" s="31" t="s">
        <v>531</v>
      </c>
      <c r="C454" s="48">
        <v>219602</v>
      </c>
      <c r="D454" s="48">
        <v>4</v>
      </c>
      <c r="E454" s="23">
        <v>92</v>
      </c>
      <c r="F454" s="23">
        <v>54120</v>
      </c>
      <c r="G454" s="23">
        <v>75</v>
      </c>
      <c r="H454" s="23">
        <v>40349</v>
      </c>
      <c r="I454" s="23">
        <v>90</v>
      </c>
      <c r="J454" s="23">
        <v>35096</v>
      </c>
      <c r="K454" s="23">
        <v>5</v>
      </c>
      <c r="L454" s="23">
        <v>27007</v>
      </c>
      <c r="M454" s="50"/>
      <c r="N454" s="50"/>
      <c r="O454" s="50"/>
      <c r="P454" s="51"/>
      <c r="Q454" s="46">
        <v>6</v>
      </c>
      <c r="R454" s="23">
        <v>61785</v>
      </c>
      <c r="S454" s="71">
        <v>4</v>
      </c>
      <c r="T454" s="23">
        <v>51390</v>
      </c>
      <c r="U454" s="50"/>
      <c r="V454" s="50"/>
      <c r="W454" s="50"/>
      <c r="X454" s="50"/>
      <c r="Y454" s="50"/>
      <c r="Z454" s="51"/>
      <c r="AA454" s="52"/>
      <c r="AB454" s="51"/>
      <c r="AC454" s="50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</row>
    <row r="455" spans="1:41" ht="12.75">
      <c r="A455" s="21" t="s">
        <v>525</v>
      </c>
      <c r="B455" s="31" t="s">
        <v>532</v>
      </c>
      <c r="C455" s="48">
        <v>221847</v>
      </c>
      <c r="D455" s="48">
        <v>4</v>
      </c>
      <c r="E455" s="23">
        <v>161</v>
      </c>
      <c r="F455" s="23">
        <v>60207</v>
      </c>
      <c r="G455" s="23">
        <v>97</v>
      </c>
      <c r="H455" s="23">
        <v>45477</v>
      </c>
      <c r="I455" s="23">
        <v>75</v>
      </c>
      <c r="J455" s="23">
        <v>29716</v>
      </c>
      <c r="K455" s="23">
        <v>23</v>
      </c>
      <c r="L455" s="23">
        <v>28492</v>
      </c>
      <c r="M455" s="50"/>
      <c r="N455" s="50"/>
      <c r="O455" s="50"/>
      <c r="P455" s="51"/>
      <c r="Q455" s="46">
        <v>0</v>
      </c>
      <c r="R455" s="50"/>
      <c r="S455" s="71">
        <v>4</v>
      </c>
      <c r="T455" s="23">
        <v>55477</v>
      </c>
      <c r="U455" s="71">
        <v>0</v>
      </c>
      <c r="V455" s="50"/>
      <c r="W455" s="71">
        <v>2</v>
      </c>
      <c r="X455" s="23">
        <v>38190</v>
      </c>
      <c r="Y455" s="50"/>
      <c r="Z455" s="51"/>
      <c r="AA455" s="52"/>
      <c r="AB455" s="51"/>
      <c r="AC455" s="50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</row>
    <row r="456" spans="1:41" ht="12.75">
      <c r="A456" s="21" t="s">
        <v>525</v>
      </c>
      <c r="B456" s="31" t="s">
        <v>533</v>
      </c>
      <c r="C456" s="48">
        <v>221740</v>
      </c>
      <c r="D456" s="48">
        <v>4</v>
      </c>
      <c r="E456" s="23">
        <v>112</v>
      </c>
      <c r="F456" s="23">
        <v>56333</v>
      </c>
      <c r="G456" s="23">
        <v>60</v>
      </c>
      <c r="H456" s="23">
        <v>46520</v>
      </c>
      <c r="I456" s="23">
        <v>80</v>
      </c>
      <c r="J456" s="23">
        <v>37437</v>
      </c>
      <c r="K456" s="23">
        <v>15</v>
      </c>
      <c r="L456" s="23">
        <v>28448</v>
      </c>
      <c r="M456" s="50"/>
      <c r="N456" s="50"/>
      <c r="O456" s="50"/>
      <c r="P456" s="51"/>
      <c r="Q456" s="46">
        <v>3</v>
      </c>
      <c r="R456" s="23">
        <v>55385</v>
      </c>
      <c r="S456" s="71">
        <v>1</v>
      </c>
      <c r="T456" s="23">
        <v>50126</v>
      </c>
      <c r="U456" s="71">
        <v>2</v>
      </c>
      <c r="V456" s="23">
        <v>45194</v>
      </c>
      <c r="W456" s="71">
        <v>3</v>
      </c>
      <c r="X456" s="23">
        <v>30296</v>
      </c>
      <c r="Y456" s="50"/>
      <c r="Z456" s="51"/>
      <c r="AA456" s="52"/>
      <c r="AB456" s="51"/>
      <c r="AC456" s="50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</row>
    <row r="457" spans="1:41" ht="12.75">
      <c r="A457" s="21" t="s">
        <v>525</v>
      </c>
      <c r="B457" s="31" t="s">
        <v>534</v>
      </c>
      <c r="C457" s="48">
        <v>221768</v>
      </c>
      <c r="D457" s="48">
        <v>5</v>
      </c>
      <c r="E457" s="23">
        <v>88</v>
      </c>
      <c r="F457" s="23">
        <v>53625</v>
      </c>
      <c r="G457" s="23">
        <v>48</v>
      </c>
      <c r="H457" s="23">
        <v>42947</v>
      </c>
      <c r="I457" s="23">
        <v>51</v>
      </c>
      <c r="J457" s="23">
        <v>36258</v>
      </c>
      <c r="K457" s="23">
        <v>23</v>
      </c>
      <c r="L457" s="23">
        <v>31356</v>
      </c>
      <c r="M457" s="50"/>
      <c r="N457" s="50"/>
      <c r="O457" s="50"/>
      <c r="P457" s="51"/>
      <c r="Q457" s="46">
        <v>14</v>
      </c>
      <c r="R457" s="23">
        <v>66251</v>
      </c>
      <c r="S457" s="71">
        <v>4</v>
      </c>
      <c r="T457" s="23">
        <v>54717</v>
      </c>
      <c r="U457" s="71">
        <v>3</v>
      </c>
      <c r="V457" s="23">
        <v>45730</v>
      </c>
      <c r="W457" s="71">
        <v>1</v>
      </c>
      <c r="X457" s="23">
        <v>37470</v>
      </c>
      <c r="Y457" s="50"/>
      <c r="Z457" s="51"/>
      <c r="AA457" s="52"/>
      <c r="AB457" s="51"/>
      <c r="AC457" s="50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</row>
    <row r="458" spans="1:41" ht="12.75">
      <c r="A458" s="21" t="s">
        <v>525</v>
      </c>
      <c r="B458" s="31" t="s">
        <v>535</v>
      </c>
      <c r="C458" s="48">
        <v>219824</v>
      </c>
      <c r="D458" s="48">
        <v>7</v>
      </c>
      <c r="E458" s="23">
        <v>16</v>
      </c>
      <c r="F458" s="23">
        <v>49403</v>
      </c>
      <c r="G458" s="23">
        <v>69</v>
      </c>
      <c r="H458" s="23">
        <v>40096</v>
      </c>
      <c r="I458" s="23">
        <v>29</v>
      </c>
      <c r="J458" s="23">
        <v>32457</v>
      </c>
      <c r="K458" s="23">
        <v>25</v>
      </c>
      <c r="L458" s="23">
        <v>27961</v>
      </c>
      <c r="M458" s="50"/>
      <c r="N458" s="50"/>
      <c r="O458" s="50"/>
      <c r="P458" s="51"/>
      <c r="Q458" s="46">
        <v>2</v>
      </c>
      <c r="R458" s="23">
        <v>58116</v>
      </c>
      <c r="S458" s="71">
        <v>7</v>
      </c>
      <c r="T458" s="23">
        <v>49269</v>
      </c>
      <c r="U458" s="71">
        <v>8</v>
      </c>
      <c r="V458" s="23">
        <v>44437</v>
      </c>
      <c r="W458" s="71">
        <v>9</v>
      </c>
      <c r="X458" s="23">
        <v>38544</v>
      </c>
      <c r="Y458" s="50"/>
      <c r="Z458" s="51"/>
      <c r="AA458" s="52"/>
      <c r="AB458" s="51"/>
      <c r="AC458" s="50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</row>
    <row r="459" spans="1:41" ht="12.75">
      <c r="A459" s="21" t="s">
        <v>525</v>
      </c>
      <c r="B459" s="31" t="s">
        <v>536</v>
      </c>
      <c r="C459" s="48">
        <v>219879</v>
      </c>
      <c r="D459" s="48">
        <v>7</v>
      </c>
      <c r="E459" s="23">
        <v>6</v>
      </c>
      <c r="F459" s="23">
        <v>47738</v>
      </c>
      <c r="G459" s="23">
        <v>33</v>
      </c>
      <c r="H459" s="23">
        <v>40340</v>
      </c>
      <c r="I459" s="23">
        <v>18</v>
      </c>
      <c r="J459" s="23">
        <v>34435</v>
      </c>
      <c r="K459" s="23">
        <v>19</v>
      </c>
      <c r="L459" s="23">
        <v>29420</v>
      </c>
      <c r="M459" s="50"/>
      <c r="N459" s="50"/>
      <c r="O459" s="50"/>
      <c r="P459" s="51"/>
      <c r="Q459" s="46">
        <v>3</v>
      </c>
      <c r="R459" s="23">
        <v>59494</v>
      </c>
      <c r="S459" s="50"/>
      <c r="T459" s="50"/>
      <c r="U459" s="50"/>
      <c r="V459" s="50"/>
      <c r="W459" s="50"/>
      <c r="X459" s="50"/>
      <c r="Y459" s="50"/>
      <c r="Z459" s="51"/>
      <c r="AA459" s="52"/>
      <c r="AB459" s="51"/>
      <c r="AC459" s="50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</row>
    <row r="460" spans="1:41" ht="12.75">
      <c r="A460" s="21" t="s">
        <v>525</v>
      </c>
      <c r="B460" s="31" t="s">
        <v>537</v>
      </c>
      <c r="C460" s="48">
        <v>219888</v>
      </c>
      <c r="D460" s="48">
        <v>7</v>
      </c>
      <c r="E460" s="23">
        <v>7</v>
      </c>
      <c r="F460" s="23">
        <v>47432</v>
      </c>
      <c r="G460" s="23">
        <v>20</v>
      </c>
      <c r="H460" s="23">
        <v>41055</v>
      </c>
      <c r="I460" s="23">
        <v>27</v>
      </c>
      <c r="J460" s="23">
        <v>35560</v>
      </c>
      <c r="K460" s="23">
        <v>31</v>
      </c>
      <c r="L460" s="23">
        <v>30880</v>
      </c>
      <c r="M460" s="50"/>
      <c r="N460" s="50"/>
      <c r="O460" s="50"/>
      <c r="P460" s="51"/>
      <c r="Q460" s="46">
        <v>1</v>
      </c>
      <c r="R460" s="23">
        <v>59923</v>
      </c>
      <c r="S460" s="71">
        <v>3</v>
      </c>
      <c r="T460" s="23">
        <v>41457</v>
      </c>
      <c r="U460" s="71">
        <v>3</v>
      </c>
      <c r="V460" s="23">
        <v>39999</v>
      </c>
      <c r="W460" s="71">
        <v>3</v>
      </c>
      <c r="X460" s="23">
        <v>33539</v>
      </c>
      <c r="Y460" s="50"/>
      <c r="Z460" s="51"/>
      <c r="AA460" s="52"/>
      <c r="AB460" s="51"/>
      <c r="AC460" s="50"/>
      <c r="AD460" s="45"/>
      <c r="AE460" s="41"/>
      <c r="AF460" s="41"/>
      <c r="AG460" s="41"/>
      <c r="AH460" s="41"/>
      <c r="AI460" s="41"/>
      <c r="AJ460" s="41"/>
      <c r="AK460" s="41"/>
      <c r="AL460" s="41"/>
      <c r="AM460" s="41"/>
      <c r="AN460" s="45"/>
      <c r="AO460" s="41"/>
    </row>
    <row r="461" spans="1:41" ht="12.75">
      <c r="A461" s="21" t="s">
        <v>525</v>
      </c>
      <c r="B461" s="31" t="s">
        <v>538</v>
      </c>
      <c r="C461" s="48">
        <v>220057</v>
      </c>
      <c r="D461" s="48">
        <v>7</v>
      </c>
      <c r="E461" s="23">
        <v>9</v>
      </c>
      <c r="F461" s="23">
        <v>46371</v>
      </c>
      <c r="G461" s="23">
        <v>16</v>
      </c>
      <c r="H461" s="23">
        <v>39176</v>
      </c>
      <c r="I461" s="23">
        <v>10</v>
      </c>
      <c r="J461" s="23">
        <v>32472</v>
      </c>
      <c r="K461" s="23">
        <v>9</v>
      </c>
      <c r="L461" s="23">
        <v>30400</v>
      </c>
      <c r="M461" s="50"/>
      <c r="N461" s="50"/>
      <c r="O461" s="50"/>
      <c r="P461" s="51"/>
      <c r="Q461" s="46">
        <v>1</v>
      </c>
      <c r="R461" s="23">
        <v>53881</v>
      </c>
      <c r="S461" s="71">
        <v>3</v>
      </c>
      <c r="T461" s="23">
        <v>48895</v>
      </c>
      <c r="U461" s="71">
        <v>2</v>
      </c>
      <c r="V461" s="23">
        <v>48467</v>
      </c>
      <c r="W461" s="50"/>
      <c r="X461" s="50"/>
      <c r="Y461" s="50"/>
      <c r="Z461" s="51"/>
      <c r="AA461" s="52"/>
      <c r="AB461" s="51"/>
      <c r="AC461" s="50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</row>
    <row r="462" spans="1:41" ht="12.75">
      <c r="A462" s="21" t="s">
        <v>525</v>
      </c>
      <c r="B462" s="31" t="s">
        <v>539</v>
      </c>
      <c r="C462" s="48">
        <v>220400</v>
      </c>
      <c r="D462" s="48">
        <v>7</v>
      </c>
      <c r="E462" s="23">
        <v>6</v>
      </c>
      <c r="F462" s="23">
        <v>41804</v>
      </c>
      <c r="G462" s="23">
        <v>42</v>
      </c>
      <c r="H462" s="23">
        <v>36616</v>
      </c>
      <c r="I462" s="23">
        <v>14</v>
      </c>
      <c r="J462" s="23">
        <v>32379</v>
      </c>
      <c r="K462" s="23">
        <v>11</v>
      </c>
      <c r="L462" s="23">
        <v>28980</v>
      </c>
      <c r="M462" s="50"/>
      <c r="N462" s="50"/>
      <c r="O462" s="50"/>
      <c r="P462" s="51"/>
      <c r="Q462" s="46">
        <v>1</v>
      </c>
      <c r="R462" s="23">
        <v>50803</v>
      </c>
      <c r="S462" s="71">
        <v>11</v>
      </c>
      <c r="T462" s="23">
        <v>47822</v>
      </c>
      <c r="U462" s="71">
        <v>5</v>
      </c>
      <c r="V462" s="23">
        <v>47378</v>
      </c>
      <c r="W462" s="71">
        <v>5</v>
      </c>
      <c r="X462" s="23">
        <v>38372</v>
      </c>
      <c r="Y462" s="50"/>
      <c r="Z462" s="51"/>
      <c r="AA462" s="52"/>
      <c r="AB462" s="51"/>
      <c r="AC462" s="50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</row>
    <row r="463" spans="1:41" ht="12.75">
      <c r="A463" s="21" t="s">
        <v>525</v>
      </c>
      <c r="B463" s="31" t="s">
        <v>540</v>
      </c>
      <c r="C463" s="48">
        <v>221096</v>
      </c>
      <c r="D463" s="48">
        <v>7</v>
      </c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71">
        <v>71</v>
      </c>
      <c r="P463" s="26">
        <v>38054</v>
      </c>
      <c r="Q463" s="36"/>
      <c r="R463" s="50"/>
      <c r="S463" s="50"/>
      <c r="T463" s="50"/>
      <c r="U463" s="71">
        <v>3</v>
      </c>
      <c r="V463" s="23">
        <v>45739</v>
      </c>
      <c r="W463" s="71">
        <v>4</v>
      </c>
      <c r="X463" s="23">
        <v>43540</v>
      </c>
      <c r="Y463" s="50"/>
      <c r="Z463" s="51"/>
      <c r="AA463" s="52"/>
      <c r="AB463" s="51"/>
      <c r="AC463" s="50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</row>
    <row r="464" spans="1:41" ht="12.75">
      <c r="A464" s="21" t="s">
        <v>525</v>
      </c>
      <c r="B464" s="31" t="s">
        <v>541</v>
      </c>
      <c r="C464" s="48">
        <v>221184</v>
      </c>
      <c r="D464" s="48">
        <v>7</v>
      </c>
      <c r="E464" s="23">
        <v>11</v>
      </c>
      <c r="F464" s="23">
        <v>47491</v>
      </c>
      <c r="G464" s="23">
        <v>46</v>
      </c>
      <c r="H464" s="23">
        <v>39120</v>
      </c>
      <c r="I464" s="23">
        <v>17</v>
      </c>
      <c r="J464" s="23">
        <v>31049</v>
      </c>
      <c r="K464" s="23">
        <v>23</v>
      </c>
      <c r="L464" s="23">
        <v>31483</v>
      </c>
      <c r="M464" s="50"/>
      <c r="N464" s="50"/>
      <c r="O464" s="50"/>
      <c r="P464" s="51"/>
      <c r="Q464" s="36"/>
      <c r="R464" s="50"/>
      <c r="S464" s="71">
        <v>5</v>
      </c>
      <c r="T464" s="23">
        <v>48889</v>
      </c>
      <c r="U464" s="71">
        <v>3</v>
      </c>
      <c r="V464" s="23">
        <v>44472</v>
      </c>
      <c r="W464" s="71">
        <v>3</v>
      </c>
      <c r="X464" s="23">
        <v>28815</v>
      </c>
      <c r="Y464" s="50"/>
      <c r="Z464" s="51"/>
      <c r="AA464" s="52"/>
      <c r="AB464" s="51"/>
      <c r="AC464" s="50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</row>
    <row r="465" spans="1:41" ht="12.75">
      <c r="A465" s="21" t="s">
        <v>525</v>
      </c>
      <c r="B465" s="31" t="s">
        <v>542</v>
      </c>
      <c r="C465" s="48">
        <v>221908</v>
      </c>
      <c r="D465" s="48">
        <v>7</v>
      </c>
      <c r="E465" s="23">
        <v>1</v>
      </c>
      <c r="F465" s="23">
        <v>36875</v>
      </c>
      <c r="G465" s="23">
        <v>22</v>
      </c>
      <c r="H465" s="23">
        <v>37249</v>
      </c>
      <c r="I465" s="23">
        <v>23</v>
      </c>
      <c r="J465" s="23">
        <v>30405</v>
      </c>
      <c r="K465" s="23">
        <v>30</v>
      </c>
      <c r="L465" s="23">
        <v>28756</v>
      </c>
      <c r="M465" s="50"/>
      <c r="N465" s="50"/>
      <c r="O465" s="50"/>
      <c r="P465" s="51"/>
      <c r="Q465" s="36"/>
      <c r="R465" s="50"/>
      <c r="S465" s="71">
        <v>3</v>
      </c>
      <c r="T465" s="23">
        <v>51897</v>
      </c>
      <c r="U465" s="71">
        <v>1</v>
      </c>
      <c r="V465" s="23">
        <v>44278</v>
      </c>
      <c r="W465" s="71">
        <v>3</v>
      </c>
      <c r="X465" s="23">
        <v>31387</v>
      </c>
      <c r="Y465" s="50"/>
      <c r="Z465" s="51"/>
      <c r="AA465" s="52"/>
      <c r="AB465" s="51"/>
      <c r="AC465" s="50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</row>
    <row r="466" spans="1:41" ht="12.75">
      <c r="A466" s="21" t="s">
        <v>525</v>
      </c>
      <c r="B466" s="31" t="s">
        <v>543</v>
      </c>
      <c r="C466" s="48">
        <v>221642</v>
      </c>
      <c r="D466" s="48">
        <v>7</v>
      </c>
      <c r="E466" s="23">
        <v>14</v>
      </c>
      <c r="F466" s="23">
        <v>46034</v>
      </c>
      <c r="G466" s="23">
        <v>70</v>
      </c>
      <c r="H466" s="23">
        <v>39097</v>
      </c>
      <c r="I466" s="23">
        <v>60</v>
      </c>
      <c r="J466" s="23">
        <v>32856</v>
      </c>
      <c r="K466" s="23">
        <v>19</v>
      </c>
      <c r="L466" s="23">
        <v>26886</v>
      </c>
      <c r="M466" s="50"/>
      <c r="N466" s="50"/>
      <c r="O466" s="50"/>
      <c r="P466" s="51"/>
      <c r="Q466" s="36"/>
      <c r="R466" s="50"/>
      <c r="S466" s="50"/>
      <c r="T466" s="50"/>
      <c r="U466" s="50"/>
      <c r="V466" s="50"/>
      <c r="W466" s="50"/>
      <c r="X466" s="50"/>
      <c r="Y466" s="50"/>
      <c r="Z466" s="51"/>
      <c r="AA466" s="52"/>
      <c r="AB466" s="51"/>
      <c r="AC466" s="50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</row>
    <row r="467" spans="1:41" ht="12.75">
      <c r="A467" s="21" t="s">
        <v>525</v>
      </c>
      <c r="B467" s="31" t="s">
        <v>544</v>
      </c>
      <c r="C467" s="48">
        <v>221397</v>
      </c>
      <c r="D467" s="48">
        <v>7</v>
      </c>
      <c r="E467" s="23">
        <v>16</v>
      </c>
      <c r="F467" s="23">
        <v>47734</v>
      </c>
      <c r="G467" s="23">
        <v>76</v>
      </c>
      <c r="H467" s="23">
        <v>39162</v>
      </c>
      <c r="I467" s="23">
        <v>26</v>
      </c>
      <c r="J467" s="23">
        <v>33664</v>
      </c>
      <c r="K467" s="23">
        <v>7</v>
      </c>
      <c r="L467" s="23">
        <v>31935</v>
      </c>
      <c r="M467" s="50"/>
      <c r="N467" s="50"/>
      <c r="O467" s="50"/>
      <c r="P467" s="51"/>
      <c r="Q467" s="36"/>
      <c r="R467" s="50"/>
      <c r="S467" s="71">
        <v>5</v>
      </c>
      <c r="T467" s="23">
        <v>50888</v>
      </c>
      <c r="U467" s="71">
        <v>4</v>
      </c>
      <c r="V467" s="23">
        <v>42399</v>
      </c>
      <c r="W467" s="71">
        <v>2</v>
      </c>
      <c r="X467" s="23">
        <v>40390</v>
      </c>
      <c r="Y467" s="50"/>
      <c r="Z467" s="51"/>
      <c r="AA467" s="52"/>
      <c r="AB467" s="51"/>
      <c r="AC467" s="50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</row>
    <row r="468" spans="1:41" ht="12.75">
      <c r="A468" s="21" t="s">
        <v>525</v>
      </c>
      <c r="B468" s="31" t="s">
        <v>545</v>
      </c>
      <c r="C468" s="48">
        <v>221485</v>
      </c>
      <c r="D468" s="48">
        <v>7</v>
      </c>
      <c r="E468" s="23">
        <v>14</v>
      </c>
      <c r="F468" s="23">
        <v>43367</v>
      </c>
      <c r="G468" s="23">
        <v>61</v>
      </c>
      <c r="H468" s="23">
        <v>37780</v>
      </c>
      <c r="I468" s="23">
        <v>18</v>
      </c>
      <c r="J468" s="23">
        <v>31336</v>
      </c>
      <c r="K468" s="23">
        <v>27</v>
      </c>
      <c r="L468" s="23">
        <v>27121</v>
      </c>
      <c r="M468" s="50"/>
      <c r="N468" s="50"/>
      <c r="O468" s="50"/>
      <c r="P468" s="51"/>
      <c r="Q468" s="36"/>
      <c r="R468" s="50"/>
      <c r="S468" s="71">
        <v>5</v>
      </c>
      <c r="T468" s="23">
        <v>49716</v>
      </c>
      <c r="U468" s="71">
        <v>1</v>
      </c>
      <c r="V468" s="23">
        <v>35956</v>
      </c>
      <c r="W468" s="71">
        <v>3</v>
      </c>
      <c r="X468" s="23">
        <v>32909</v>
      </c>
      <c r="Y468" s="50"/>
      <c r="Z468" s="51"/>
      <c r="AA468" s="52"/>
      <c r="AB468" s="51"/>
      <c r="AC468" s="50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</row>
    <row r="469" spans="1:41" ht="12.75">
      <c r="A469" s="21" t="s">
        <v>525</v>
      </c>
      <c r="B469" s="31" t="s">
        <v>546</v>
      </c>
      <c r="C469" s="48">
        <v>221652</v>
      </c>
      <c r="D469" s="48">
        <v>7</v>
      </c>
      <c r="E469" s="23">
        <v>1</v>
      </c>
      <c r="F469" s="23">
        <v>49437</v>
      </c>
      <c r="G469" s="23">
        <v>25</v>
      </c>
      <c r="H469" s="23">
        <v>36562</v>
      </c>
      <c r="I469" s="23">
        <v>18</v>
      </c>
      <c r="J469" s="23">
        <v>30111</v>
      </c>
      <c r="K469" s="23">
        <v>21</v>
      </c>
      <c r="L469" s="23">
        <v>29062</v>
      </c>
      <c r="M469" s="50"/>
      <c r="N469" s="50"/>
      <c r="O469" s="50"/>
      <c r="P469" s="51"/>
      <c r="Q469" s="46">
        <v>23</v>
      </c>
      <c r="R469" s="23">
        <v>58613</v>
      </c>
      <c r="S469" s="71">
        <v>43</v>
      </c>
      <c r="T469" s="23">
        <v>48596</v>
      </c>
      <c r="U469" s="71">
        <v>18</v>
      </c>
      <c r="V469" s="23">
        <v>42567</v>
      </c>
      <c r="W469" s="71">
        <v>12</v>
      </c>
      <c r="X469" s="23">
        <v>36139</v>
      </c>
      <c r="Y469" s="50"/>
      <c r="Z469" s="51"/>
      <c r="AA469" s="52"/>
      <c r="AB469" s="51"/>
      <c r="AC469" s="50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</row>
    <row r="470" spans="1:41" ht="12.75">
      <c r="A470" s="21" t="s">
        <v>525</v>
      </c>
      <c r="B470" s="31" t="s">
        <v>547</v>
      </c>
      <c r="C470" s="48">
        <v>222053</v>
      </c>
      <c r="D470" s="48">
        <v>7</v>
      </c>
      <c r="E470" s="23">
        <v>12</v>
      </c>
      <c r="F470" s="23">
        <v>46996</v>
      </c>
      <c r="G470" s="23">
        <v>38</v>
      </c>
      <c r="H470" s="23">
        <v>40655</v>
      </c>
      <c r="I470" s="23">
        <v>27</v>
      </c>
      <c r="J470" s="23">
        <v>31064</v>
      </c>
      <c r="K470" s="23">
        <v>21</v>
      </c>
      <c r="L470" s="23">
        <v>27971</v>
      </c>
      <c r="M470" s="50"/>
      <c r="N470" s="50"/>
      <c r="O470" s="50"/>
      <c r="P470" s="51"/>
      <c r="Q470" s="46">
        <v>3</v>
      </c>
      <c r="R470" s="23">
        <v>57153</v>
      </c>
      <c r="S470" s="71">
        <v>9</v>
      </c>
      <c r="T470" s="23">
        <v>52599</v>
      </c>
      <c r="U470" s="71">
        <v>4</v>
      </c>
      <c r="V470" s="23">
        <v>46946</v>
      </c>
      <c r="W470" s="71">
        <v>10</v>
      </c>
      <c r="X470" s="23">
        <v>35278</v>
      </c>
      <c r="Y470" s="50"/>
      <c r="Z470" s="51"/>
      <c r="AA470" s="52"/>
      <c r="AB470" s="51"/>
      <c r="AC470" s="50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</row>
    <row r="471" spans="1:41" ht="12.75">
      <c r="A471" s="21" t="s">
        <v>525</v>
      </c>
      <c r="B471" s="31" t="s">
        <v>548</v>
      </c>
      <c r="C471" s="48">
        <v>222062</v>
      </c>
      <c r="D471" s="48">
        <v>7</v>
      </c>
      <c r="E471" s="23">
        <v>16</v>
      </c>
      <c r="F471" s="23">
        <v>50215</v>
      </c>
      <c r="G471" s="23">
        <v>61</v>
      </c>
      <c r="H471" s="23">
        <v>41072</v>
      </c>
      <c r="I471" s="23">
        <v>21</v>
      </c>
      <c r="J471" s="23">
        <v>31011</v>
      </c>
      <c r="K471" s="23">
        <v>3</v>
      </c>
      <c r="L471" s="23">
        <v>25585</v>
      </c>
      <c r="M471" s="50"/>
      <c r="N471" s="50"/>
      <c r="O471" s="50"/>
      <c r="P471" s="51"/>
      <c r="Q471" s="46">
        <v>3</v>
      </c>
      <c r="R471" s="23">
        <v>66832</v>
      </c>
      <c r="S471" s="71">
        <v>7</v>
      </c>
      <c r="T471" s="23">
        <v>46706</v>
      </c>
      <c r="U471" s="71">
        <v>5</v>
      </c>
      <c r="V471" s="23">
        <v>43272</v>
      </c>
      <c r="W471" s="71">
        <v>2</v>
      </c>
      <c r="X471" s="23">
        <v>33378</v>
      </c>
      <c r="Y471" s="50"/>
      <c r="Z471" s="51"/>
      <c r="AA471" s="52"/>
      <c r="AB471" s="51"/>
      <c r="AC471" s="50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</row>
    <row r="472" spans="1:41" ht="12.75">
      <c r="A472" s="21" t="s">
        <v>525</v>
      </c>
      <c r="B472" s="31" t="s">
        <v>549</v>
      </c>
      <c r="C472" s="48">
        <v>219596</v>
      </c>
      <c r="D472" s="48">
        <v>8</v>
      </c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1"/>
      <c r="Q472" s="36"/>
      <c r="R472" s="50"/>
      <c r="S472" s="50"/>
      <c r="T472" s="50"/>
      <c r="U472" s="50"/>
      <c r="V472" s="50"/>
      <c r="W472" s="50"/>
      <c r="X472" s="50"/>
      <c r="Y472" s="50"/>
      <c r="Z472" s="51"/>
      <c r="AA472" s="73">
        <v>8</v>
      </c>
      <c r="AB472" s="24">
        <v>30853</v>
      </c>
      <c r="AC472" s="50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</row>
    <row r="473" spans="1:41" ht="12.75">
      <c r="A473" s="21" t="s">
        <v>525</v>
      </c>
      <c r="B473" s="31" t="s">
        <v>550</v>
      </c>
      <c r="C473" s="48">
        <v>219824</v>
      </c>
      <c r="D473" s="48">
        <v>8</v>
      </c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50"/>
      <c r="P473" s="51"/>
      <c r="Q473" s="34"/>
      <c r="R473" s="21"/>
      <c r="S473" s="21"/>
      <c r="T473" s="21"/>
      <c r="U473" s="21"/>
      <c r="V473" s="21"/>
      <c r="W473" s="21"/>
      <c r="X473" s="21"/>
      <c r="Y473" s="21"/>
      <c r="Z473" s="32"/>
      <c r="AA473" s="73">
        <v>16</v>
      </c>
      <c r="AB473" s="24">
        <v>38048</v>
      </c>
      <c r="AC473" s="2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</row>
    <row r="474" spans="1:41" ht="12.75">
      <c r="A474" s="21" t="s">
        <v>525</v>
      </c>
      <c r="B474" s="31" t="s">
        <v>551</v>
      </c>
      <c r="C474" s="48">
        <v>219921</v>
      </c>
      <c r="D474" s="48">
        <v>8</v>
      </c>
      <c r="E474" s="23"/>
      <c r="F474" s="23"/>
      <c r="G474" s="23"/>
      <c r="H474" s="23"/>
      <c r="I474" s="23"/>
      <c r="J474" s="23"/>
      <c r="K474" s="23"/>
      <c r="L474" s="23"/>
      <c r="M474" s="21"/>
      <c r="N474" s="23"/>
      <c r="O474" s="50"/>
      <c r="P474" s="51"/>
      <c r="Q474" s="25"/>
      <c r="R474" s="50"/>
      <c r="S474" s="50"/>
      <c r="T474" s="50"/>
      <c r="U474" s="50"/>
      <c r="V474" s="50"/>
      <c r="W474" s="50"/>
      <c r="X474" s="50"/>
      <c r="Y474" s="21"/>
      <c r="Z474" s="24"/>
      <c r="AA474" s="73">
        <v>6</v>
      </c>
      <c r="AB474" s="26">
        <v>29764</v>
      </c>
      <c r="AC474" s="2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</row>
    <row r="475" spans="1:41" ht="12.75">
      <c r="A475" s="21" t="s">
        <v>525</v>
      </c>
      <c r="B475" s="31" t="s">
        <v>552</v>
      </c>
      <c r="C475" s="48">
        <v>221591</v>
      </c>
      <c r="D475" s="48">
        <v>8</v>
      </c>
      <c r="E475" s="23"/>
      <c r="F475" s="23"/>
      <c r="G475" s="23"/>
      <c r="H475" s="23"/>
      <c r="I475" s="23"/>
      <c r="J475" s="23"/>
      <c r="K475" s="23"/>
      <c r="L475" s="23"/>
      <c r="M475" s="21"/>
      <c r="N475" s="23"/>
      <c r="O475" s="50"/>
      <c r="P475" s="51"/>
      <c r="Q475" s="25"/>
      <c r="R475" s="50"/>
      <c r="S475" s="50"/>
      <c r="T475" s="50"/>
      <c r="U475" s="50"/>
      <c r="V475" s="50"/>
      <c r="W475" s="50"/>
      <c r="X475" s="50"/>
      <c r="Y475" s="21"/>
      <c r="Z475" s="24"/>
      <c r="AA475" s="73">
        <v>13</v>
      </c>
      <c r="AB475" s="24">
        <v>30087</v>
      </c>
      <c r="AC475" s="2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</row>
    <row r="476" spans="1:41" ht="12.75">
      <c r="A476" s="21" t="s">
        <v>525</v>
      </c>
      <c r="B476" s="31" t="s">
        <v>553</v>
      </c>
      <c r="C476" s="48">
        <v>221430</v>
      </c>
      <c r="D476" s="48">
        <v>8</v>
      </c>
      <c r="E476" s="23"/>
      <c r="F476" s="23"/>
      <c r="G476" s="23"/>
      <c r="H476" s="23"/>
      <c r="I476" s="23"/>
      <c r="J476" s="23"/>
      <c r="K476" s="23"/>
      <c r="L476" s="23"/>
      <c r="M476" s="21"/>
      <c r="N476" s="23"/>
      <c r="O476" s="50"/>
      <c r="P476" s="51"/>
      <c r="Q476" s="25"/>
      <c r="R476" s="50"/>
      <c r="S476" s="50"/>
      <c r="T476" s="50"/>
      <c r="U476" s="50"/>
      <c r="V476" s="50"/>
      <c r="W476" s="50"/>
      <c r="X476" s="50"/>
      <c r="Y476" s="21"/>
      <c r="Z476" s="24"/>
      <c r="AA476" s="73">
        <v>12</v>
      </c>
      <c r="AB476" s="24">
        <v>31049</v>
      </c>
      <c r="AC476" s="2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</row>
    <row r="477" spans="1:41" ht="12.75">
      <c r="A477" s="21" t="s">
        <v>525</v>
      </c>
      <c r="B477" s="31" t="s">
        <v>554</v>
      </c>
      <c r="C477" s="48">
        <v>219994</v>
      </c>
      <c r="D477" s="48">
        <v>8</v>
      </c>
      <c r="E477" s="23"/>
      <c r="F477" s="23"/>
      <c r="G477" s="23"/>
      <c r="H477" s="23"/>
      <c r="I477" s="23"/>
      <c r="J477" s="23"/>
      <c r="K477" s="23"/>
      <c r="L477" s="23"/>
      <c r="M477" s="21"/>
      <c r="N477" s="23"/>
      <c r="O477" s="50"/>
      <c r="P477" s="51"/>
      <c r="Q477" s="25"/>
      <c r="R477" s="23"/>
      <c r="S477" s="23"/>
      <c r="T477" s="23"/>
      <c r="U477" s="23"/>
      <c r="V477" s="23"/>
      <c r="W477" s="23"/>
      <c r="X477" s="23"/>
      <c r="Y477" s="21"/>
      <c r="Z477" s="24"/>
      <c r="AA477" s="73">
        <v>16</v>
      </c>
      <c r="AB477" s="24">
        <v>30823</v>
      </c>
      <c r="AC477" s="2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</row>
    <row r="478" spans="1:41" ht="12.75">
      <c r="A478" s="21" t="s">
        <v>525</v>
      </c>
      <c r="B478" s="31" t="s">
        <v>555</v>
      </c>
      <c r="C478" s="48">
        <v>220127</v>
      </c>
      <c r="D478" s="48">
        <v>8</v>
      </c>
      <c r="E478" s="23"/>
      <c r="F478" s="23"/>
      <c r="G478" s="23"/>
      <c r="H478" s="23"/>
      <c r="I478" s="23"/>
      <c r="J478" s="23"/>
      <c r="K478" s="23"/>
      <c r="L478" s="23"/>
      <c r="M478" s="21"/>
      <c r="N478" s="23"/>
      <c r="O478" s="50"/>
      <c r="P478" s="51"/>
      <c r="Q478" s="25"/>
      <c r="R478" s="23"/>
      <c r="S478" s="23"/>
      <c r="T478" s="23"/>
      <c r="U478" s="23"/>
      <c r="V478" s="23"/>
      <c r="W478" s="23"/>
      <c r="X478" s="23"/>
      <c r="Y478" s="21"/>
      <c r="Z478" s="24"/>
      <c r="AA478" s="73">
        <v>6</v>
      </c>
      <c r="AB478" s="24">
        <v>31506</v>
      </c>
      <c r="AC478" s="2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</row>
    <row r="479" spans="1:41" ht="12.75">
      <c r="A479" s="21" t="s">
        <v>525</v>
      </c>
      <c r="B479" s="31" t="s">
        <v>556</v>
      </c>
      <c r="C479" s="48">
        <v>220251</v>
      </c>
      <c r="D479" s="48">
        <v>8</v>
      </c>
      <c r="E479" s="23"/>
      <c r="F479" s="23"/>
      <c r="G479" s="23"/>
      <c r="H479" s="23"/>
      <c r="I479" s="23"/>
      <c r="J479" s="23"/>
      <c r="K479" s="23"/>
      <c r="L479" s="23"/>
      <c r="M479" s="21"/>
      <c r="N479" s="23"/>
      <c r="O479" s="50"/>
      <c r="P479" s="51"/>
      <c r="Q479" s="25"/>
      <c r="R479" s="23"/>
      <c r="S479" s="23"/>
      <c r="T479" s="23"/>
      <c r="U479" s="23"/>
      <c r="V479" s="23"/>
      <c r="W479" s="23"/>
      <c r="X479" s="23"/>
      <c r="Y479" s="21"/>
      <c r="Z479" s="24"/>
      <c r="AA479" s="73">
        <v>9</v>
      </c>
      <c r="AB479" s="24">
        <v>30796</v>
      </c>
      <c r="AC479" s="2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</row>
    <row r="480" spans="1:41" ht="12.75">
      <c r="A480" s="21" t="s">
        <v>525</v>
      </c>
      <c r="B480" s="31" t="s">
        <v>557</v>
      </c>
      <c r="C480" s="48">
        <v>220279</v>
      </c>
      <c r="D480" s="48">
        <v>8</v>
      </c>
      <c r="E480" s="23"/>
      <c r="F480" s="23"/>
      <c r="G480" s="23"/>
      <c r="H480" s="23"/>
      <c r="I480" s="23"/>
      <c r="J480" s="23"/>
      <c r="K480" s="23"/>
      <c r="L480" s="23"/>
      <c r="M480" s="21"/>
      <c r="N480" s="23"/>
      <c r="O480" s="50"/>
      <c r="P480" s="51"/>
      <c r="Q480" s="25"/>
      <c r="R480" s="23"/>
      <c r="S480" s="23"/>
      <c r="T480" s="23"/>
      <c r="U480" s="23"/>
      <c r="V480" s="23"/>
      <c r="W480" s="23"/>
      <c r="X480" s="23"/>
      <c r="Y480" s="21"/>
      <c r="Z480" s="24"/>
      <c r="AA480" s="73">
        <v>6</v>
      </c>
      <c r="AB480" s="24">
        <v>29335</v>
      </c>
      <c r="AC480" s="2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</row>
    <row r="481" spans="1:41" ht="12.75">
      <c r="A481" s="21" t="s">
        <v>525</v>
      </c>
      <c r="B481" s="31" t="s">
        <v>558</v>
      </c>
      <c r="C481" s="48">
        <v>220321</v>
      </c>
      <c r="D481" s="48">
        <v>8</v>
      </c>
      <c r="E481" s="23"/>
      <c r="F481" s="23"/>
      <c r="G481" s="23"/>
      <c r="H481" s="23"/>
      <c r="I481" s="23"/>
      <c r="J481" s="23"/>
      <c r="K481" s="23"/>
      <c r="L481" s="23"/>
      <c r="M481" s="21"/>
      <c r="N481" s="23"/>
      <c r="O481" s="50"/>
      <c r="P481" s="51"/>
      <c r="Q481" s="25"/>
      <c r="R481" s="23"/>
      <c r="S481" s="23"/>
      <c r="T481" s="23"/>
      <c r="U481" s="23"/>
      <c r="V481" s="23"/>
      <c r="W481" s="23"/>
      <c r="X481" s="23"/>
      <c r="Y481" s="21"/>
      <c r="Z481" s="24"/>
      <c r="AA481" s="73">
        <v>5</v>
      </c>
      <c r="AB481" s="24">
        <v>31070</v>
      </c>
      <c r="AC481" s="2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</row>
    <row r="482" spans="1:41" ht="12.75">
      <c r="A482" s="21" t="s">
        <v>525</v>
      </c>
      <c r="B482" s="31" t="s">
        <v>559</v>
      </c>
      <c r="C482" s="48">
        <v>220394</v>
      </c>
      <c r="D482" s="48">
        <v>8</v>
      </c>
      <c r="E482" s="23"/>
      <c r="F482" s="23"/>
      <c r="G482" s="23"/>
      <c r="H482" s="23"/>
      <c r="I482" s="23"/>
      <c r="J482" s="23"/>
      <c r="K482" s="23"/>
      <c r="L482" s="23"/>
      <c r="M482" s="21"/>
      <c r="N482" s="23"/>
      <c r="O482" s="50"/>
      <c r="P482" s="51"/>
      <c r="Q482" s="25"/>
      <c r="R482" s="23"/>
      <c r="S482" s="23"/>
      <c r="T482" s="23"/>
      <c r="U482" s="23"/>
      <c r="V482" s="23"/>
      <c r="W482" s="23"/>
      <c r="X482" s="23"/>
      <c r="Y482" s="21"/>
      <c r="Z482" s="24"/>
      <c r="AA482" s="73">
        <v>11</v>
      </c>
      <c r="AB482" s="24">
        <v>31959</v>
      </c>
      <c r="AC482" s="2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</row>
    <row r="483" spans="1:41" ht="12.75">
      <c r="A483" s="21" t="s">
        <v>525</v>
      </c>
      <c r="B483" s="31" t="s">
        <v>560</v>
      </c>
      <c r="C483" s="48">
        <v>221616</v>
      </c>
      <c r="D483" s="48">
        <v>8</v>
      </c>
      <c r="E483" s="23"/>
      <c r="F483" s="23"/>
      <c r="G483" s="23"/>
      <c r="H483" s="23"/>
      <c r="I483" s="23"/>
      <c r="J483" s="23"/>
      <c r="K483" s="23"/>
      <c r="L483" s="23"/>
      <c r="M483" s="21"/>
      <c r="N483" s="23"/>
      <c r="O483" s="50"/>
      <c r="P483" s="51"/>
      <c r="Q483" s="25"/>
      <c r="R483" s="23"/>
      <c r="S483" s="23"/>
      <c r="T483" s="23"/>
      <c r="U483" s="23"/>
      <c r="V483" s="23"/>
      <c r="W483" s="23"/>
      <c r="X483" s="23"/>
      <c r="Y483" s="21"/>
      <c r="Z483" s="24"/>
      <c r="AA483" s="73">
        <v>14</v>
      </c>
      <c r="AB483" s="24">
        <v>30832</v>
      </c>
      <c r="AC483" s="2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</row>
    <row r="484" spans="1:41" ht="12.75">
      <c r="A484" s="21" t="s">
        <v>525</v>
      </c>
      <c r="B484" s="31" t="s">
        <v>561</v>
      </c>
      <c r="C484" s="48">
        <v>221625</v>
      </c>
      <c r="D484" s="48">
        <v>8</v>
      </c>
      <c r="E484" s="21"/>
      <c r="F484" s="23"/>
      <c r="G484" s="21"/>
      <c r="H484" s="23"/>
      <c r="I484" s="21"/>
      <c r="J484" s="23"/>
      <c r="K484" s="21"/>
      <c r="L484" s="23"/>
      <c r="M484" s="21"/>
      <c r="N484" s="23"/>
      <c r="O484" s="50"/>
      <c r="P484" s="51"/>
      <c r="Q484" s="25"/>
      <c r="R484" s="23"/>
      <c r="S484" s="21"/>
      <c r="T484" s="23"/>
      <c r="U484" s="21"/>
      <c r="V484" s="23"/>
      <c r="W484" s="21"/>
      <c r="X484" s="23"/>
      <c r="Y484" s="21"/>
      <c r="Z484" s="24"/>
      <c r="AA484" s="73">
        <v>25</v>
      </c>
      <c r="AB484" s="24">
        <v>30734</v>
      </c>
      <c r="AC484" s="2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</row>
    <row r="485" spans="1:41" ht="12.75">
      <c r="A485" s="21" t="s">
        <v>525</v>
      </c>
      <c r="B485" s="31" t="s">
        <v>562</v>
      </c>
      <c r="C485" s="48">
        <v>220640</v>
      </c>
      <c r="D485" s="48">
        <v>8</v>
      </c>
      <c r="E485" s="23"/>
      <c r="F485" s="23"/>
      <c r="G485" s="23"/>
      <c r="H485" s="23"/>
      <c r="I485" s="23"/>
      <c r="J485" s="23"/>
      <c r="K485" s="23"/>
      <c r="L485" s="23"/>
      <c r="M485" s="21"/>
      <c r="N485" s="23"/>
      <c r="O485" s="50"/>
      <c r="P485" s="51"/>
      <c r="Q485" s="25"/>
      <c r="R485" s="23"/>
      <c r="S485" s="23"/>
      <c r="T485" s="23"/>
      <c r="U485" s="23"/>
      <c r="V485" s="23"/>
      <c r="W485" s="23"/>
      <c r="X485" s="23"/>
      <c r="Y485" s="21"/>
      <c r="Z485" s="24"/>
      <c r="AA485" s="73">
        <v>14</v>
      </c>
      <c r="AB485" s="24">
        <v>29358</v>
      </c>
      <c r="AC485" s="2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</row>
    <row r="486" spans="1:41" ht="12.75">
      <c r="A486" s="21" t="s">
        <v>525</v>
      </c>
      <c r="B486" s="31" t="s">
        <v>563</v>
      </c>
      <c r="C486" s="48">
        <v>220756</v>
      </c>
      <c r="D486" s="48">
        <v>8</v>
      </c>
      <c r="E486" s="28"/>
      <c r="F486" s="23"/>
      <c r="G486" s="28"/>
      <c r="H486" s="23"/>
      <c r="I486" s="23"/>
      <c r="J486" s="23"/>
      <c r="K486" s="23"/>
      <c r="L486" s="23"/>
      <c r="M486" s="23"/>
      <c r="N486" s="23"/>
      <c r="O486" s="50"/>
      <c r="P486" s="51"/>
      <c r="Q486" s="37"/>
      <c r="R486" s="23"/>
      <c r="S486" s="23"/>
      <c r="T486" s="23"/>
      <c r="U486" s="23"/>
      <c r="V486" s="23"/>
      <c r="W486" s="23"/>
      <c r="X486" s="23"/>
      <c r="Y486" s="23"/>
      <c r="Z486" s="24"/>
      <c r="AA486" s="73">
        <v>8</v>
      </c>
      <c r="AB486" s="24">
        <v>29379</v>
      </c>
      <c r="AC486" s="2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</row>
    <row r="487" spans="1:41" ht="12.75">
      <c r="A487" s="21" t="s">
        <v>525</v>
      </c>
      <c r="B487" s="31" t="s">
        <v>564</v>
      </c>
      <c r="C487" s="48">
        <v>221607</v>
      </c>
      <c r="D487" s="48">
        <v>8</v>
      </c>
      <c r="E487" s="28"/>
      <c r="F487" s="23"/>
      <c r="G487" s="28"/>
      <c r="H487" s="23"/>
      <c r="I487" s="23"/>
      <c r="J487" s="23"/>
      <c r="K487" s="23"/>
      <c r="L487" s="23"/>
      <c r="M487" s="23"/>
      <c r="N487" s="23"/>
      <c r="O487" s="50"/>
      <c r="P487" s="51"/>
      <c r="Q487" s="37"/>
      <c r="R487" s="23"/>
      <c r="S487" s="23"/>
      <c r="T487" s="23"/>
      <c r="U487" s="23"/>
      <c r="V487" s="23"/>
      <c r="W487" s="23"/>
      <c r="X487" s="23"/>
      <c r="Y487" s="23"/>
      <c r="Z487" s="24"/>
      <c r="AA487" s="73">
        <v>9</v>
      </c>
      <c r="AB487" s="24">
        <v>30463</v>
      </c>
      <c r="AC487" s="2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</row>
    <row r="488" spans="1:41" ht="12.75">
      <c r="A488" s="21" t="s">
        <v>525</v>
      </c>
      <c r="B488" s="31" t="s">
        <v>565</v>
      </c>
      <c r="C488" s="48">
        <v>220853</v>
      </c>
      <c r="D488" s="48">
        <v>8</v>
      </c>
      <c r="E488" s="28"/>
      <c r="F488" s="23"/>
      <c r="G488" s="28"/>
      <c r="H488" s="23"/>
      <c r="I488" s="23"/>
      <c r="J488" s="23"/>
      <c r="K488" s="23"/>
      <c r="L488" s="23"/>
      <c r="M488" s="23"/>
      <c r="N488" s="23"/>
      <c r="O488" s="28"/>
      <c r="P488" s="24"/>
      <c r="Q488" s="37"/>
      <c r="R488" s="23"/>
      <c r="S488" s="23"/>
      <c r="T488" s="23"/>
      <c r="U488" s="23"/>
      <c r="V488" s="23"/>
      <c r="W488" s="23"/>
      <c r="X488" s="23"/>
      <c r="Y488" s="23"/>
      <c r="Z488" s="24"/>
      <c r="AA488" s="73">
        <v>17</v>
      </c>
      <c r="AB488" s="24">
        <v>35684</v>
      </c>
      <c r="AC488" s="2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</row>
    <row r="489" spans="1:41" ht="12.75">
      <c r="A489" s="21" t="s">
        <v>525</v>
      </c>
      <c r="B489" s="31" t="s">
        <v>566</v>
      </c>
      <c r="C489" s="48">
        <v>221050</v>
      </c>
      <c r="D489" s="48">
        <v>8</v>
      </c>
      <c r="E489" s="23"/>
      <c r="F489" s="23"/>
      <c r="G489" s="28"/>
      <c r="H489" s="23"/>
      <c r="I489" s="28"/>
      <c r="J489" s="23"/>
      <c r="K489" s="23"/>
      <c r="L489" s="23"/>
      <c r="M489" s="23"/>
      <c r="N489" s="23"/>
      <c r="O489" s="23"/>
      <c r="P489" s="26"/>
      <c r="Q489" s="25"/>
      <c r="R489" s="23"/>
      <c r="S489" s="23"/>
      <c r="T489" s="23"/>
      <c r="U489" s="23"/>
      <c r="V489" s="23"/>
      <c r="W489" s="23"/>
      <c r="X489" s="23"/>
      <c r="Y489" s="23"/>
      <c r="Z489" s="26"/>
      <c r="AA489" s="73">
        <v>19</v>
      </c>
      <c r="AB489" s="24">
        <v>31050</v>
      </c>
      <c r="AC489" s="2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</row>
    <row r="490" spans="1:41" ht="12.75">
      <c r="A490" s="21" t="s">
        <v>525</v>
      </c>
      <c r="B490" s="31" t="s">
        <v>567</v>
      </c>
      <c r="C490" s="48">
        <v>221102</v>
      </c>
      <c r="D490" s="48">
        <v>8</v>
      </c>
      <c r="E490" s="28"/>
      <c r="F490" s="23"/>
      <c r="G490" s="28"/>
      <c r="H490" s="23"/>
      <c r="I490" s="28"/>
      <c r="J490" s="23"/>
      <c r="K490" s="28"/>
      <c r="L490" s="23"/>
      <c r="M490" s="28"/>
      <c r="N490" s="23"/>
      <c r="O490" s="23"/>
      <c r="P490" s="26"/>
      <c r="Q490" s="25"/>
      <c r="R490" s="23"/>
      <c r="S490" s="23"/>
      <c r="T490" s="23"/>
      <c r="U490" s="23"/>
      <c r="V490" s="23"/>
      <c r="W490" s="23"/>
      <c r="X490" s="23"/>
      <c r="Y490" s="23"/>
      <c r="Z490" s="26"/>
      <c r="AA490" s="73">
        <v>7</v>
      </c>
      <c r="AB490" s="24">
        <v>33113</v>
      </c>
      <c r="AC490" s="2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</row>
    <row r="491" spans="1:41" ht="12.75">
      <c r="A491" s="21" t="s">
        <v>525</v>
      </c>
      <c r="B491" s="31" t="s">
        <v>568</v>
      </c>
      <c r="C491" s="48">
        <v>248925</v>
      </c>
      <c r="D491" s="48">
        <v>8</v>
      </c>
      <c r="E491" s="28"/>
      <c r="F491" s="23"/>
      <c r="G491" s="28"/>
      <c r="H491" s="23"/>
      <c r="I491" s="28"/>
      <c r="J491" s="23"/>
      <c r="K491" s="28"/>
      <c r="L491" s="23"/>
      <c r="M491" s="28"/>
      <c r="N491" s="23"/>
      <c r="O491" s="23"/>
      <c r="P491" s="26"/>
      <c r="Q491" s="25"/>
      <c r="R491" s="23"/>
      <c r="S491" s="23"/>
      <c r="T491" s="23"/>
      <c r="U491" s="23"/>
      <c r="V491" s="23"/>
      <c r="W491" s="23"/>
      <c r="X491" s="23"/>
      <c r="Y491" s="23"/>
      <c r="Z491" s="26"/>
      <c r="AA491" s="73">
        <v>15</v>
      </c>
      <c r="AB491" s="24">
        <v>30579</v>
      </c>
      <c r="AC491" s="2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</row>
    <row r="492" spans="1:41" ht="12.75">
      <c r="A492" s="21" t="s">
        <v>525</v>
      </c>
      <c r="B492" s="31" t="s">
        <v>569</v>
      </c>
      <c r="C492" s="48">
        <v>221236</v>
      </c>
      <c r="D492" s="48">
        <v>8</v>
      </c>
      <c r="E492" s="28"/>
      <c r="F492" s="23"/>
      <c r="G492" s="28"/>
      <c r="H492" s="23"/>
      <c r="I492" s="28"/>
      <c r="J492" s="23"/>
      <c r="K492" s="28"/>
      <c r="L492" s="23"/>
      <c r="M492" s="28"/>
      <c r="N492" s="23"/>
      <c r="O492" s="23"/>
      <c r="P492" s="26"/>
      <c r="Q492" s="25"/>
      <c r="R492" s="23"/>
      <c r="S492" s="23"/>
      <c r="T492" s="23"/>
      <c r="U492" s="23"/>
      <c r="V492" s="23"/>
      <c r="W492" s="23"/>
      <c r="X492" s="23"/>
      <c r="Y492" s="23"/>
      <c r="Z492" s="26"/>
      <c r="AA492" s="73">
        <v>4</v>
      </c>
      <c r="AB492" s="24">
        <v>28451</v>
      </c>
      <c r="AC492" s="2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</row>
    <row r="493" spans="1:41" ht="12.75">
      <c r="A493" s="21" t="s">
        <v>525</v>
      </c>
      <c r="B493" s="31" t="s">
        <v>570</v>
      </c>
      <c r="C493" s="48">
        <v>221582</v>
      </c>
      <c r="D493" s="48">
        <v>8</v>
      </c>
      <c r="E493" s="28"/>
      <c r="F493" s="23"/>
      <c r="G493" s="28"/>
      <c r="H493" s="23"/>
      <c r="I493" s="28"/>
      <c r="J493" s="23"/>
      <c r="K493" s="28"/>
      <c r="L493" s="23"/>
      <c r="M493" s="28"/>
      <c r="N493" s="28"/>
      <c r="O493" s="28"/>
      <c r="P493" s="24"/>
      <c r="Q493" s="25"/>
      <c r="R493" s="23"/>
      <c r="S493" s="23"/>
      <c r="T493" s="23"/>
      <c r="U493" s="23"/>
      <c r="V493" s="23"/>
      <c r="W493" s="23"/>
      <c r="X493" s="23"/>
      <c r="Y493" s="23"/>
      <c r="Z493" s="24"/>
      <c r="AA493" s="73">
        <v>6</v>
      </c>
      <c r="AB493" s="24">
        <v>28120</v>
      </c>
      <c r="AC493" s="2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</row>
    <row r="494" spans="1:41" ht="12.75">
      <c r="A494" s="21" t="s">
        <v>525</v>
      </c>
      <c r="B494" s="31" t="s">
        <v>571</v>
      </c>
      <c r="C494" s="48">
        <v>221281</v>
      </c>
      <c r="D494" s="48">
        <v>8</v>
      </c>
      <c r="E494" s="28"/>
      <c r="F494" s="23"/>
      <c r="G494" s="28"/>
      <c r="H494" s="23"/>
      <c r="I494" s="28"/>
      <c r="J494" s="23"/>
      <c r="K494" s="28"/>
      <c r="L494" s="23"/>
      <c r="M494" s="28"/>
      <c r="N494" s="28"/>
      <c r="O494" s="28"/>
      <c r="P494" s="24"/>
      <c r="Q494" s="25"/>
      <c r="R494" s="23"/>
      <c r="S494" s="23"/>
      <c r="T494" s="23"/>
      <c r="U494" s="23"/>
      <c r="V494" s="23"/>
      <c r="W494" s="23"/>
      <c r="X494" s="23"/>
      <c r="Y494" s="23"/>
      <c r="Z494" s="24"/>
      <c r="AA494" s="73">
        <v>9</v>
      </c>
      <c r="AB494" s="24">
        <v>29646</v>
      </c>
      <c r="AC494" s="2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</row>
    <row r="495" spans="1:41" ht="12.75">
      <c r="A495" s="21" t="s">
        <v>525</v>
      </c>
      <c r="B495" s="31" t="s">
        <v>572</v>
      </c>
      <c r="C495" s="48">
        <v>221333</v>
      </c>
      <c r="D495" s="48">
        <v>8</v>
      </c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6"/>
      <c r="Q495" s="25"/>
      <c r="R495" s="23"/>
      <c r="S495" s="23"/>
      <c r="T495" s="23"/>
      <c r="U495" s="23"/>
      <c r="V495" s="23"/>
      <c r="W495" s="23"/>
      <c r="X495" s="23"/>
      <c r="Y495" s="23"/>
      <c r="Z495" s="24"/>
      <c r="AA495" s="73">
        <v>8</v>
      </c>
      <c r="AB495" s="24">
        <v>30803</v>
      </c>
      <c r="AC495" s="2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</row>
    <row r="496" spans="1:41" ht="12.75">
      <c r="A496" s="21" t="s">
        <v>525</v>
      </c>
      <c r="B496" s="31" t="s">
        <v>573</v>
      </c>
      <c r="C496" s="48">
        <v>221388</v>
      </c>
      <c r="D496" s="48">
        <v>8</v>
      </c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6"/>
      <c r="Q496" s="25"/>
      <c r="R496" s="23"/>
      <c r="S496" s="23"/>
      <c r="T496" s="23"/>
      <c r="U496" s="23"/>
      <c r="V496" s="23"/>
      <c r="W496" s="23"/>
      <c r="X496" s="23"/>
      <c r="Y496" s="23"/>
      <c r="Z496" s="26"/>
      <c r="AA496" s="73">
        <v>5</v>
      </c>
      <c r="AB496" s="24">
        <v>29391</v>
      </c>
      <c r="AC496" s="2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</row>
    <row r="497" spans="1:41" ht="12.75">
      <c r="A497" s="21" t="s">
        <v>525</v>
      </c>
      <c r="B497" s="31" t="s">
        <v>574</v>
      </c>
      <c r="C497" s="48">
        <v>221494</v>
      </c>
      <c r="D497" s="48">
        <v>8</v>
      </c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8"/>
      <c r="P497" s="24"/>
      <c r="Q497" s="34"/>
      <c r="R497" s="21"/>
      <c r="S497" s="21"/>
      <c r="T497" s="21"/>
      <c r="U497" s="21"/>
      <c r="V497" s="21"/>
      <c r="W497" s="21"/>
      <c r="X497" s="21"/>
      <c r="Y497" s="21"/>
      <c r="Z497" s="32"/>
      <c r="AA497" s="73">
        <v>13</v>
      </c>
      <c r="AB497" s="24">
        <v>29758</v>
      </c>
      <c r="AC497" s="2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</row>
    <row r="498" spans="1:41" ht="12.75">
      <c r="A498" s="21" t="s">
        <v>525</v>
      </c>
      <c r="B498" s="31" t="s">
        <v>575</v>
      </c>
      <c r="C498" s="48">
        <v>221634</v>
      </c>
      <c r="D498" s="48">
        <v>8</v>
      </c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8"/>
      <c r="P498" s="24"/>
      <c r="Q498" s="34"/>
      <c r="R498" s="21"/>
      <c r="S498" s="21"/>
      <c r="T498" s="21"/>
      <c r="U498" s="21"/>
      <c r="V498" s="21"/>
      <c r="W498" s="21"/>
      <c r="X498" s="21"/>
      <c r="Y498" s="21"/>
      <c r="Z498" s="32"/>
      <c r="AA498" s="73">
        <v>5</v>
      </c>
      <c r="AB498" s="24">
        <v>30629</v>
      </c>
      <c r="AC498" s="2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</row>
    <row r="499" spans="1:41" ht="12.75">
      <c r="A499" s="21" t="s">
        <v>576</v>
      </c>
      <c r="B499" s="53" t="s">
        <v>577</v>
      </c>
      <c r="C499" s="54">
        <v>228723</v>
      </c>
      <c r="D499" s="74">
        <v>1</v>
      </c>
      <c r="E499" s="50">
        <v>715</v>
      </c>
      <c r="F499" s="50">
        <v>73393</v>
      </c>
      <c r="G499" s="50">
        <v>441</v>
      </c>
      <c r="H499" s="50">
        <v>52410</v>
      </c>
      <c r="I499" s="50">
        <v>276</v>
      </c>
      <c r="J499" s="50">
        <v>45805</v>
      </c>
      <c r="K499" s="50">
        <v>2</v>
      </c>
      <c r="L499" s="50">
        <v>42112</v>
      </c>
      <c r="M499" s="50">
        <v>203</v>
      </c>
      <c r="N499" s="50">
        <v>30730</v>
      </c>
      <c r="O499" s="50"/>
      <c r="P499" s="51"/>
      <c r="Q499" s="75"/>
      <c r="R499" s="23"/>
      <c r="S499" s="23"/>
      <c r="T499" s="23"/>
      <c r="U499" s="23"/>
      <c r="V499" s="23"/>
      <c r="W499" s="23"/>
      <c r="X499" s="23"/>
      <c r="Y499" s="23"/>
      <c r="Z499" s="26"/>
      <c r="AA499" s="38"/>
      <c r="AB499" s="26"/>
      <c r="AC499" s="2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</row>
    <row r="500" spans="1:41" ht="12.75">
      <c r="A500" s="21" t="s">
        <v>576</v>
      </c>
      <c r="B500" s="53" t="s">
        <v>578</v>
      </c>
      <c r="C500" s="54">
        <v>229115</v>
      </c>
      <c r="D500" s="74">
        <v>1</v>
      </c>
      <c r="E500" s="50">
        <v>270</v>
      </c>
      <c r="F500" s="50">
        <v>72785</v>
      </c>
      <c r="G500" s="50">
        <v>245</v>
      </c>
      <c r="H500" s="50">
        <v>50890</v>
      </c>
      <c r="I500" s="50">
        <v>251</v>
      </c>
      <c r="J500" s="50">
        <v>40622</v>
      </c>
      <c r="K500" s="50">
        <v>20</v>
      </c>
      <c r="L500" s="50">
        <v>29334</v>
      </c>
      <c r="M500" s="50">
        <v>31</v>
      </c>
      <c r="N500" s="50">
        <v>31542</v>
      </c>
      <c r="O500" s="50"/>
      <c r="P500" s="51"/>
      <c r="Q500" s="75"/>
      <c r="R500" s="23"/>
      <c r="S500" s="23"/>
      <c r="T500" s="23"/>
      <c r="U500" s="23"/>
      <c r="V500" s="23"/>
      <c r="W500" s="23"/>
      <c r="X500" s="23"/>
      <c r="Y500" s="23"/>
      <c r="Z500" s="26"/>
      <c r="AA500" s="38"/>
      <c r="AB500" s="26"/>
      <c r="AC500" s="2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</row>
    <row r="501" spans="1:41" ht="12.75">
      <c r="A501" s="21" t="s">
        <v>576</v>
      </c>
      <c r="B501" s="53" t="s">
        <v>579</v>
      </c>
      <c r="C501" s="54">
        <v>225511</v>
      </c>
      <c r="D501" s="74">
        <v>1</v>
      </c>
      <c r="E501" s="50">
        <v>333</v>
      </c>
      <c r="F501" s="50">
        <v>78073</v>
      </c>
      <c r="G501" s="50">
        <v>301</v>
      </c>
      <c r="H501" s="50">
        <v>53087</v>
      </c>
      <c r="I501" s="50">
        <v>176</v>
      </c>
      <c r="J501" s="50">
        <v>47622</v>
      </c>
      <c r="K501" s="50">
        <v>8</v>
      </c>
      <c r="L501" s="50">
        <v>36266</v>
      </c>
      <c r="M501" s="50">
        <v>17</v>
      </c>
      <c r="N501" s="50">
        <v>26043</v>
      </c>
      <c r="O501" s="50"/>
      <c r="P501" s="51"/>
      <c r="Q501" s="75"/>
      <c r="R501" s="23"/>
      <c r="S501" s="23"/>
      <c r="T501" s="23"/>
      <c r="U501" s="23"/>
      <c r="V501" s="23"/>
      <c r="W501" s="23"/>
      <c r="X501" s="23"/>
      <c r="Y501" s="23"/>
      <c r="Z501" s="26"/>
      <c r="AA501" s="38"/>
      <c r="AB501" s="26"/>
      <c r="AC501" s="2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</row>
    <row r="502" spans="1:41" ht="12.75">
      <c r="A502" s="21" t="s">
        <v>576</v>
      </c>
      <c r="B502" s="53" t="s">
        <v>580</v>
      </c>
      <c r="C502" s="54">
        <v>227216</v>
      </c>
      <c r="D502" s="74">
        <v>1</v>
      </c>
      <c r="E502" s="50">
        <v>240</v>
      </c>
      <c r="F502" s="50">
        <v>66055</v>
      </c>
      <c r="G502" s="50">
        <v>231</v>
      </c>
      <c r="H502" s="50">
        <v>49796</v>
      </c>
      <c r="I502" s="50">
        <v>189</v>
      </c>
      <c r="J502" s="50">
        <v>41859</v>
      </c>
      <c r="K502" s="50">
        <v>5</v>
      </c>
      <c r="L502" s="50">
        <v>32492</v>
      </c>
      <c r="M502" s="50">
        <v>60</v>
      </c>
      <c r="N502" s="50">
        <v>33674</v>
      </c>
      <c r="O502" s="50"/>
      <c r="P502" s="51"/>
      <c r="Q502" s="75"/>
      <c r="R502" s="23"/>
      <c r="S502" s="23"/>
      <c r="T502" s="23"/>
      <c r="U502" s="23"/>
      <c r="V502" s="23"/>
      <c r="W502" s="23"/>
      <c r="X502" s="23"/>
      <c r="Y502" s="23"/>
      <c r="Z502" s="26"/>
      <c r="AA502" s="38"/>
      <c r="AB502" s="26"/>
      <c r="AC502" s="2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</row>
    <row r="503" spans="1:41" ht="12.75">
      <c r="A503" s="21" t="s">
        <v>576</v>
      </c>
      <c r="B503" s="53" t="s">
        <v>581</v>
      </c>
      <c r="C503" s="54">
        <v>228778</v>
      </c>
      <c r="D503" s="74">
        <v>1</v>
      </c>
      <c r="E503" s="50">
        <v>948</v>
      </c>
      <c r="F503" s="50">
        <v>82350</v>
      </c>
      <c r="G503" s="50">
        <v>433</v>
      </c>
      <c r="H503" s="50">
        <v>53729</v>
      </c>
      <c r="I503" s="50">
        <v>357</v>
      </c>
      <c r="J503" s="50">
        <v>49662</v>
      </c>
      <c r="K503" s="50">
        <v>21</v>
      </c>
      <c r="L503" s="50">
        <v>42609</v>
      </c>
      <c r="M503" s="50">
        <v>403</v>
      </c>
      <c r="N503" s="50">
        <v>40343</v>
      </c>
      <c r="O503" s="50"/>
      <c r="P503" s="51"/>
      <c r="Q503" s="75"/>
      <c r="R503" s="23"/>
      <c r="S503" s="23"/>
      <c r="T503" s="23"/>
      <c r="U503" s="23"/>
      <c r="V503" s="23"/>
      <c r="W503" s="23"/>
      <c r="X503" s="23"/>
      <c r="Y503" s="23"/>
      <c r="Z503" s="26"/>
      <c r="AA503" s="38"/>
      <c r="AB503" s="26"/>
      <c r="AC503" s="2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</row>
    <row r="504" spans="1:41" ht="12.75">
      <c r="A504" s="21" t="s">
        <v>576</v>
      </c>
      <c r="B504" s="53" t="s">
        <v>582</v>
      </c>
      <c r="C504" s="54">
        <v>229179</v>
      </c>
      <c r="D504" s="74">
        <v>2</v>
      </c>
      <c r="E504" s="50">
        <v>101</v>
      </c>
      <c r="F504" s="50">
        <v>57140</v>
      </c>
      <c r="G504" s="50">
        <v>98</v>
      </c>
      <c r="H504" s="50">
        <v>45857</v>
      </c>
      <c r="I504" s="50">
        <v>142</v>
      </c>
      <c r="J504" s="50">
        <v>38102</v>
      </c>
      <c r="K504" s="50">
        <v>34</v>
      </c>
      <c r="L504" s="50">
        <v>32338</v>
      </c>
      <c r="M504" s="50">
        <v>24</v>
      </c>
      <c r="N504" s="50">
        <v>32809</v>
      </c>
      <c r="O504" s="50"/>
      <c r="P504" s="51"/>
      <c r="Q504" s="75"/>
      <c r="R504" s="23"/>
      <c r="S504" s="23"/>
      <c r="T504" s="23"/>
      <c r="U504" s="23"/>
      <c r="V504" s="23"/>
      <c r="W504" s="23"/>
      <c r="X504" s="23"/>
      <c r="Y504" s="23"/>
      <c r="Z504" s="26"/>
      <c r="AA504" s="38"/>
      <c r="AB504" s="26"/>
      <c r="AC504" s="2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</row>
    <row r="505" spans="1:41" ht="12.75">
      <c r="A505" s="21" t="s">
        <v>576</v>
      </c>
      <c r="B505" s="53" t="s">
        <v>583</v>
      </c>
      <c r="C505" s="54">
        <v>228769</v>
      </c>
      <c r="D505" s="74">
        <v>2</v>
      </c>
      <c r="E505" s="50">
        <v>201</v>
      </c>
      <c r="F505" s="50">
        <v>66501</v>
      </c>
      <c r="G505" s="50">
        <v>204</v>
      </c>
      <c r="H505" s="50">
        <v>49937</v>
      </c>
      <c r="I505" s="50">
        <v>149</v>
      </c>
      <c r="J505" s="50">
        <v>43507</v>
      </c>
      <c r="K505" s="50">
        <v>3</v>
      </c>
      <c r="L505" s="50">
        <v>28999</v>
      </c>
      <c r="M505" s="50">
        <v>61</v>
      </c>
      <c r="N505" s="50">
        <v>31797</v>
      </c>
      <c r="O505" s="50"/>
      <c r="P505" s="51"/>
      <c r="Q505" s="75"/>
      <c r="R505" s="23"/>
      <c r="S505" s="23"/>
      <c r="T505" s="23"/>
      <c r="U505" s="23"/>
      <c r="V505" s="23"/>
      <c r="W505" s="23"/>
      <c r="X505" s="23"/>
      <c r="Y505" s="23"/>
      <c r="Z505" s="26"/>
      <c r="AA505" s="38"/>
      <c r="AB505" s="26"/>
      <c r="AC505" s="2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</row>
    <row r="506" spans="1:41" ht="12.75">
      <c r="A506" s="21" t="s">
        <v>576</v>
      </c>
      <c r="B506" s="53" t="s">
        <v>584</v>
      </c>
      <c r="C506" s="54">
        <v>228787</v>
      </c>
      <c r="D506" s="74">
        <v>2</v>
      </c>
      <c r="E506" s="50">
        <v>108</v>
      </c>
      <c r="F506" s="50">
        <v>77369</v>
      </c>
      <c r="G506" s="50">
        <v>72</v>
      </c>
      <c r="H506" s="50">
        <v>55232</v>
      </c>
      <c r="I506" s="50">
        <v>49</v>
      </c>
      <c r="J506" s="50">
        <v>52882</v>
      </c>
      <c r="K506" s="50">
        <v>1</v>
      </c>
      <c r="L506" s="50">
        <v>40000</v>
      </c>
      <c r="M506" s="50">
        <v>0</v>
      </c>
      <c r="N506" s="50" t="s">
        <v>65</v>
      </c>
      <c r="O506" s="50"/>
      <c r="P506" s="51"/>
      <c r="Q506" s="75"/>
      <c r="R506" s="23"/>
      <c r="S506" s="23"/>
      <c r="T506" s="23"/>
      <c r="U506" s="23"/>
      <c r="V506" s="23"/>
      <c r="W506" s="23"/>
      <c r="X506" s="23"/>
      <c r="Y506" s="23"/>
      <c r="Z506" s="26"/>
      <c r="AA506" s="38"/>
      <c r="AB506" s="26"/>
      <c r="AC506" s="2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</row>
    <row r="507" spans="1:41" ht="12.75">
      <c r="A507" s="21" t="s">
        <v>576</v>
      </c>
      <c r="B507" s="53" t="s">
        <v>585</v>
      </c>
      <c r="C507" s="54">
        <v>226091</v>
      </c>
      <c r="D507" s="74">
        <v>3</v>
      </c>
      <c r="E507" s="50">
        <v>98</v>
      </c>
      <c r="F507" s="50">
        <v>52369</v>
      </c>
      <c r="G507" s="50">
        <v>64</v>
      </c>
      <c r="H507" s="50">
        <v>42255</v>
      </c>
      <c r="I507" s="50">
        <v>89</v>
      </c>
      <c r="J507" s="50">
        <v>35939</v>
      </c>
      <c r="K507" s="50">
        <v>150</v>
      </c>
      <c r="L507" s="50">
        <v>32452</v>
      </c>
      <c r="M507" s="50">
        <v>31</v>
      </c>
      <c r="N507" s="50">
        <v>25968</v>
      </c>
      <c r="O507" s="50"/>
      <c r="P507" s="51"/>
      <c r="Q507" s="75"/>
      <c r="R507" s="23"/>
      <c r="S507" s="23"/>
      <c r="T507" s="23"/>
      <c r="U507" s="23"/>
      <c r="V507" s="23"/>
      <c r="W507" s="23"/>
      <c r="X507" s="23"/>
      <c r="Y507" s="23"/>
      <c r="Z507" s="26"/>
      <c r="AA507" s="38"/>
      <c r="AB507" s="26"/>
      <c r="AC507" s="2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</row>
    <row r="508" spans="1:41" ht="12.75">
      <c r="A508" s="21" t="s">
        <v>576</v>
      </c>
      <c r="B508" s="53" t="s">
        <v>586</v>
      </c>
      <c r="C508" s="54">
        <v>227526</v>
      </c>
      <c r="D508" s="74">
        <v>3</v>
      </c>
      <c r="E508" s="50">
        <v>44</v>
      </c>
      <c r="F508" s="50">
        <v>46839</v>
      </c>
      <c r="G508" s="50">
        <v>69</v>
      </c>
      <c r="H508" s="50">
        <v>43310</v>
      </c>
      <c r="I508" s="50">
        <v>57</v>
      </c>
      <c r="J508" s="50">
        <v>36223</v>
      </c>
      <c r="K508" s="50">
        <v>61</v>
      </c>
      <c r="L508" s="50">
        <v>30993</v>
      </c>
      <c r="M508" s="50">
        <v>4</v>
      </c>
      <c r="N508" s="50">
        <v>28489</v>
      </c>
      <c r="O508" s="50"/>
      <c r="P508" s="51"/>
      <c r="Q508" s="75"/>
      <c r="R508" s="23"/>
      <c r="S508" s="23"/>
      <c r="T508" s="23"/>
      <c r="U508" s="23"/>
      <c r="V508" s="23"/>
      <c r="W508" s="23"/>
      <c r="X508" s="23"/>
      <c r="Y508" s="23"/>
      <c r="Z508" s="26"/>
      <c r="AA508" s="38"/>
      <c r="AB508" s="26"/>
      <c r="AC508" s="2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</row>
    <row r="509" spans="1:41" ht="12.75">
      <c r="A509" s="21" t="s">
        <v>576</v>
      </c>
      <c r="B509" s="53" t="s">
        <v>587</v>
      </c>
      <c r="C509" s="54">
        <v>227881</v>
      </c>
      <c r="D509" s="74">
        <v>3</v>
      </c>
      <c r="E509" s="50">
        <v>143</v>
      </c>
      <c r="F509" s="50">
        <v>55857</v>
      </c>
      <c r="G509" s="50">
        <v>95</v>
      </c>
      <c r="H509" s="50">
        <v>45180</v>
      </c>
      <c r="I509" s="50">
        <v>110</v>
      </c>
      <c r="J509" s="50">
        <v>37511</v>
      </c>
      <c r="K509" s="50">
        <v>5</v>
      </c>
      <c r="L509" s="50">
        <v>34622</v>
      </c>
      <c r="M509" s="50">
        <v>23</v>
      </c>
      <c r="N509" s="50">
        <v>32962</v>
      </c>
      <c r="O509" s="50"/>
      <c r="P509" s="51"/>
      <c r="Q509" s="75"/>
      <c r="R509" s="23"/>
      <c r="S509" s="23"/>
      <c r="T509" s="23"/>
      <c r="U509" s="23"/>
      <c r="V509" s="23"/>
      <c r="W509" s="23"/>
      <c r="X509" s="23"/>
      <c r="Y509" s="23"/>
      <c r="Z509" s="26"/>
      <c r="AA509" s="38"/>
      <c r="AB509" s="26"/>
      <c r="AC509" s="2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</row>
    <row r="510" spans="1:41" ht="12.75">
      <c r="A510" s="21" t="s">
        <v>576</v>
      </c>
      <c r="B510" s="53" t="s">
        <v>588</v>
      </c>
      <c r="C510" s="54">
        <v>228459</v>
      </c>
      <c r="D510" s="74">
        <v>3</v>
      </c>
      <c r="E510" s="50">
        <v>208</v>
      </c>
      <c r="F510" s="50">
        <v>55471</v>
      </c>
      <c r="G510" s="50">
        <v>165</v>
      </c>
      <c r="H510" s="50">
        <v>46110</v>
      </c>
      <c r="I510" s="50">
        <v>133</v>
      </c>
      <c r="J510" s="50">
        <v>38569</v>
      </c>
      <c r="K510" s="50">
        <v>29</v>
      </c>
      <c r="L510" s="50">
        <v>30322</v>
      </c>
      <c r="M510" s="50">
        <v>72</v>
      </c>
      <c r="N510" s="50">
        <v>31699</v>
      </c>
      <c r="O510" s="50"/>
      <c r="P510" s="51"/>
      <c r="Q510" s="75"/>
      <c r="R510" s="23"/>
      <c r="S510" s="23"/>
      <c r="T510" s="23"/>
      <c r="U510" s="23"/>
      <c r="V510" s="23"/>
      <c r="W510" s="23"/>
      <c r="X510" s="23"/>
      <c r="Y510" s="23"/>
      <c r="Z510" s="26"/>
      <c r="AA510" s="38"/>
      <c r="AB510" s="26"/>
      <c r="AC510" s="2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</row>
    <row r="511" spans="1:41" ht="12.75">
      <c r="A511" s="21" t="s">
        <v>576</v>
      </c>
      <c r="B511" s="53" t="s">
        <v>589</v>
      </c>
      <c r="C511" s="54">
        <v>228431</v>
      </c>
      <c r="D511" s="74">
        <v>3</v>
      </c>
      <c r="E511" s="50">
        <v>138</v>
      </c>
      <c r="F511" s="50">
        <v>54164</v>
      </c>
      <c r="G511" s="50">
        <v>86</v>
      </c>
      <c r="H511" s="50">
        <v>42598</v>
      </c>
      <c r="I511" s="50">
        <v>109</v>
      </c>
      <c r="J511" s="50">
        <v>37294</v>
      </c>
      <c r="K511" s="50">
        <v>33</v>
      </c>
      <c r="L511" s="50">
        <v>32806</v>
      </c>
      <c r="M511" s="50">
        <v>36</v>
      </c>
      <c r="N511" s="50">
        <v>26431</v>
      </c>
      <c r="O511" s="50"/>
      <c r="P511" s="51"/>
      <c r="Q511" s="75"/>
      <c r="R511" s="23"/>
      <c r="S511" s="23"/>
      <c r="T511" s="23"/>
      <c r="U511" s="23"/>
      <c r="V511" s="23"/>
      <c r="W511" s="23"/>
      <c r="X511" s="23"/>
      <c r="Y511" s="23"/>
      <c r="Z511" s="26"/>
      <c r="AA511" s="38"/>
      <c r="AB511" s="26"/>
      <c r="AC511" s="2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</row>
    <row r="512" spans="1:41" ht="12.75">
      <c r="A512" s="21" t="s">
        <v>576</v>
      </c>
      <c r="B512" s="53" t="s">
        <v>590</v>
      </c>
      <c r="C512" s="54">
        <v>228501</v>
      </c>
      <c r="D512" s="74">
        <v>3</v>
      </c>
      <c r="E512" s="50">
        <v>36</v>
      </c>
      <c r="F512" s="50">
        <v>55455</v>
      </c>
      <c r="G512" s="50">
        <v>21</v>
      </c>
      <c r="H512" s="50">
        <v>45752</v>
      </c>
      <c r="I512" s="50">
        <v>31</v>
      </c>
      <c r="J512" s="50">
        <v>35883</v>
      </c>
      <c r="K512" s="50">
        <v>4</v>
      </c>
      <c r="L512" s="50">
        <v>32391</v>
      </c>
      <c r="M512" s="50">
        <v>25</v>
      </c>
      <c r="N512" s="50">
        <v>30372</v>
      </c>
      <c r="O512" s="50"/>
      <c r="P512" s="51"/>
      <c r="Q512" s="75"/>
      <c r="R512" s="23"/>
      <c r="S512" s="23"/>
      <c r="T512" s="23"/>
      <c r="U512" s="23"/>
      <c r="V512" s="23"/>
      <c r="W512" s="23"/>
      <c r="X512" s="23"/>
      <c r="Y512" s="23"/>
      <c r="Z512" s="26"/>
      <c r="AA512" s="38"/>
      <c r="AB512" s="26"/>
      <c r="AC512" s="2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</row>
    <row r="513" spans="1:41" ht="12.75">
      <c r="A513" s="21" t="s">
        <v>576</v>
      </c>
      <c r="B513" s="53" t="s">
        <v>591</v>
      </c>
      <c r="C513" s="54">
        <v>224554</v>
      </c>
      <c r="D513" s="74">
        <v>3</v>
      </c>
      <c r="E513" s="50">
        <v>84</v>
      </c>
      <c r="F513" s="50">
        <v>55951</v>
      </c>
      <c r="G513" s="50">
        <v>49</v>
      </c>
      <c r="H513" s="50">
        <v>44938</v>
      </c>
      <c r="I513" s="50">
        <v>84</v>
      </c>
      <c r="J513" s="50">
        <v>39039</v>
      </c>
      <c r="K513" s="50">
        <v>25</v>
      </c>
      <c r="L513" s="50">
        <v>36063</v>
      </c>
      <c r="M513" s="50">
        <v>4</v>
      </c>
      <c r="N513" s="50">
        <v>39198</v>
      </c>
      <c r="O513" s="50"/>
      <c r="P513" s="51"/>
      <c r="Q513" s="75"/>
      <c r="R513" s="21"/>
      <c r="S513" s="21"/>
      <c r="T513" s="21"/>
      <c r="U513" s="21"/>
      <c r="V513" s="21"/>
      <c r="W513" s="21"/>
      <c r="X513" s="21"/>
      <c r="Y513" s="21"/>
      <c r="Z513" s="32"/>
      <c r="AA513" s="27"/>
      <c r="AB513" s="32"/>
      <c r="AC513" s="2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</row>
    <row r="514" spans="1:41" ht="12.75">
      <c r="A514" s="21" t="s">
        <v>576</v>
      </c>
      <c r="B514" s="53" t="s">
        <v>592</v>
      </c>
      <c r="C514" s="54">
        <v>224147</v>
      </c>
      <c r="D514" s="74">
        <v>3</v>
      </c>
      <c r="E514" s="50">
        <v>58</v>
      </c>
      <c r="F514" s="50">
        <v>53976</v>
      </c>
      <c r="G514" s="50">
        <v>70</v>
      </c>
      <c r="H514" s="50">
        <v>47509</v>
      </c>
      <c r="I514" s="50">
        <v>53</v>
      </c>
      <c r="J514" s="50">
        <v>39364</v>
      </c>
      <c r="K514" s="50">
        <v>3</v>
      </c>
      <c r="L514" s="50">
        <v>30291</v>
      </c>
      <c r="M514" s="50">
        <v>2</v>
      </c>
      <c r="N514" s="50">
        <v>33675</v>
      </c>
      <c r="O514" s="50"/>
      <c r="P514" s="51"/>
      <c r="Q514" s="75"/>
      <c r="R514" s="28"/>
      <c r="S514" s="23"/>
      <c r="T514" s="23"/>
      <c r="U514" s="23"/>
      <c r="V514" s="23"/>
      <c r="W514" s="23"/>
      <c r="X514" s="23"/>
      <c r="Y514" s="23"/>
      <c r="Z514" s="26"/>
      <c r="AA514" s="38"/>
      <c r="AB514" s="26"/>
      <c r="AC514" s="2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</row>
    <row r="515" spans="1:41" ht="12.75">
      <c r="A515" s="21" t="s">
        <v>576</v>
      </c>
      <c r="B515" s="53" t="s">
        <v>593</v>
      </c>
      <c r="C515" s="54">
        <v>228705</v>
      </c>
      <c r="D515" s="74">
        <v>3</v>
      </c>
      <c r="E515" s="50">
        <v>61</v>
      </c>
      <c r="F515" s="50">
        <v>51315</v>
      </c>
      <c r="G515" s="50">
        <v>65</v>
      </c>
      <c r="H515" s="50">
        <v>44621</v>
      </c>
      <c r="I515" s="50">
        <v>56</v>
      </c>
      <c r="J515" s="50">
        <v>36358</v>
      </c>
      <c r="K515" s="50">
        <v>5</v>
      </c>
      <c r="L515" s="50">
        <v>27210</v>
      </c>
      <c r="M515" s="50">
        <v>17</v>
      </c>
      <c r="N515" s="50">
        <v>23930</v>
      </c>
      <c r="O515" s="50"/>
      <c r="P515" s="51"/>
      <c r="Q515" s="75"/>
      <c r="R515" s="28"/>
      <c r="S515" s="23"/>
      <c r="T515" s="23"/>
      <c r="U515" s="23"/>
      <c r="V515" s="23"/>
      <c r="W515" s="23"/>
      <c r="X515" s="23"/>
      <c r="Y515" s="23"/>
      <c r="Z515" s="26"/>
      <c r="AA515" s="38"/>
      <c r="AB515" s="26"/>
      <c r="AC515" s="2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</row>
    <row r="516" spans="1:41" ht="12.75">
      <c r="A516" s="21" t="s">
        <v>576</v>
      </c>
      <c r="B516" s="53" t="s">
        <v>594</v>
      </c>
      <c r="C516" s="54">
        <v>229063</v>
      </c>
      <c r="D516" s="74">
        <v>3</v>
      </c>
      <c r="E516" s="50">
        <v>88</v>
      </c>
      <c r="F516" s="50">
        <v>62790</v>
      </c>
      <c r="G516" s="50">
        <v>101</v>
      </c>
      <c r="H516" s="50">
        <v>51030</v>
      </c>
      <c r="I516" s="50">
        <v>83</v>
      </c>
      <c r="J516" s="50">
        <v>32142</v>
      </c>
      <c r="K516" s="50">
        <v>49</v>
      </c>
      <c r="L516" s="50">
        <v>30998</v>
      </c>
      <c r="M516" s="50">
        <v>18</v>
      </c>
      <c r="N516" s="50">
        <v>9071</v>
      </c>
      <c r="O516" s="50"/>
      <c r="P516" s="51"/>
      <c r="Q516" s="75"/>
      <c r="R516" s="28"/>
      <c r="S516" s="23"/>
      <c r="T516" s="23"/>
      <c r="U516" s="23"/>
      <c r="V516" s="23"/>
      <c r="W516" s="23"/>
      <c r="X516" s="23"/>
      <c r="Y516" s="23"/>
      <c r="Z516" s="26"/>
      <c r="AA516" s="38"/>
      <c r="AB516" s="26"/>
      <c r="AC516" s="2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</row>
    <row r="517" spans="1:41" ht="12.75">
      <c r="A517" s="21" t="s">
        <v>576</v>
      </c>
      <c r="B517" s="53" t="s">
        <v>595</v>
      </c>
      <c r="C517" s="54">
        <v>225414</v>
      </c>
      <c r="D517" s="74">
        <v>3</v>
      </c>
      <c r="E517" s="50">
        <v>46</v>
      </c>
      <c r="F517" s="50">
        <v>64002</v>
      </c>
      <c r="G517" s="50">
        <v>65</v>
      </c>
      <c r="H517" s="50">
        <v>54610</v>
      </c>
      <c r="I517" s="50">
        <v>44</v>
      </c>
      <c r="J517" s="50">
        <v>41554</v>
      </c>
      <c r="K517" s="50">
        <v>2</v>
      </c>
      <c r="L517" s="50">
        <v>48095</v>
      </c>
      <c r="M517" s="50">
        <v>18</v>
      </c>
      <c r="N517" s="50">
        <v>35746</v>
      </c>
      <c r="O517" s="50"/>
      <c r="P517" s="51"/>
      <c r="Q517" s="75"/>
      <c r="R517" s="28"/>
      <c r="S517" s="23"/>
      <c r="T517" s="23"/>
      <c r="U517" s="23"/>
      <c r="V517" s="23"/>
      <c r="W517" s="23"/>
      <c r="X517" s="23"/>
      <c r="Y517" s="23"/>
      <c r="Z517" s="26"/>
      <c r="AA517" s="38"/>
      <c r="AB517" s="26"/>
      <c r="AC517" s="2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</row>
    <row r="518" spans="1:41" ht="12.75">
      <c r="A518" s="21" t="s">
        <v>576</v>
      </c>
      <c r="B518" s="53" t="s">
        <v>596</v>
      </c>
      <c r="C518" s="54">
        <v>228796</v>
      </c>
      <c r="D518" s="74">
        <v>3</v>
      </c>
      <c r="E518" s="50">
        <v>142</v>
      </c>
      <c r="F518" s="50">
        <v>53175</v>
      </c>
      <c r="G518" s="50">
        <v>138</v>
      </c>
      <c r="H518" s="50">
        <v>44086</v>
      </c>
      <c r="I518" s="50">
        <v>137</v>
      </c>
      <c r="J518" s="50">
        <v>40411</v>
      </c>
      <c r="K518" s="50">
        <v>3</v>
      </c>
      <c r="L518" s="50">
        <v>35100</v>
      </c>
      <c r="M518" s="50">
        <v>90</v>
      </c>
      <c r="N518" s="50">
        <v>17589</v>
      </c>
      <c r="O518" s="50"/>
      <c r="P518" s="51"/>
      <c r="Q518" s="75"/>
      <c r="R518" s="28"/>
      <c r="S518" s="23"/>
      <c r="T518" s="23"/>
      <c r="U518" s="23"/>
      <c r="V518" s="23"/>
      <c r="W518" s="23"/>
      <c r="X518" s="23"/>
      <c r="Y518" s="23"/>
      <c r="Z518" s="26"/>
      <c r="AA518" s="38"/>
      <c r="AB518" s="26"/>
      <c r="AC518" s="2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</row>
    <row r="519" spans="1:41" ht="12.75">
      <c r="A519" s="21" t="s">
        <v>576</v>
      </c>
      <c r="B519" s="53" t="s">
        <v>597</v>
      </c>
      <c r="C519" s="54">
        <v>229027</v>
      </c>
      <c r="D519" s="74">
        <v>3</v>
      </c>
      <c r="E519" s="50">
        <v>93</v>
      </c>
      <c r="F519" s="50">
        <v>63434</v>
      </c>
      <c r="G519" s="50">
        <v>149</v>
      </c>
      <c r="H519" s="50">
        <v>49499</v>
      </c>
      <c r="I519" s="50">
        <v>118</v>
      </c>
      <c r="J519" s="50">
        <v>43170</v>
      </c>
      <c r="K519" s="50">
        <v>7</v>
      </c>
      <c r="L519" s="50">
        <v>36653</v>
      </c>
      <c r="M519" s="50">
        <v>3</v>
      </c>
      <c r="N519" s="50">
        <v>29144</v>
      </c>
      <c r="O519" s="50"/>
      <c r="P519" s="51"/>
      <c r="Q519" s="75"/>
      <c r="R519" s="28"/>
      <c r="S519" s="23"/>
      <c r="T519" s="23"/>
      <c r="U519" s="23"/>
      <c r="V519" s="23"/>
      <c r="W519" s="23"/>
      <c r="X519" s="23"/>
      <c r="Y519" s="23"/>
      <c r="Z519" s="26"/>
      <c r="AA519" s="35"/>
      <c r="AB519" s="24"/>
      <c r="AC519" s="2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</row>
    <row r="520" spans="1:41" ht="12.75">
      <c r="A520" s="21" t="s">
        <v>576</v>
      </c>
      <c r="B520" s="53" t="s">
        <v>598</v>
      </c>
      <c r="C520" s="54">
        <v>228802</v>
      </c>
      <c r="D520" s="74">
        <v>3</v>
      </c>
      <c r="E520" s="50">
        <v>44</v>
      </c>
      <c r="F520" s="50">
        <v>55330</v>
      </c>
      <c r="G520" s="50">
        <v>42</v>
      </c>
      <c r="H520" s="50">
        <v>45704</v>
      </c>
      <c r="I520" s="50">
        <v>35</v>
      </c>
      <c r="J520" s="50">
        <v>40945</v>
      </c>
      <c r="K520" s="50">
        <v>0</v>
      </c>
      <c r="L520" s="50" t="s">
        <v>65</v>
      </c>
      <c r="M520" s="50">
        <v>39</v>
      </c>
      <c r="N520" s="50">
        <v>34205</v>
      </c>
      <c r="O520" s="50"/>
      <c r="P520" s="51"/>
      <c r="Q520" s="75"/>
      <c r="R520" s="28"/>
      <c r="S520" s="23"/>
      <c r="T520" s="23"/>
      <c r="U520" s="23"/>
      <c r="V520" s="23"/>
      <c r="W520" s="23"/>
      <c r="X520" s="23"/>
      <c r="Y520" s="23"/>
      <c r="Z520" s="26"/>
      <c r="AA520" s="38"/>
      <c r="AB520" s="26"/>
      <c r="AC520" s="2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</row>
    <row r="521" spans="1:41" ht="12.75">
      <c r="A521" s="21" t="s">
        <v>576</v>
      </c>
      <c r="B521" s="76" t="s">
        <v>599</v>
      </c>
      <c r="C521" s="77">
        <v>227368</v>
      </c>
      <c r="D521" s="78">
        <v>3</v>
      </c>
      <c r="E521" s="50">
        <v>62</v>
      </c>
      <c r="F521" s="50">
        <v>61439</v>
      </c>
      <c r="G521" s="50">
        <v>99</v>
      </c>
      <c r="H521" s="50">
        <v>49927</v>
      </c>
      <c r="I521" s="50">
        <v>131</v>
      </c>
      <c r="J521" s="50">
        <v>41733</v>
      </c>
      <c r="K521" s="50">
        <v>0</v>
      </c>
      <c r="L521" s="50" t="s">
        <v>65</v>
      </c>
      <c r="M521" s="50">
        <v>94</v>
      </c>
      <c r="N521" s="50">
        <v>33519</v>
      </c>
      <c r="O521" s="50"/>
      <c r="P521" s="51"/>
      <c r="Q521" s="75"/>
      <c r="R521" s="28"/>
      <c r="S521" s="23"/>
      <c r="T521" s="23"/>
      <c r="U521" s="23"/>
      <c r="V521" s="23"/>
      <c r="W521" s="23"/>
      <c r="X521" s="23"/>
      <c r="Y521" s="23"/>
      <c r="Z521" s="26"/>
      <c r="AA521" s="38"/>
      <c r="AB521" s="26"/>
      <c r="AC521" s="2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</row>
    <row r="522" spans="1:41" ht="12.75">
      <c r="A522" s="21" t="s">
        <v>576</v>
      </c>
      <c r="B522" s="53" t="s">
        <v>600</v>
      </c>
      <c r="C522" s="54">
        <v>229814</v>
      </c>
      <c r="D522" s="74">
        <v>3</v>
      </c>
      <c r="E522" s="50">
        <v>50</v>
      </c>
      <c r="F522" s="50">
        <v>49771</v>
      </c>
      <c r="G522" s="50">
        <v>29</v>
      </c>
      <c r="H522" s="50">
        <v>44626</v>
      </c>
      <c r="I522" s="50">
        <v>62</v>
      </c>
      <c r="J522" s="50">
        <v>36422</v>
      </c>
      <c r="K522" s="50">
        <v>58</v>
      </c>
      <c r="L522" s="50">
        <v>30747</v>
      </c>
      <c r="M522" s="50"/>
      <c r="N522" s="50" t="s">
        <v>65</v>
      </c>
      <c r="O522" s="50"/>
      <c r="P522" s="51"/>
      <c r="Q522" s="75"/>
      <c r="R522" s="28"/>
      <c r="S522" s="23"/>
      <c r="T522" s="23"/>
      <c r="U522" s="23"/>
      <c r="V522" s="23"/>
      <c r="W522" s="23"/>
      <c r="X522" s="23"/>
      <c r="Y522" s="23"/>
      <c r="Z522" s="26"/>
      <c r="AA522" s="35"/>
      <c r="AB522" s="24"/>
      <c r="AC522" s="2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</row>
    <row r="523" spans="1:41" ht="12.75">
      <c r="A523" s="21" t="s">
        <v>576</v>
      </c>
      <c r="B523" s="53" t="s">
        <v>601</v>
      </c>
      <c r="C523" s="54">
        <v>222831</v>
      </c>
      <c r="D523" s="74">
        <v>4</v>
      </c>
      <c r="E523" s="50">
        <v>65</v>
      </c>
      <c r="F523" s="50">
        <v>55142</v>
      </c>
      <c r="G523" s="50">
        <v>28</v>
      </c>
      <c r="H523" s="50">
        <v>45444</v>
      </c>
      <c r="I523" s="50">
        <v>54</v>
      </c>
      <c r="J523" s="50">
        <v>39946</v>
      </c>
      <c r="K523" s="50">
        <v>30</v>
      </c>
      <c r="L523" s="50">
        <v>30089</v>
      </c>
      <c r="M523" s="50">
        <v>20</v>
      </c>
      <c r="N523" s="50">
        <v>25843</v>
      </c>
      <c r="O523" s="50"/>
      <c r="P523" s="51"/>
      <c r="Q523" s="75"/>
      <c r="R523" s="28"/>
      <c r="S523" s="23"/>
      <c r="T523" s="23"/>
      <c r="U523" s="23"/>
      <c r="V523" s="23"/>
      <c r="W523" s="23"/>
      <c r="X523" s="23"/>
      <c r="Y523" s="23"/>
      <c r="Z523" s="26"/>
      <c r="AA523" s="35"/>
      <c r="AB523" s="24"/>
      <c r="AC523" s="2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</row>
    <row r="524" spans="1:41" ht="12.75">
      <c r="A524" s="21" t="s">
        <v>576</v>
      </c>
      <c r="B524" s="53" t="s">
        <v>602</v>
      </c>
      <c r="C524" s="54">
        <v>226833</v>
      </c>
      <c r="D524" s="74">
        <v>4</v>
      </c>
      <c r="E524" s="50">
        <v>48</v>
      </c>
      <c r="F524" s="50">
        <v>52192</v>
      </c>
      <c r="G524" s="50">
        <v>57</v>
      </c>
      <c r="H524" s="50">
        <v>46844</v>
      </c>
      <c r="I524" s="50">
        <v>53</v>
      </c>
      <c r="J524" s="50">
        <v>40607</v>
      </c>
      <c r="K524" s="50">
        <v>30</v>
      </c>
      <c r="L524" s="50">
        <v>30369</v>
      </c>
      <c r="M524" s="50"/>
      <c r="N524" s="50" t="s">
        <v>65</v>
      </c>
      <c r="O524" s="50"/>
      <c r="P524" s="51"/>
      <c r="Q524" s="75"/>
      <c r="R524" s="28"/>
      <c r="S524" s="23"/>
      <c r="T524" s="23"/>
      <c r="U524" s="23"/>
      <c r="V524" s="23"/>
      <c r="W524" s="23"/>
      <c r="X524" s="23"/>
      <c r="Y524" s="23"/>
      <c r="Z524" s="26"/>
      <c r="AA524" s="35"/>
      <c r="AB524" s="24"/>
      <c r="AC524" s="2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</row>
    <row r="525" spans="1:41" ht="12.75">
      <c r="A525" s="21" t="s">
        <v>576</v>
      </c>
      <c r="B525" s="53" t="s">
        <v>603</v>
      </c>
      <c r="C525" s="54">
        <v>228529</v>
      </c>
      <c r="D525" s="74">
        <v>4</v>
      </c>
      <c r="E525" s="50">
        <v>41</v>
      </c>
      <c r="F525" s="50">
        <v>51076</v>
      </c>
      <c r="G525" s="50">
        <v>51</v>
      </c>
      <c r="H525" s="50">
        <v>44531</v>
      </c>
      <c r="I525" s="50">
        <v>63</v>
      </c>
      <c r="J525" s="50">
        <v>36915</v>
      </c>
      <c r="K525" s="50">
        <v>63</v>
      </c>
      <c r="L525" s="50">
        <v>31592</v>
      </c>
      <c r="M525" s="50">
        <v>10</v>
      </c>
      <c r="N525" s="50">
        <v>22130</v>
      </c>
      <c r="O525" s="50"/>
      <c r="P525" s="51"/>
      <c r="Q525" s="75"/>
      <c r="R525" s="28"/>
      <c r="S525" s="23"/>
      <c r="T525" s="23"/>
      <c r="U525" s="23"/>
      <c r="V525" s="23"/>
      <c r="W525" s="23"/>
      <c r="X525" s="23"/>
      <c r="Y525" s="23"/>
      <c r="Z525" s="26"/>
      <c r="AA525" s="35"/>
      <c r="AB525" s="24"/>
      <c r="AC525" s="2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</row>
    <row r="526" spans="1:41" ht="12.75">
      <c r="A526" s="21" t="s">
        <v>576</v>
      </c>
      <c r="B526" s="53" t="s">
        <v>604</v>
      </c>
      <c r="C526" s="54">
        <v>226152</v>
      </c>
      <c r="D526" s="74">
        <v>4</v>
      </c>
      <c r="E526" s="50">
        <v>17</v>
      </c>
      <c r="F526" s="50">
        <v>53600</v>
      </c>
      <c r="G526" s="50">
        <v>25</v>
      </c>
      <c r="H526" s="50">
        <v>49687</v>
      </c>
      <c r="I526" s="50">
        <v>58</v>
      </c>
      <c r="J526" s="50">
        <v>39827</v>
      </c>
      <c r="K526" s="50">
        <v>4</v>
      </c>
      <c r="L526" s="50">
        <v>32936</v>
      </c>
      <c r="M526" s="50"/>
      <c r="N526" s="50" t="s">
        <v>65</v>
      </c>
      <c r="O526" s="50"/>
      <c r="P526" s="51"/>
      <c r="Q526" s="75"/>
      <c r="R526" s="28"/>
      <c r="S526" s="23"/>
      <c r="T526" s="23"/>
      <c r="U526" s="23"/>
      <c r="V526" s="23"/>
      <c r="W526" s="23"/>
      <c r="X526" s="23"/>
      <c r="Y526" s="23"/>
      <c r="Z526" s="26"/>
      <c r="AA526" s="35"/>
      <c r="AB526" s="24"/>
      <c r="AC526" s="2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</row>
    <row r="527" spans="1:41" ht="12.75">
      <c r="A527" s="21" t="s">
        <v>576</v>
      </c>
      <c r="B527" s="53" t="s">
        <v>605</v>
      </c>
      <c r="C527" s="54">
        <v>229018</v>
      </c>
      <c r="D527" s="74">
        <v>4</v>
      </c>
      <c r="E527" s="50">
        <v>11</v>
      </c>
      <c r="F527" s="50">
        <v>52526</v>
      </c>
      <c r="G527" s="50">
        <v>19</v>
      </c>
      <c r="H527" s="50">
        <v>45714</v>
      </c>
      <c r="I527" s="50">
        <v>26</v>
      </c>
      <c r="J527" s="50">
        <v>38485</v>
      </c>
      <c r="K527" s="50">
        <v>2</v>
      </c>
      <c r="L527" s="50">
        <v>34384</v>
      </c>
      <c r="M527" s="50">
        <v>20</v>
      </c>
      <c r="N527" s="50">
        <v>34424</v>
      </c>
      <c r="O527" s="50"/>
      <c r="P527" s="51"/>
      <c r="Q527" s="75"/>
      <c r="R527" s="28"/>
      <c r="S527" s="23"/>
      <c r="T527" s="23"/>
      <c r="U527" s="23"/>
      <c r="V527" s="23"/>
      <c r="W527" s="23"/>
      <c r="X527" s="23"/>
      <c r="Y527" s="23"/>
      <c r="Z527" s="26"/>
      <c r="AA527" s="38"/>
      <c r="AB527" s="24"/>
      <c r="AC527" s="2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</row>
    <row r="528" spans="1:41" ht="12.75">
      <c r="A528" s="21" t="s">
        <v>576</v>
      </c>
      <c r="B528" s="53" t="s">
        <v>606</v>
      </c>
      <c r="C528" s="54">
        <v>227924</v>
      </c>
      <c r="D528" s="74">
        <v>5</v>
      </c>
      <c r="E528" s="50">
        <v>0</v>
      </c>
      <c r="F528" s="50" t="s">
        <v>65</v>
      </c>
      <c r="G528" s="50">
        <v>0</v>
      </c>
      <c r="H528" s="50" t="s">
        <v>65</v>
      </c>
      <c r="I528" s="50">
        <v>0</v>
      </c>
      <c r="J528" s="50" t="s">
        <v>65</v>
      </c>
      <c r="K528" s="50">
        <v>0</v>
      </c>
      <c r="L528" s="50" t="s">
        <v>65</v>
      </c>
      <c r="M528" s="50"/>
      <c r="N528" s="50" t="s">
        <v>65</v>
      </c>
      <c r="O528" s="50"/>
      <c r="P528" s="51"/>
      <c r="Q528" s="75"/>
      <c r="R528" s="28"/>
      <c r="S528" s="23"/>
      <c r="T528" s="23"/>
      <c r="U528" s="23"/>
      <c r="V528" s="23"/>
      <c r="W528" s="23"/>
      <c r="X528" s="23"/>
      <c r="Y528" s="23"/>
      <c r="Z528" s="26"/>
      <c r="AA528" s="38"/>
      <c r="AB528" s="24"/>
      <c r="AC528" s="2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</row>
    <row r="529" spans="1:41" ht="12.75">
      <c r="A529" s="21" t="s">
        <v>576</v>
      </c>
      <c r="B529" s="53" t="s">
        <v>607</v>
      </c>
      <c r="C529" s="54">
        <v>224545</v>
      </c>
      <c r="D529" s="74">
        <v>5</v>
      </c>
      <c r="E529" s="50">
        <v>23</v>
      </c>
      <c r="F529" s="50">
        <v>53680</v>
      </c>
      <c r="G529" s="50">
        <v>2</v>
      </c>
      <c r="H529" s="50">
        <v>41868</v>
      </c>
      <c r="I529" s="50">
        <v>3</v>
      </c>
      <c r="J529" s="50">
        <v>46191</v>
      </c>
      <c r="K529" s="50">
        <v>0</v>
      </c>
      <c r="L529" s="50" t="s">
        <v>65</v>
      </c>
      <c r="M529" s="50"/>
      <c r="N529" s="50" t="s">
        <v>65</v>
      </c>
      <c r="O529" s="50"/>
      <c r="P529" s="51"/>
      <c r="Q529" s="75"/>
      <c r="R529" s="28"/>
      <c r="S529" s="23"/>
      <c r="T529" s="23"/>
      <c r="U529" s="23"/>
      <c r="V529" s="23"/>
      <c r="W529" s="23"/>
      <c r="X529" s="23"/>
      <c r="Y529" s="23"/>
      <c r="Z529" s="26"/>
      <c r="AA529" s="35"/>
      <c r="AB529" s="24"/>
      <c r="AC529" s="2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</row>
    <row r="530" spans="1:41" ht="12.75">
      <c r="A530" s="21" t="s">
        <v>576</v>
      </c>
      <c r="B530" s="53" t="s">
        <v>608</v>
      </c>
      <c r="C530" s="54">
        <v>225502</v>
      </c>
      <c r="D530" s="74">
        <v>5</v>
      </c>
      <c r="E530" s="50">
        <v>11</v>
      </c>
      <c r="F530" s="50">
        <v>58229</v>
      </c>
      <c r="G530" s="50">
        <v>9</v>
      </c>
      <c r="H530" s="50">
        <v>52626</v>
      </c>
      <c r="I530" s="50">
        <v>18</v>
      </c>
      <c r="J530" s="50">
        <v>40489</v>
      </c>
      <c r="K530" s="50">
        <v>0</v>
      </c>
      <c r="L530" s="50" t="s">
        <v>65</v>
      </c>
      <c r="M530" s="50"/>
      <c r="N530" s="50" t="s">
        <v>65</v>
      </c>
      <c r="O530" s="50"/>
      <c r="P530" s="51"/>
      <c r="Q530" s="75"/>
      <c r="R530" s="28"/>
      <c r="S530" s="28"/>
      <c r="T530" s="28"/>
      <c r="U530" s="28"/>
      <c r="V530" s="28"/>
      <c r="W530" s="28"/>
      <c r="X530" s="28"/>
      <c r="Y530" s="28"/>
      <c r="Z530" s="24"/>
      <c r="AA530" s="35"/>
      <c r="AB530" s="24"/>
      <c r="AC530" s="2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</row>
    <row r="531" spans="1:41" ht="12.75">
      <c r="A531" s="21" t="s">
        <v>576</v>
      </c>
      <c r="B531" s="53" t="s">
        <v>609</v>
      </c>
      <c r="C531" s="54">
        <v>227377</v>
      </c>
      <c r="D531" s="74">
        <v>5</v>
      </c>
      <c r="E531" s="50">
        <v>24</v>
      </c>
      <c r="F531" s="50">
        <v>49524</v>
      </c>
      <c r="G531" s="50">
        <v>61</v>
      </c>
      <c r="H531" s="50">
        <v>46138</v>
      </c>
      <c r="I531" s="50">
        <v>79</v>
      </c>
      <c r="J531" s="50">
        <v>39961</v>
      </c>
      <c r="K531" s="50">
        <v>4</v>
      </c>
      <c r="L531" s="50">
        <v>34532</v>
      </c>
      <c r="M531" s="50">
        <v>61</v>
      </c>
      <c r="N531" s="50">
        <v>34887</v>
      </c>
      <c r="O531" s="50"/>
      <c r="P531" s="51"/>
      <c r="Q531" s="75"/>
      <c r="R531" s="28"/>
      <c r="S531" s="28"/>
      <c r="T531" s="28"/>
      <c r="U531" s="28"/>
      <c r="V531" s="28"/>
      <c r="W531" s="28"/>
      <c r="X531" s="28"/>
      <c r="Y531" s="28"/>
      <c r="Z531" s="24"/>
      <c r="AA531" s="35"/>
      <c r="AB531" s="24"/>
      <c r="AC531" s="2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</row>
    <row r="532" spans="1:41" ht="12.75">
      <c r="A532" s="21" t="s">
        <v>576</v>
      </c>
      <c r="B532" s="53" t="s">
        <v>610</v>
      </c>
      <c r="C532" s="54">
        <v>228714</v>
      </c>
      <c r="D532" s="74">
        <v>6</v>
      </c>
      <c r="E532" s="50">
        <v>13</v>
      </c>
      <c r="F532" s="50">
        <v>63046</v>
      </c>
      <c r="G532" s="50">
        <v>14</v>
      </c>
      <c r="H532" s="50">
        <v>43562</v>
      </c>
      <c r="I532" s="50">
        <v>4</v>
      </c>
      <c r="J532" s="50">
        <v>41544</v>
      </c>
      <c r="K532" s="50">
        <v>0</v>
      </c>
      <c r="L532" s="50" t="s">
        <v>65</v>
      </c>
      <c r="M532" s="50">
        <v>24</v>
      </c>
      <c r="N532" s="50">
        <v>33684</v>
      </c>
      <c r="O532" s="50"/>
      <c r="P532" s="51"/>
      <c r="Q532" s="75"/>
      <c r="R532" s="28"/>
      <c r="S532" s="28"/>
      <c r="T532" s="28"/>
      <c r="U532" s="28"/>
      <c r="V532" s="28"/>
      <c r="W532" s="28"/>
      <c r="X532" s="28"/>
      <c r="Y532" s="28"/>
      <c r="Z532" s="24"/>
      <c r="AA532" s="35"/>
      <c r="AB532" s="24"/>
      <c r="AC532" s="2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</row>
    <row r="533" spans="1:41" ht="12.75">
      <c r="A533" s="21" t="s">
        <v>576</v>
      </c>
      <c r="B533" s="53" t="s">
        <v>611</v>
      </c>
      <c r="C533" s="54">
        <v>225432</v>
      </c>
      <c r="D533" s="74">
        <v>6</v>
      </c>
      <c r="E533" s="50">
        <v>18</v>
      </c>
      <c r="F533" s="50">
        <v>54685</v>
      </c>
      <c r="G533" s="50">
        <v>58</v>
      </c>
      <c r="H533" s="50">
        <v>45888</v>
      </c>
      <c r="I533" s="50">
        <v>59</v>
      </c>
      <c r="J533" s="50">
        <v>38054</v>
      </c>
      <c r="K533" s="50">
        <v>1</v>
      </c>
      <c r="L533" s="50">
        <v>32371</v>
      </c>
      <c r="M533" s="50">
        <v>39</v>
      </c>
      <c r="N533" s="50">
        <v>30776</v>
      </c>
      <c r="O533" s="50"/>
      <c r="P533" s="51"/>
      <c r="Q533" s="75"/>
      <c r="R533" s="28"/>
      <c r="S533" s="28"/>
      <c r="T533" s="28"/>
      <c r="U533" s="28"/>
      <c r="V533" s="28"/>
      <c r="W533" s="28"/>
      <c r="X533" s="28"/>
      <c r="Y533" s="28"/>
      <c r="Z533" s="24"/>
      <c r="AA533" s="35"/>
      <c r="AB533" s="24"/>
      <c r="AC533" s="2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</row>
    <row r="534" spans="1:41" ht="15">
      <c r="A534" s="21" t="s">
        <v>576</v>
      </c>
      <c r="B534" s="79" t="s">
        <v>612</v>
      </c>
      <c r="C534" s="80">
        <f>ROUND(((HR534*$AZ534)+GX534),0)</f>
        <v>0</v>
      </c>
      <c r="D534" s="74">
        <v>7</v>
      </c>
      <c r="E534" s="50">
        <v>0</v>
      </c>
      <c r="F534" s="50" t="s">
        <v>65</v>
      </c>
      <c r="G534" s="50">
        <v>0</v>
      </c>
      <c r="H534" s="50" t="s">
        <v>65</v>
      </c>
      <c r="I534" s="50">
        <v>0</v>
      </c>
      <c r="J534" s="50" t="s">
        <v>65</v>
      </c>
      <c r="K534" s="50">
        <v>0</v>
      </c>
      <c r="L534" s="50" t="s">
        <v>65</v>
      </c>
      <c r="M534" s="50">
        <v>0</v>
      </c>
      <c r="N534" s="50" t="s">
        <v>65</v>
      </c>
      <c r="O534" s="50">
        <v>496</v>
      </c>
      <c r="P534" s="51">
        <v>39836</v>
      </c>
      <c r="Q534" s="75"/>
      <c r="R534" s="28"/>
      <c r="S534" s="28"/>
      <c r="T534" s="28"/>
      <c r="U534" s="28"/>
      <c r="V534" s="28"/>
      <c r="W534" s="28"/>
      <c r="X534" s="28"/>
      <c r="Y534" s="28"/>
      <c r="Z534" s="24"/>
      <c r="AA534" s="35"/>
      <c r="AB534" s="24"/>
      <c r="AC534" s="2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</row>
    <row r="535" spans="1:41" ht="12.75">
      <c r="A535" s="21" t="s">
        <v>576</v>
      </c>
      <c r="B535" s="53" t="s">
        <v>613</v>
      </c>
      <c r="C535" s="54">
        <v>222567</v>
      </c>
      <c r="D535" s="74">
        <v>7</v>
      </c>
      <c r="E535" s="50">
        <v>0</v>
      </c>
      <c r="F535" s="50"/>
      <c r="G535" s="50">
        <v>0</v>
      </c>
      <c r="H535" s="50"/>
      <c r="I535" s="50">
        <v>0</v>
      </c>
      <c r="J535" s="50"/>
      <c r="K535" s="50">
        <v>0</v>
      </c>
      <c r="L535" s="50"/>
      <c r="M535" s="50">
        <v>0</v>
      </c>
      <c r="N535" s="50"/>
      <c r="O535" s="50">
        <v>86</v>
      </c>
      <c r="P535" s="51">
        <v>40621</v>
      </c>
      <c r="Q535" s="34"/>
      <c r="R535" s="28"/>
      <c r="S535" s="28"/>
      <c r="T535" s="28"/>
      <c r="U535" s="28"/>
      <c r="V535" s="28"/>
      <c r="W535" s="28"/>
      <c r="X535" s="28"/>
      <c r="Y535" s="28"/>
      <c r="Z535" s="24"/>
      <c r="AA535" s="35"/>
      <c r="AB535" s="24"/>
      <c r="AC535" s="2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</row>
    <row r="536" spans="1:41" ht="12.75">
      <c r="A536" s="21" t="s">
        <v>576</v>
      </c>
      <c r="B536" s="53" t="s">
        <v>614</v>
      </c>
      <c r="C536" s="54">
        <v>222576</v>
      </c>
      <c r="D536" s="74">
        <v>7</v>
      </c>
      <c r="E536" s="50">
        <v>0</v>
      </c>
      <c r="F536" s="50"/>
      <c r="G536" s="50">
        <v>0</v>
      </c>
      <c r="H536" s="50"/>
      <c r="I536" s="50">
        <v>0</v>
      </c>
      <c r="J536" s="50"/>
      <c r="K536" s="50">
        <v>0</v>
      </c>
      <c r="L536" s="50"/>
      <c r="M536" s="50">
        <v>0</v>
      </c>
      <c r="N536" s="50"/>
      <c r="O536" s="50">
        <v>138</v>
      </c>
      <c r="P536" s="51">
        <v>38798</v>
      </c>
      <c r="Q536" s="34"/>
      <c r="R536" s="28"/>
      <c r="S536" s="28"/>
      <c r="T536" s="28"/>
      <c r="U536" s="28"/>
      <c r="V536" s="28"/>
      <c r="W536" s="28"/>
      <c r="X536" s="28"/>
      <c r="Y536" s="28"/>
      <c r="Z536" s="24"/>
      <c r="AA536" s="35"/>
      <c r="AB536" s="24"/>
      <c r="AC536" s="2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</row>
    <row r="537" spans="1:41" ht="12.75">
      <c r="A537" s="21" t="s">
        <v>576</v>
      </c>
      <c r="B537" s="53" t="s">
        <v>615</v>
      </c>
      <c r="C537" s="54">
        <v>222822</v>
      </c>
      <c r="D537" s="74">
        <v>7</v>
      </c>
      <c r="E537" s="50">
        <v>0</v>
      </c>
      <c r="F537" s="50"/>
      <c r="G537" s="50">
        <v>0</v>
      </c>
      <c r="H537" s="50"/>
      <c r="I537" s="50">
        <v>0</v>
      </c>
      <c r="J537" s="50"/>
      <c r="K537" s="50">
        <v>0</v>
      </c>
      <c r="L537" s="50"/>
      <c r="M537" s="50">
        <v>0</v>
      </c>
      <c r="N537" s="50"/>
      <c r="O537" s="50">
        <v>95</v>
      </c>
      <c r="P537" s="51">
        <v>39555</v>
      </c>
      <c r="Q537" s="34"/>
      <c r="R537" s="28"/>
      <c r="S537" s="28"/>
      <c r="T537" s="28"/>
      <c r="U537" s="28"/>
      <c r="V537" s="28"/>
      <c r="W537" s="28"/>
      <c r="X537" s="28"/>
      <c r="Y537" s="28"/>
      <c r="Z537" s="24"/>
      <c r="AA537" s="35"/>
      <c r="AB537" s="24"/>
      <c r="AC537" s="2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</row>
    <row r="538" spans="1:41" ht="12.75">
      <c r="A538" s="21" t="s">
        <v>576</v>
      </c>
      <c r="B538" s="53" t="s">
        <v>616</v>
      </c>
      <c r="C538" s="54">
        <v>222992</v>
      </c>
      <c r="D538" s="74">
        <v>7</v>
      </c>
      <c r="E538" s="50">
        <v>0</v>
      </c>
      <c r="F538" s="50"/>
      <c r="G538" s="50">
        <v>0</v>
      </c>
      <c r="H538" s="50"/>
      <c r="I538" s="50">
        <v>0</v>
      </c>
      <c r="J538" s="50"/>
      <c r="K538" s="50">
        <v>0</v>
      </c>
      <c r="L538" s="50"/>
      <c r="M538" s="50">
        <v>0</v>
      </c>
      <c r="N538" s="50"/>
      <c r="O538" s="50">
        <v>350</v>
      </c>
      <c r="P538" s="51">
        <v>42056</v>
      </c>
      <c r="Q538" s="34"/>
      <c r="R538" s="28"/>
      <c r="S538" s="28"/>
      <c r="T538" s="28"/>
      <c r="U538" s="28"/>
      <c r="V538" s="28"/>
      <c r="W538" s="28"/>
      <c r="X538" s="28"/>
      <c r="Y538" s="28"/>
      <c r="Z538" s="24"/>
      <c r="AA538" s="35"/>
      <c r="AB538" s="26"/>
      <c r="AC538" s="2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</row>
    <row r="539" spans="1:41" ht="12.75">
      <c r="A539" s="21" t="s">
        <v>576</v>
      </c>
      <c r="B539" s="53" t="s">
        <v>617</v>
      </c>
      <c r="C539" s="54">
        <v>223320</v>
      </c>
      <c r="D539" s="74">
        <v>7</v>
      </c>
      <c r="E539" s="50">
        <v>0</v>
      </c>
      <c r="F539" s="50"/>
      <c r="G539" s="50">
        <v>0</v>
      </c>
      <c r="H539" s="50"/>
      <c r="I539" s="50">
        <v>0</v>
      </c>
      <c r="J539" s="50"/>
      <c r="K539" s="50">
        <v>0</v>
      </c>
      <c r="L539" s="50"/>
      <c r="M539" s="50">
        <v>0</v>
      </c>
      <c r="N539" s="50"/>
      <c r="O539" s="50">
        <v>94</v>
      </c>
      <c r="P539" s="51">
        <v>31961</v>
      </c>
      <c r="Q539" s="34"/>
      <c r="R539" s="23"/>
      <c r="S539" s="28"/>
      <c r="T539" s="28"/>
      <c r="U539" s="28"/>
      <c r="V539" s="28"/>
      <c r="W539" s="28"/>
      <c r="X539" s="28"/>
      <c r="Y539" s="28"/>
      <c r="Z539" s="24"/>
      <c r="AA539" s="35"/>
      <c r="AB539" s="26"/>
      <c r="AC539" s="2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</row>
    <row r="540" spans="1:41" ht="12.75">
      <c r="A540" s="21" t="s">
        <v>576</v>
      </c>
      <c r="B540" s="53" t="s">
        <v>618</v>
      </c>
      <c r="C540" s="54">
        <v>223427</v>
      </c>
      <c r="D540" s="74">
        <v>7</v>
      </c>
      <c r="E540" s="50">
        <v>0</v>
      </c>
      <c r="F540" s="50"/>
      <c r="G540" s="50">
        <v>0</v>
      </c>
      <c r="H540" s="50"/>
      <c r="I540" s="50">
        <v>0</v>
      </c>
      <c r="J540" s="50"/>
      <c r="K540" s="50">
        <v>0</v>
      </c>
      <c r="L540" s="50"/>
      <c r="M540" s="50">
        <v>0</v>
      </c>
      <c r="N540" s="50"/>
      <c r="O540" s="50">
        <v>133</v>
      </c>
      <c r="P540" s="51">
        <v>33684</v>
      </c>
      <c r="Q540" s="34"/>
      <c r="R540" s="28"/>
      <c r="S540" s="28"/>
      <c r="T540" s="28"/>
      <c r="U540" s="28"/>
      <c r="V540" s="28"/>
      <c r="W540" s="28"/>
      <c r="X540" s="28"/>
      <c r="Y540" s="28"/>
      <c r="Z540" s="24"/>
      <c r="AA540" s="35"/>
      <c r="AB540" s="24"/>
      <c r="AC540" s="2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</row>
    <row r="541" spans="1:29" ht="12.75">
      <c r="A541" s="21" t="s">
        <v>576</v>
      </c>
      <c r="B541" s="53" t="s">
        <v>619</v>
      </c>
      <c r="C541" s="54">
        <v>223506</v>
      </c>
      <c r="D541" s="74">
        <v>7</v>
      </c>
      <c r="E541" s="50">
        <v>0</v>
      </c>
      <c r="F541" s="50"/>
      <c r="G541" s="50">
        <v>0</v>
      </c>
      <c r="H541" s="50"/>
      <c r="I541" s="50">
        <v>0</v>
      </c>
      <c r="J541" s="50"/>
      <c r="K541" s="50">
        <v>0</v>
      </c>
      <c r="L541" s="50"/>
      <c r="M541" s="50">
        <v>0</v>
      </c>
      <c r="N541" s="50"/>
      <c r="O541" s="50">
        <v>61</v>
      </c>
      <c r="P541" s="51">
        <v>40945</v>
      </c>
      <c r="Q541" s="34"/>
      <c r="R541" s="28"/>
      <c r="S541" s="28"/>
      <c r="T541" s="28"/>
      <c r="U541" s="28"/>
      <c r="V541" s="28"/>
      <c r="W541" s="28"/>
      <c r="X541" s="28"/>
      <c r="Y541" s="23"/>
      <c r="Z541" s="24"/>
      <c r="AA541" s="35"/>
      <c r="AB541" s="24"/>
      <c r="AC541" s="21"/>
    </row>
    <row r="542" spans="1:29" ht="12.75">
      <c r="A542" s="21" t="s">
        <v>576</v>
      </c>
      <c r="B542" s="53" t="s">
        <v>620</v>
      </c>
      <c r="C542" s="54">
        <v>223524</v>
      </c>
      <c r="D542" s="74">
        <v>7</v>
      </c>
      <c r="E542" s="50">
        <v>0</v>
      </c>
      <c r="F542" s="50"/>
      <c r="G542" s="50">
        <v>0</v>
      </c>
      <c r="H542" s="50"/>
      <c r="I542" s="50">
        <v>0</v>
      </c>
      <c r="J542" s="50"/>
      <c r="K542" s="50">
        <v>0</v>
      </c>
      <c r="L542" s="50"/>
      <c r="M542" s="50">
        <v>0</v>
      </c>
      <c r="N542" s="50"/>
      <c r="O542" s="50">
        <v>0</v>
      </c>
      <c r="P542" s="51" t="s">
        <v>65</v>
      </c>
      <c r="Q542" s="34"/>
      <c r="R542" s="28"/>
      <c r="S542" s="28"/>
      <c r="T542" s="28"/>
      <c r="U542" s="28"/>
      <c r="V542" s="28"/>
      <c r="W542" s="28"/>
      <c r="X542" s="28"/>
      <c r="Y542" s="28"/>
      <c r="Z542" s="24"/>
      <c r="AA542" s="35"/>
      <c r="AB542" s="24"/>
      <c r="AC542" s="21"/>
    </row>
    <row r="543" spans="1:29" ht="12.75">
      <c r="A543" s="21" t="s">
        <v>576</v>
      </c>
      <c r="B543" s="53" t="s">
        <v>621</v>
      </c>
      <c r="C543" s="54">
        <v>223773</v>
      </c>
      <c r="D543" s="74">
        <v>7</v>
      </c>
      <c r="E543" s="50">
        <v>0</v>
      </c>
      <c r="F543" s="50"/>
      <c r="G543" s="50">
        <v>0</v>
      </c>
      <c r="H543" s="50"/>
      <c r="I543" s="50">
        <v>0</v>
      </c>
      <c r="J543" s="50"/>
      <c r="K543" s="50">
        <v>0</v>
      </c>
      <c r="L543" s="50"/>
      <c r="M543" s="50">
        <v>0</v>
      </c>
      <c r="N543" s="50"/>
      <c r="O543" s="50">
        <v>0</v>
      </c>
      <c r="P543" s="51" t="s">
        <v>65</v>
      </c>
      <c r="Q543" s="34"/>
      <c r="R543" s="28"/>
      <c r="S543" s="28"/>
      <c r="T543" s="28"/>
      <c r="U543" s="28"/>
      <c r="V543" s="28"/>
      <c r="W543" s="28"/>
      <c r="X543" s="28"/>
      <c r="Y543" s="28"/>
      <c r="Z543" s="24"/>
      <c r="AA543" s="35"/>
      <c r="AB543" s="24"/>
      <c r="AC543" s="21"/>
    </row>
    <row r="544" spans="1:29" ht="12.75">
      <c r="A544" s="21" t="s">
        <v>576</v>
      </c>
      <c r="B544" s="53" t="s">
        <v>622</v>
      </c>
      <c r="C544" s="54">
        <v>223816</v>
      </c>
      <c r="D544" s="74">
        <v>7</v>
      </c>
      <c r="E544" s="50">
        <v>0</v>
      </c>
      <c r="F544" s="50"/>
      <c r="G544" s="50">
        <v>0</v>
      </c>
      <c r="H544" s="50"/>
      <c r="I544" s="50">
        <v>0</v>
      </c>
      <c r="J544" s="50"/>
      <c r="K544" s="50">
        <v>0</v>
      </c>
      <c r="L544" s="50"/>
      <c r="M544" s="50">
        <v>0</v>
      </c>
      <c r="N544" s="50"/>
      <c r="O544" s="50">
        <v>121</v>
      </c>
      <c r="P544" s="51">
        <v>37635</v>
      </c>
      <c r="Q544" s="34"/>
      <c r="R544" s="28"/>
      <c r="S544" s="28"/>
      <c r="T544" s="28"/>
      <c r="U544" s="28"/>
      <c r="V544" s="28"/>
      <c r="W544" s="28"/>
      <c r="X544" s="28"/>
      <c r="Y544" s="28"/>
      <c r="Z544" s="24"/>
      <c r="AA544" s="35"/>
      <c r="AB544" s="24"/>
      <c r="AC544" s="21"/>
    </row>
    <row r="545" spans="1:29" ht="12.75">
      <c r="A545" s="21" t="s">
        <v>576</v>
      </c>
      <c r="B545" s="53" t="s">
        <v>623</v>
      </c>
      <c r="C545" s="54">
        <v>223898</v>
      </c>
      <c r="D545" s="74">
        <v>7</v>
      </c>
      <c r="E545" s="50">
        <v>0</v>
      </c>
      <c r="F545" s="50"/>
      <c r="G545" s="50">
        <v>0</v>
      </c>
      <c r="H545" s="50"/>
      <c r="I545" s="50">
        <v>0</v>
      </c>
      <c r="J545" s="50"/>
      <c r="K545" s="50">
        <v>0</v>
      </c>
      <c r="L545" s="50"/>
      <c r="M545" s="50">
        <v>0</v>
      </c>
      <c r="N545" s="50"/>
      <c r="O545" s="50">
        <v>61</v>
      </c>
      <c r="P545" s="51">
        <v>31017</v>
      </c>
      <c r="Q545" s="34"/>
      <c r="R545" s="28"/>
      <c r="S545" s="28"/>
      <c r="T545" s="28"/>
      <c r="U545" s="28"/>
      <c r="V545" s="28"/>
      <c r="W545" s="28"/>
      <c r="X545" s="28"/>
      <c r="Y545" s="28"/>
      <c r="Z545" s="24"/>
      <c r="AA545" s="35"/>
      <c r="AB545" s="24"/>
      <c r="AC545" s="21"/>
    </row>
    <row r="546" spans="1:29" ht="12.75">
      <c r="A546" s="21" t="s">
        <v>576</v>
      </c>
      <c r="B546" s="53" t="s">
        <v>624</v>
      </c>
      <c r="C546" s="54">
        <v>223922</v>
      </c>
      <c r="D546" s="74">
        <v>7</v>
      </c>
      <c r="E546" s="50">
        <v>0</v>
      </c>
      <c r="F546" s="50"/>
      <c r="G546" s="50">
        <v>0</v>
      </c>
      <c r="H546" s="50"/>
      <c r="I546" s="50">
        <v>0</v>
      </c>
      <c r="J546" s="50"/>
      <c r="K546" s="50">
        <v>0</v>
      </c>
      <c r="L546" s="50"/>
      <c r="M546" s="50">
        <v>0</v>
      </c>
      <c r="N546" s="50"/>
      <c r="O546" s="50">
        <v>22</v>
      </c>
      <c r="P546" s="51">
        <v>34091</v>
      </c>
      <c r="Q546" s="34"/>
      <c r="R546" s="28"/>
      <c r="S546" s="28"/>
      <c r="T546" s="28"/>
      <c r="U546" s="28"/>
      <c r="V546" s="28"/>
      <c r="W546" s="28"/>
      <c r="X546" s="28"/>
      <c r="Y546" s="23"/>
      <c r="Z546" s="24"/>
      <c r="AA546" s="35"/>
      <c r="AB546" s="24"/>
      <c r="AC546" s="21"/>
    </row>
    <row r="547" spans="1:29" ht="12.75">
      <c r="A547" s="21" t="s">
        <v>576</v>
      </c>
      <c r="B547" s="53" t="s">
        <v>625</v>
      </c>
      <c r="C547" s="54">
        <v>226408</v>
      </c>
      <c r="D547" s="74">
        <v>7</v>
      </c>
      <c r="E547" s="50">
        <v>0</v>
      </c>
      <c r="F547" s="50"/>
      <c r="G547" s="50">
        <v>0</v>
      </c>
      <c r="H547" s="50"/>
      <c r="I547" s="50">
        <v>0</v>
      </c>
      <c r="J547" s="50"/>
      <c r="K547" s="50">
        <v>0</v>
      </c>
      <c r="L547" s="50"/>
      <c r="M547" s="50">
        <v>0</v>
      </c>
      <c r="N547" s="50"/>
      <c r="O547" s="50">
        <v>80</v>
      </c>
      <c r="P547" s="51">
        <v>37319</v>
      </c>
      <c r="Q547" s="34"/>
      <c r="R547" s="28"/>
      <c r="S547" s="28"/>
      <c r="T547" s="28"/>
      <c r="U547" s="28"/>
      <c r="V547" s="28"/>
      <c r="W547" s="28"/>
      <c r="X547" s="28"/>
      <c r="Y547" s="23"/>
      <c r="Z547" s="24"/>
      <c r="AA547" s="35"/>
      <c r="AB547" s="24"/>
      <c r="AC547" s="21"/>
    </row>
    <row r="548" spans="1:29" ht="12.75">
      <c r="A548" s="21" t="s">
        <v>576</v>
      </c>
      <c r="B548" s="53" t="s">
        <v>626</v>
      </c>
      <c r="C548" s="54">
        <v>247834</v>
      </c>
      <c r="D548" s="74">
        <v>7</v>
      </c>
      <c r="E548" s="50">
        <v>0</v>
      </c>
      <c r="F548" s="50"/>
      <c r="G548" s="50">
        <v>0</v>
      </c>
      <c r="H548" s="50"/>
      <c r="I548" s="50">
        <v>0</v>
      </c>
      <c r="J548" s="50"/>
      <c r="K548" s="50">
        <v>0</v>
      </c>
      <c r="L548" s="50"/>
      <c r="M548" s="50">
        <v>0</v>
      </c>
      <c r="N548" s="50"/>
      <c r="O548" s="50">
        <v>133</v>
      </c>
      <c r="P548" s="51">
        <v>36550</v>
      </c>
      <c r="Q548" s="34"/>
      <c r="R548" s="28"/>
      <c r="S548" s="28"/>
      <c r="T548" s="28"/>
      <c r="U548" s="28"/>
      <c r="V548" s="28"/>
      <c r="W548" s="28"/>
      <c r="X548" s="28"/>
      <c r="Y548" s="23"/>
      <c r="Z548" s="24"/>
      <c r="AA548" s="35"/>
      <c r="AB548" s="24"/>
      <c r="AC548" s="21"/>
    </row>
    <row r="549" spans="1:29" ht="15">
      <c r="A549" s="21" t="s">
        <v>576</v>
      </c>
      <c r="B549" s="79" t="s">
        <v>627</v>
      </c>
      <c r="C549" s="80">
        <f>ROUND(((HR549*$AZ549)+GX549),0)</f>
        <v>0</v>
      </c>
      <c r="D549" s="74">
        <v>7</v>
      </c>
      <c r="E549" s="50">
        <v>0</v>
      </c>
      <c r="F549" s="50" t="s">
        <v>65</v>
      </c>
      <c r="G549" s="50">
        <v>0</v>
      </c>
      <c r="H549" s="50" t="s">
        <v>65</v>
      </c>
      <c r="I549" s="50">
        <v>0</v>
      </c>
      <c r="J549" s="50" t="s">
        <v>65</v>
      </c>
      <c r="K549" s="50">
        <v>0</v>
      </c>
      <c r="L549" s="50" t="s">
        <v>65</v>
      </c>
      <c r="M549" s="50">
        <v>0</v>
      </c>
      <c r="N549" s="50" t="s">
        <v>65</v>
      </c>
      <c r="O549" s="50">
        <v>563</v>
      </c>
      <c r="P549" s="51">
        <v>49073</v>
      </c>
      <c r="Q549" s="75"/>
      <c r="R549" s="28"/>
      <c r="S549" s="28"/>
      <c r="T549" s="28"/>
      <c r="U549" s="28"/>
      <c r="V549" s="28"/>
      <c r="W549" s="28"/>
      <c r="X549" s="28"/>
      <c r="Y549" s="28"/>
      <c r="Z549" s="24"/>
      <c r="AA549" s="35"/>
      <c r="AB549" s="24"/>
      <c r="AC549" s="21"/>
    </row>
    <row r="550" spans="1:29" ht="12.75">
      <c r="A550" s="21" t="s">
        <v>576</v>
      </c>
      <c r="B550" s="53" t="s">
        <v>628</v>
      </c>
      <c r="C550" s="54">
        <v>224350</v>
      </c>
      <c r="D550" s="74">
        <v>7</v>
      </c>
      <c r="E550" s="50">
        <v>0</v>
      </c>
      <c r="F550" s="50"/>
      <c r="G550" s="50">
        <v>0</v>
      </c>
      <c r="H550" s="50"/>
      <c r="I550" s="50">
        <v>0</v>
      </c>
      <c r="J550" s="50"/>
      <c r="K550" s="50">
        <v>0</v>
      </c>
      <c r="L550" s="50"/>
      <c r="M550" s="50">
        <v>0</v>
      </c>
      <c r="N550" s="50"/>
      <c r="O550" s="50">
        <v>253</v>
      </c>
      <c r="P550" s="51">
        <v>41090</v>
      </c>
      <c r="Q550" s="34"/>
      <c r="R550" s="28"/>
      <c r="S550" s="28"/>
      <c r="T550" s="28"/>
      <c r="U550" s="28"/>
      <c r="V550" s="28"/>
      <c r="W550" s="28"/>
      <c r="X550" s="28"/>
      <c r="Y550" s="23"/>
      <c r="Z550" s="24"/>
      <c r="AA550" s="35"/>
      <c r="AB550" s="24"/>
      <c r="AC550" s="21"/>
    </row>
    <row r="551" spans="1:29" ht="12.75">
      <c r="A551" s="21" t="s">
        <v>576</v>
      </c>
      <c r="B551" s="53" t="s">
        <v>629</v>
      </c>
      <c r="C551" s="54">
        <v>224572</v>
      </c>
      <c r="D551" s="74">
        <v>7</v>
      </c>
      <c r="E551" s="50">
        <v>0</v>
      </c>
      <c r="F551" s="50"/>
      <c r="G551" s="50">
        <v>0</v>
      </c>
      <c r="H551" s="50"/>
      <c r="I551" s="50">
        <v>0</v>
      </c>
      <c r="J551" s="50"/>
      <c r="K551" s="50">
        <v>0</v>
      </c>
      <c r="L551" s="50"/>
      <c r="M551" s="50">
        <v>0</v>
      </c>
      <c r="N551" s="50"/>
      <c r="O551" s="50">
        <v>0</v>
      </c>
      <c r="P551" s="51" t="s">
        <v>65</v>
      </c>
      <c r="Q551" s="34"/>
      <c r="R551" s="28"/>
      <c r="S551" s="28"/>
      <c r="T551" s="28"/>
      <c r="U551" s="28"/>
      <c r="V551" s="28"/>
      <c r="W551" s="28"/>
      <c r="X551" s="28"/>
      <c r="Y551" s="23"/>
      <c r="Z551" s="24"/>
      <c r="AA551" s="35"/>
      <c r="AB551" s="24"/>
      <c r="AC551" s="21"/>
    </row>
    <row r="552" spans="1:29" ht="12.75">
      <c r="A552" s="21" t="s">
        <v>576</v>
      </c>
      <c r="B552" s="53" t="s">
        <v>630</v>
      </c>
      <c r="C552" s="54">
        <v>224615</v>
      </c>
      <c r="D552" s="74">
        <v>7</v>
      </c>
      <c r="E552" s="50">
        <v>0</v>
      </c>
      <c r="F552" s="50"/>
      <c r="G552" s="50">
        <v>0</v>
      </c>
      <c r="H552" s="50"/>
      <c r="I552" s="50">
        <v>0</v>
      </c>
      <c r="J552" s="50"/>
      <c r="K552" s="50">
        <v>0</v>
      </c>
      <c r="L552" s="50"/>
      <c r="M552" s="50">
        <v>0</v>
      </c>
      <c r="N552" s="50"/>
      <c r="O552" s="50">
        <v>0</v>
      </c>
      <c r="P552" s="51" t="s">
        <v>65</v>
      </c>
      <c r="Q552" s="34"/>
      <c r="R552" s="28"/>
      <c r="S552" s="28"/>
      <c r="T552" s="28"/>
      <c r="U552" s="28"/>
      <c r="V552" s="28"/>
      <c r="W552" s="28"/>
      <c r="X552" s="28"/>
      <c r="Y552" s="23"/>
      <c r="Z552" s="24"/>
      <c r="AA552" s="35"/>
      <c r="AB552" s="24"/>
      <c r="AC552" s="21"/>
    </row>
    <row r="553" spans="1:29" ht="12.75">
      <c r="A553" s="21" t="s">
        <v>576</v>
      </c>
      <c r="B553" s="53" t="s">
        <v>631</v>
      </c>
      <c r="C553" s="54">
        <v>224642</v>
      </c>
      <c r="D553" s="74">
        <v>7</v>
      </c>
      <c r="E553" s="50">
        <v>0</v>
      </c>
      <c r="F553" s="50"/>
      <c r="G553" s="50">
        <v>0</v>
      </c>
      <c r="H553" s="50"/>
      <c r="I553" s="50">
        <v>0</v>
      </c>
      <c r="J553" s="50"/>
      <c r="K553" s="50">
        <v>0</v>
      </c>
      <c r="L553" s="50"/>
      <c r="M553" s="50">
        <v>0</v>
      </c>
      <c r="N553" s="50"/>
      <c r="O553" s="50">
        <v>281</v>
      </c>
      <c r="P553" s="51">
        <v>41179</v>
      </c>
      <c r="Q553" s="34"/>
      <c r="R553" s="28"/>
      <c r="S553" s="28"/>
      <c r="T553" s="28"/>
      <c r="U553" s="28"/>
      <c r="V553" s="28"/>
      <c r="W553" s="28"/>
      <c r="X553" s="28"/>
      <c r="Y553" s="23"/>
      <c r="Z553" s="24"/>
      <c r="AA553" s="35"/>
      <c r="AB553" s="24"/>
      <c r="AC553" s="21"/>
    </row>
    <row r="554" spans="1:29" ht="12.75">
      <c r="A554" s="21" t="s">
        <v>576</v>
      </c>
      <c r="B554" s="53" t="s">
        <v>632</v>
      </c>
      <c r="C554" s="54">
        <v>224891</v>
      </c>
      <c r="D554" s="74">
        <v>7</v>
      </c>
      <c r="E554" s="50">
        <v>0</v>
      </c>
      <c r="F554" s="50"/>
      <c r="G554" s="50">
        <v>0</v>
      </c>
      <c r="H554" s="50"/>
      <c r="I554" s="50">
        <v>0</v>
      </c>
      <c r="J554" s="50"/>
      <c r="K554" s="50">
        <v>0</v>
      </c>
      <c r="L554" s="50"/>
      <c r="M554" s="50">
        <v>0</v>
      </c>
      <c r="N554" s="50"/>
      <c r="O554" s="50">
        <v>26</v>
      </c>
      <c r="P554" s="51">
        <v>31765</v>
      </c>
      <c r="Q554" s="34"/>
      <c r="R554" s="28"/>
      <c r="S554" s="28"/>
      <c r="T554" s="28"/>
      <c r="U554" s="28"/>
      <c r="V554" s="28"/>
      <c r="W554" s="28"/>
      <c r="X554" s="28"/>
      <c r="Y554" s="23"/>
      <c r="Z554" s="24"/>
      <c r="AA554" s="35"/>
      <c r="AB554" s="24"/>
      <c r="AC554" s="21"/>
    </row>
    <row r="555" spans="1:29" ht="12.75">
      <c r="A555" s="21" t="s">
        <v>576</v>
      </c>
      <c r="B555" s="53" t="s">
        <v>633</v>
      </c>
      <c r="C555" s="54">
        <v>224961</v>
      </c>
      <c r="D555" s="74">
        <v>7</v>
      </c>
      <c r="E555" s="50">
        <v>0</v>
      </c>
      <c r="F555" s="50"/>
      <c r="G555" s="50">
        <v>0</v>
      </c>
      <c r="H555" s="50"/>
      <c r="I555" s="50">
        <v>0</v>
      </c>
      <c r="J555" s="50"/>
      <c r="K555" s="50">
        <v>0</v>
      </c>
      <c r="L555" s="50"/>
      <c r="M555" s="50">
        <v>0</v>
      </c>
      <c r="N555" s="50"/>
      <c r="O555" s="50">
        <v>46</v>
      </c>
      <c r="P555" s="51">
        <v>39545</v>
      </c>
      <c r="Q555" s="34"/>
      <c r="R555" s="28"/>
      <c r="S555" s="28"/>
      <c r="T555" s="28"/>
      <c r="U555" s="28"/>
      <c r="V555" s="28"/>
      <c r="W555" s="28"/>
      <c r="X555" s="28"/>
      <c r="Y555" s="23"/>
      <c r="Z555" s="24"/>
      <c r="AA555" s="35"/>
      <c r="AB555" s="24"/>
      <c r="AC555" s="21"/>
    </row>
    <row r="556" spans="1:29" ht="12.75">
      <c r="A556" s="21" t="s">
        <v>576</v>
      </c>
      <c r="B556" s="53" t="s">
        <v>634</v>
      </c>
      <c r="C556" s="54">
        <v>225070</v>
      </c>
      <c r="D556" s="74">
        <v>7</v>
      </c>
      <c r="E556" s="50">
        <v>0</v>
      </c>
      <c r="F556" s="50"/>
      <c r="G556" s="50">
        <v>0</v>
      </c>
      <c r="H556" s="50"/>
      <c r="I556" s="50">
        <v>0</v>
      </c>
      <c r="J556" s="50"/>
      <c r="K556" s="50">
        <v>0</v>
      </c>
      <c r="L556" s="50"/>
      <c r="M556" s="50">
        <v>0</v>
      </c>
      <c r="N556" s="50"/>
      <c r="O556" s="50">
        <v>76</v>
      </c>
      <c r="P556" s="51">
        <v>39684</v>
      </c>
      <c r="Q556" s="34"/>
      <c r="R556" s="28"/>
      <c r="S556" s="28"/>
      <c r="T556" s="28"/>
      <c r="U556" s="28"/>
      <c r="V556" s="28"/>
      <c r="W556" s="28"/>
      <c r="X556" s="28"/>
      <c r="Y556" s="23"/>
      <c r="Z556" s="24"/>
      <c r="AA556" s="35"/>
      <c r="AB556" s="24"/>
      <c r="AC556" s="21"/>
    </row>
    <row r="557" spans="1:29" ht="12.75">
      <c r="A557" s="21" t="s">
        <v>576</v>
      </c>
      <c r="B557" s="53" t="s">
        <v>635</v>
      </c>
      <c r="C557" s="54">
        <v>225371</v>
      </c>
      <c r="D557" s="74">
        <v>7</v>
      </c>
      <c r="E557" s="50">
        <v>0</v>
      </c>
      <c r="F557" s="50"/>
      <c r="G557" s="50">
        <v>0</v>
      </c>
      <c r="H557" s="50"/>
      <c r="I557" s="50">
        <v>0</v>
      </c>
      <c r="J557" s="50"/>
      <c r="K557" s="50">
        <v>0</v>
      </c>
      <c r="L557" s="50"/>
      <c r="M557" s="50">
        <v>0</v>
      </c>
      <c r="N557" s="50"/>
      <c r="O557" s="50">
        <v>65</v>
      </c>
      <c r="P557" s="51">
        <v>32822</v>
      </c>
      <c r="Q557" s="34"/>
      <c r="R557" s="28"/>
      <c r="S557" s="28"/>
      <c r="T557" s="28"/>
      <c r="U557" s="28"/>
      <c r="V557" s="28"/>
      <c r="W557" s="28"/>
      <c r="X557" s="28"/>
      <c r="Y557" s="23"/>
      <c r="Z557" s="24"/>
      <c r="AA557" s="35"/>
      <c r="AB557" s="24"/>
      <c r="AC557" s="21"/>
    </row>
    <row r="558" spans="1:29" ht="12.75">
      <c r="A558" s="21" t="s">
        <v>576</v>
      </c>
      <c r="B558" s="53" t="s">
        <v>636</v>
      </c>
      <c r="C558" s="54">
        <v>225423</v>
      </c>
      <c r="D558" s="74">
        <v>7</v>
      </c>
      <c r="E558" s="50">
        <v>0</v>
      </c>
      <c r="F558" s="50"/>
      <c r="G558" s="50">
        <v>0</v>
      </c>
      <c r="H558" s="50"/>
      <c r="I558" s="50">
        <v>0</v>
      </c>
      <c r="J558" s="50"/>
      <c r="K558" s="50">
        <v>0</v>
      </c>
      <c r="L558" s="50"/>
      <c r="M558" s="50">
        <v>0</v>
      </c>
      <c r="N558" s="50"/>
      <c r="O558" s="50">
        <v>514</v>
      </c>
      <c r="P558" s="51">
        <v>38862</v>
      </c>
      <c r="Q558" s="34"/>
      <c r="R558" s="28"/>
      <c r="S558" s="28"/>
      <c r="T558" s="28"/>
      <c r="U558" s="28"/>
      <c r="V558" s="28"/>
      <c r="W558" s="28"/>
      <c r="X558" s="28"/>
      <c r="Y558" s="23"/>
      <c r="Z558" s="24"/>
      <c r="AA558" s="35"/>
      <c r="AB558" s="24"/>
      <c r="AC558" s="21"/>
    </row>
    <row r="559" spans="1:29" ht="12.75">
      <c r="A559" s="21" t="s">
        <v>576</v>
      </c>
      <c r="B559" s="53" t="s">
        <v>637</v>
      </c>
      <c r="C559" s="54">
        <v>225520</v>
      </c>
      <c r="D559" s="74">
        <v>7</v>
      </c>
      <c r="E559" s="50">
        <v>0</v>
      </c>
      <c r="F559" s="50"/>
      <c r="G559" s="50">
        <v>0</v>
      </c>
      <c r="H559" s="50"/>
      <c r="I559" s="50">
        <v>0</v>
      </c>
      <c r="J559" s="50"/>
      <c r="K559" s="50">
        <v>0</v>
      </c>
      <c r="L559" s="50"/>
      <c r="M559" s="50">
        <v>0</v>
      </c>
      <c r="N559" s="50"/>
      <c r="O559" s="50">
        <v>65</v>
      </c>
      <c r="P559" s="51">
        <v>34812</v>
      </c>
      <c r="Q559" s="34"/>
      <c r="R559" s="28"/>
      <c r="S559" s="28"/>
      <c r="T559" s="28"/>
      <c r="U559" s="28"/>
      <c r="V559" s="28"/>
      <c r="W559" s="28"/>
      <c r="X559" s="28"/>
      <c r="Y559" s="23"/>
      <c r="Z559" s="24"/>
      <c r="AA559" s="35"/>
      <c r="AB559" s="24"/>
      <c r="AC559" s="21"/>
    </row>
    <row r="560" spans="1:29" ht="12.75">
      <c r="A560" s="21" t="s">
        <v>576</v>
      </c>
      <c r="B560" s="53" t="s">
        <v>638</v>
      </c>
      <c r="C560" s="54">
        <v>226019</v>
      </c>
      <c r="D560" s="74">
        <v>7</v>
      </c>
      <c r="E560" s="50">
        <v>0</v>
      </c>
      <c r="F560" s="50"/>
      <c r="G560" s="50">
        <v>0</v>
      </c>
      <c r="H560" s="50"/>
      <c r="I560" s="50">
        <v>0</v>
      </c>
      <c r="J560" s="50"/>
      <c r="K560" s="50">
        <v>0</v>
      </c>
      <c r="L560" s="50"/>
      <c r="M560" s="50">
        <v>0</v>
      </c>
      <c r="N560" s="50"/>
      <c r="O560" s="50">
        <v>144</v>
      </c>
      <c r="P560" s="51">
        <v>35745</v>
      </c>
      <c r="Q560" s="34"/>
      <c r="R560" s="28"/>
      <c r="S560" s="28"/>
      <c r="T560" s="28"/>
      <c r="U560" s="28"/>
      <c r="V560" s="28"/>
      <c r="W560" s="28"/>
      <c r="X560" s="28"/>
      <c r="Y560" s="23"/>
      <c r="Z560" s="24"/>
      <c r="AA560" s="35"/>
      <c r="AB560" s="24"/>
      <c r="AC560" s="21"/>
    </row>
    <row r="561" spans="1:29" ht="12.75">
      <c r="A561" s="21" t="s">
        <v>576</v>
      </c>
      <c r="B561" s="53" t="s">
        <v>639</v>
      </c>
      <c r="C561" s="54">
        <v>229337</v>
      </c>
      <c r="D561" s="74">
        <v>7</v>
      </c>
      <c r="E561" s="50">
        <v>0</v>
      </c>
      <c r="F561" s="50"/>
      <c r="G561" s="50">
        <v>0</v>
      </c>
      <c r="H561" s="50"/>
      <c r="I561" s="50">
        <v>0</v>
      </c>
      <c r="J561" s="50"/>
      <c r="K561" s="50">
        <v>0</v>
      </c>
      <c r="L561" s="50"/>
      <c r="M561" s="50">
        <v>0</v>
      </c>
      <c r="N561" s="50"/>
      <c r="O561" s="50">
        <v>55</v>
      </c>
      <c r="P561" s="51">
        <v>31854</v>
      </c>
      <c r="Q561" s="34"/>
      <c r="R561" s="28"/>
      <c r="S561" s="28"/>
      <c r="T561" s="28"/>
      <c r="U561" s="28"/>
      <c r="V561" s="28"/>
      <c r="W561" s="28"/>
      <c r="X561" s="28"/>
      <c r="Y561" s="23"/>
      <c r="Z561" s="24"/>
      <c r="AA561" s="35"/>
      <c r="AB561" s="24"/>
      <c r="AC561" s="21"/>
    </row>
    <row r="562" spans="1:29" ht="12.75">
      <c r="A562" s="21" t="s">
        <v>576</v>
      </c>
      <c r="B562" s="53" t="s">
        <v>640</v>
      </c>
      <c r="C562" s="54">
        <v>226107</v>
      </c>
      <c r="D562" s="74">
        <v>7</v>
      </c>
      <c r="E562" s="50">
        <v>0</v>
      </c>
      <c r="F562" s="50"/>
      <c r="G562" s="50">
        <v>0</v>
      </c>
      <c r="H562" s="50"/>
      <c r="I562" s="50">
        <v>0</v>
      </c>
      <c r="J562" s="50"/>
      <c r="K562" s="50">
        <v>0</v>
      </c>
      <c r="L562" s="50"/>
      <c r="M562" s="50">
        <v>0</v>
      </c>
      <c r="N562" s="50"/>
      <c r="O562" s="50">
        <v>37</v>
      </c>
      <c r="P562" s="51">
        <v>30069</v>
      </c>
      <c r="Q562" s="34"/>
      <c r="R562" s="28"/>
      <c r="S562" s="28"/>
      <c r="T562" s="28"/>
      <c r="U562" s="28"/>
      <c r="V562" s="28"/>
      <c r="W562" s="28"/>
      <c r="X562" s="28"/>
      <c r="Y562" s="23"/>
      <c r="Z562" s="24"/>
      <c r="AA562" s="35"/>
      <c r="AB562" s="24"/>
      <c r="AC562" s="21"/>
    </row>
    <row r="563" spans="1:29" ht="12.75">
      <c r="A563" s="21" t="s">
        <v>576</v>
      </c>
      <c r="B563" s="53" t="s">
        <v>641</v>
      </c>
      <c r="C563" s="54">
        <v>226116</v>
      </c>
      <c r="D563" s="74">
        <v>7</v>
      </c>
      <c r="E563" s="50">
        <v>0</v>
      </c>
      <c r="F563" s="50"/>
      <c r="G563" s="50">
        <v>0</v>
      </c>
      <c r="H563" s="50"/>
      <c r="I563" s="50">
        <v>0</v>
      </c>
      <c r="J563" s="50"/>
      <c r="K563" s="50">
        <v>0</v>
      </c>
      <c r="L563" s="50"/>
      <c r="M563" s="50">
        <v>0</v>
      </c>
      <c r="N563" s="50"/>
      <c r="O563" s="50">
        <v>64</v>
      </c>
      <c r="P563" s="51">
        <v>29691</v>
      </c>
      <c r="Q563" s="34"/>
      <c r="R563" s="28"/>
      <c r="S563" s="28"/>
      <c r="T563" s="28"/>
      <c r="U563" s="28"/>
      <c r="V563" s="28"/>
      <c r="W563" s="28"/>
      <c r="X563" s="28"/>
      <c r="Y563" s="23"/>
      <c r="Z563" s="24"/>
      <c r="AA563" s="35"/>
      <c r="AB563" s="24"/>
      <c r="AC563" s="21"/>
    </row>
    <row r="564" spans="1:29" ht="12.75">
      <c r="A564" s="21" t="s">
        <v>576</v>
      </c>
      <c r="B564" s="53" t="s">
        <v>642</v>
      </c>
      <c r="C564" s="54">
        <v>226134</v>
      </c>
      <c r="D564" s="74">
        <v>7</v>
      </c>
      <c r="E564" s="50">
        <v>0</v>
      </c>
      <c r="F564" s="50"/>
      <c r="G564" s="50">
        <v>0</v>
      </c>
      <c r="H564" s="50"/>
      <c r="I564" s="50">
        <v>0</v>
      </c>
      <c r="J564" s="50"/>
      <c r="K564" s="50">
        <v>0</v>
      </c>
      <c r="L564" s="50"/>
      <c r="M564" s="50">
        <v>0</v>
      </c>
      <c r="N564" s="50"/>
      <c r="O564" s="50">
        <v>172</v>
      </c>
      <c r="P564" s="51">
        <v>39258</v>
      </c>
      <c r="Q564" s="34"/>
      <c r="R564" s="28"/>
      <c r="S564" s="28"/>
      <c r="T564" s="28"/>
      <c r="U564" s="28"/>
      <c r="V564" s="28"/>
      <c r="W564" s="28"/>
      <c r="X564" s="28"/>
      <c r="Y564" s="23"/>
      <c r="Z564" s="24"/>
      <c r="AA564" s="35"/>
      <c r="AB564" s="24"/>
      <c r="AC564" s="21"/>
    </row>
    <row r="565" spans="1:29" ht="12.75">
      <c r="A565" s="21" t="s">
        <v>576</v>
      </c>
      <c r="B565" s="53" t="s">
        <v>643</v>
      </c>
      <c r="C565" s="54">
        <v>226204</v>
      </c>
      <c r="D565" s="74">
        <v>7</v>
      </c>
      <c r="E565" s="50">
        <v>0</v>
      </c>
      <c r="F565" s="50"/>
      <c r="G565" s="50">
        <v>0</v>
      </c>
      <c r="H565" s="50"/>
      <c r="I565" s="50">
        <v>0</v>
      </c>
      <c r="J565" s="50"/>
      <c r="K565" s="50">
        <v>0</v>
      </c>
      <c r="L565" s="50"/>
      <c r="M565" s="50">
        <v>0</v>
      </c>
      <c r="N565" s="50"/>
      <c r="O565" s="50">
        <v>154</v>
      </c>
      <c r="P565" s="51">
        <v>42334</v>
      </c>
      <c r="Q565" s="34"/>
      <c r="R565" s="28"/>
      <c r="S565" s="28"/>
      <c r="T565" s="28"/>
      <c r="U565" s="28"/>
      <c r="V565" s="28"/>
      <c r="W565" s="28"/>
      <c r="X565" s="28"/>
      <c r="Y565" s="28"/>
      <c r="Z565" s="24"/>
      <c r="AA565" s="35"/>
      <c r="AB565" s="24"/>
      <c r="AC565" s="21"/>
    </row>
    <row r="566" spans="1:29" ht="12.75">
      <c r="A566" s="21" t="s">
        <v>576</v>
      </c>
      <c r="B566" s="53" t="s">
        <v>644</v>
      </c>
      <c r="C566" s="54">
        <v>226578</v>
      </c>
      <c r="D566" s="74">
        <v>7</v>
      </c>
      <c r="E566" s="50">
        <v>0</v>
      </c>
      <c r="F566" s="50"/>
      <c r="G566" s="50">
        <v>0</v>
      </c>
      <c r="H566" s="50"/>
      <c r="I566" s="50">
        <v>0</v>
      </c>
      <c r="J566" s="50"/>
      <c r="K566" s="50">
        <v>0</v>
      </c>
      <c r="L566" s="50"/>
      <c r="M566" s="50">
        <v>0</v>
      </c>
      <c r="N566" s="50"/>
      <c r="O566" s="50">
        <v>155</v>
      </c>
      <c r="P566" s="51">
        <v>41571</v>
      </c>
      <c r="Q566" s="34"/>
      <c r="R566" s="28"/>
      <c r="S566" s="28"/>
      <c r="T566" s="28"/>
      <c r="U566" s="28"/>
      <c r="V566" s="28"/>
      <c r="W566" s="28"/>
      <c r="X566" s="28"/>
      <c r="Y566" s="28"/>
      <c r="Z566" s="24"/>
      <c r="AA566" s="35"/>
      <c r="AB566" s="24"/>
      <c r="AC566" s="21"/>
    </row>
    <row r="567" spans="1:29" ht="12.75">
      <c r="A567" s="21" t="s">
        <v>576</v>
      </c>
      <c r="B567" s="53" t="s">
        <v>645</v>
      </c>
      <c r="C567" s="54">
        <v>226806</v>
      </c>
      <c r="D567" s="74">
        <v>7</v>
      </c>
      <c r="E567" s="50">
        <v>0</v>
      </c>
      <c r="F567" s="50"/>
      <c r="G567" s="50">
        <v>0</v>
      </c>
      <c r="H567" s="50"/>
      <c r="I567" s="50">
        <v>0</v>
      </c>
      <c r="J567" s="50"/>
      <c r="K567" s="50">
        <v>0</v>
      </c>
      <c r="L567" s="50"/>
      <c r="M567" s="50">
        <v>0</v>
      </c>
      <c r="N567" s="50"/>
      <c r="O567" s="50">
        <v>88</v>
      </c>
      <c r="P567" s="51">
        <v>37570</v>
      </c>
      <c r="Q567" s="34"/>
      <c r="R567" s="28"/>
      <c r="S567" s="28"/>
      <c r="T567" s="28"/>
      <c r="U567" s="28"/>
      <c r="V567" s="28"/>
      <c r="W567" s="28"/>
      <c r="X567" s="28"/>
      <c r="Y567" s="28"/>
      <c r="Z567" s="24"/>
      <c r="AA567" s="35"/>
      <c r="AB567" s="24"/>
      <c r="AC567" s="21"/>
    </row>
    <row r="568" spans="1:29" ht="12.75">
      <c r="A568" s="21" t="s">
        <v>576</v>
      </c>
      <c r="B568" s="53" t="s">
        <v>646</v>
      </c>
      <c r="C568" s="54">
        <v>226930</v>
      </c>
      <c r="D568" s="74">
        <v>7</v>
      </c>
      <c r="E568" s="50">
        <v>0</v>
      </c>
      <c r="F568" s="50"/>
      <c r="G568" s="50">
        <v>0</v>
      </c>
      <c r="H568" s="50"/>
      <c r="I568" s="50">
        <v>0</v>
      </c>
      <c r="J568" s="50"/>
      <c r="K568" s="50">
        <v>0</v>
      </c>
      <c r="L568" s="50"/>
      <c r="M568" s="50">
        <v>0</v>
      </c>
      <c r="N568" s="50"/>
      <c r="O568" s="50">
        <v>0</v>
      </c>
      <c r="P568" s="51" t="s">
        <v>65</v>
      </c>
      <c r="Q568" s="34"/>
      <c r="R568" s="28"/>
      <c r="S568" s="28"/>
      <c r="T568" s="28"/>
      <c r="U568" s="28"/>
      <c r="V568" s="28"/>
      <c r="W568" s="28"/>
      <c r="X568" s="28"/>
      <c r="Y568" s="28"/>
      <c r="Z568" s="24"/>
      <c r="AA568" s="35"/>
      <c r="AB568" s="24"/>
      <c r="AC568" s="21"/>
    </row>
    <row r="569" spans="1:29" ht="12.75">
      <c r="A569" s="21" t="s">
        <v>576</v>
      </c>
      <c r="B569" s="53" t="s">
        <v>647</v>
      </c>
      <c r="C569" s="54">
        <v>227146</v>
      </c>
      <c r="D569" s="74">
        <v>7</v>
      </c>
      <c r="E569" s="50">
        <v>0</v>
      </c>
      <c r="F569" s="50"/>
      <c r="G569" s="50">
        <v>0</v>
      </c>
      <c r="H569" s="50"/>
      <c r="I569" s="50">
        <v>0</v>
      </c>
      <c r="J569" s="50"/>
      <c r="K569" s="50">
        <v>0</v>
      </c>
      <c r="L569" s="50"/>
      <c r="M569" s="50">
        <v>0</v>
      </c>
      <c r="N569" s="50"/>
      <c r="O569" s="50">
        <v>76</v>
      </c>
      <c r="P569" s="51">
        <v>37166</v>
      </c>
      <c r="Q569" s="34"/>
      <c r="R569" s="28"/>
      <c r="S569" s="28"/>
      <c r="T569" s="28"/>
      <c r="U569" s="28"/>
      <c r="V569" s="28"/>
      <c r="W569" s="28"/>
      <c r="X569" s="28"/>
      <c r="Y569" s="28"/>
      <c r="Z569" s="24"/>
      <c r="AA569" s="35"/>
      <c r="AB569" s="24"/>
      <c r="AC569" s="21"/>
    </row>
    <row r="570" spans="1:29" ht="12.75">
      <c r="A570" s="21" t="s">
        <v>576</v>
      </c>
      <c r="B570" s="53" t="s">
        <v>648</v>
      </c>
      <c r="C570" s="54">
        <v>224110</v>
      </c>
      <c r="D570" s="74">
        <v>7</v>
      </c>
      <c r="E570" s="50">
        <v>0</v>
      </c>
      <c r="F570" s="50"/>
      <c r="G570" s="50">
        <v>0</v>
      </c>
      <c r="H570" s="50"/>
      <c r="I570" s="50">
        <v>0</v>
      </c>
      <c r="J570" s="50"/>
      <c r="K570" s="50">
        <v>0</v>
      </c>
      <c r="L570" s="50"/>
      <c r="M570" s="50">
        <v>0</v>
      </c>
      <c r="N570" s="50"/>
      <c r="O570" s="50">
        <v>86</v>
      </c>
      <c r="P570" s="51">
        <v>33257</v>
      </c>
      <c r="Q570" s="34"/>
      <c r="R570" s="28"/>
      <c r="S570" s="28"/>
      <c r="T570" s="28"/>
      <c r="U570" s="28"/>
      <c r="V570" s="28"/>
      <c r="W570" s="28"/>
      <c r="X570" s="28"/>
      <c r="Y570" s="28"/>
      <c r="Z570" s="24"/>
      <c r="AA570" s="35"/>
      <c r="AB570" s="24"/>
      <c r="AC570" s="21"/>
    </row>
    <row r="571" spans="1:29" ht="12.75">
      <c r="A571" s="21" t="s">
        <v>576</v>
      </c>
      <c r="B571" s="53" t="s">
        <v>649</v>
      </c>
      <c r="C571" s="54">
        <v>227182</v>
      </c>
      <c r="D571" s="74">
        <v>7</v>
      </c>
      <c r="E571" s="50">
        <v>0</v>
      </c>
      <c r="F571" s="50"/>
      <c r="G571" s="50">
        <v>0</v>
      </c>
      <c r="H571" s="50"/>
      <c r="I571" s="50">
        <v>0</v>
      </c>
      <c r="J571" s="50"/>
      <c r="K571" s="50">
        <v>0</v>
      </c>
      <c r="L571" s="50"/>
      <c r="M571" s="50">
        <v>0</v>
      </c>
      <c r="N571" s="50"/>
      <c r="O571" s="50">
        <v>325</v>
      </c>
      <c r="P571" s="51">
        <v>40772</v>
      </c>
      <c r="Q571" s="34"/>
      <c r="R571" s="28"/>
      <c r="S571" s="28"/>
      <c r="T571" s="28"/>
      <c r="U571" s="28"/>
      <c r="V571" s="28"/>
      <c r="W571" s="28"/>
      <c r="X571" s="28"/>
      <c r="Y571" s="28"/>
      <c r="Z571" s="24"/>
      <c r="AA571" s="35"/>
      <c r="AB571" s="24"/>
      <c r="AC571" s="21"/>
    </row>
    <row r="572" spans="1:29" ht="12.75">
      <c r="A572" s="21" t="s">
        <v>576</v>
      </c>
      <c r="B572" s="53" t="s">
        <v>650</v>
      </c>
      <c r="C572" s="54">
        <v>227191</v>
      </c>
      <c r="D572" s="74">
        <v>7</v>
      </c>
      <c r="E572" s="50">
        <v>0</v>
      </c>
      <c r="F572" s="50"/>
      <c r="G572" s="50">
        <v>0</v>
      </c>
      <c r="H572" s="50"/>
      <c r="I572" s="50">
        <v>0</v>
      </c>
      <c r="J572" s="50"/>
      <c r="K572" s="50">
        <v>0</v>
      </c>
      <c r="L572" s="50"/>
      <c r="M572" s="50">
        <v>0</v>
      </c>
      <c r="N572" s="50"/>
      <c r="O572" s="50">
        <v>0</v>
      </c>
      <c r="P572" s="51" t="s">
        <v>65</v>
      </c>
      <c r="Q572" s="34"/>
      <c r="R572" s="28"/>
      <c r="S572" s="28"/>
      <c r="T572" s="28"/>
      <c r="U572" s="28"/>
      <c r="V572" s="28"/>
      <c r="W572" s="28"/>
      <c r="X572" s="28"/>
      <c r="Y572" s="28"/>
      <c r="Z572" s="24"/>
      <c r="AA572" s="35"/>
      <c r="AB572" s="24"/>
      <c r="AC572" s="21"/>
    </row>
    <row r="573" spans="1:29" ht="12.75">
      <c r="A573" s="21" t="s">
        <v>576</v>
      </c>
      <c r="B573" s="53" t="s">
        <v>651</v>
      </c>
      <c r="C573" s="54">
        <v>227225</v>
      </c>
      <c r="D573" s="74">
        <v>7</v>
      </c>
      <c r="E573" s="50">
        <v>0</v>
      </c>
      <c r="F573" s="50"/>
      <c r="G573" s="50">
        <v>0</v>
      </c>
      <c r="H573" s="50"/>
      <c r="I573" s="50">
        <v>0</v>
      </c>
      <c r="J573" s="50"/>
      <c r="K573" s="50">
        <v>0</v>
      </c>
      <c r="L573" s="50"/>
      <c r="M573" s="50">
        <v>0</v>
      </c>
      <c r="N573" s="50"/>
      <c r="O573" s="50">
        <v>46</v>
      </c>
      <c r="P573" s="51">
        <v>34907</v>
      </c>
      <c r="Q573" s="34"/>
      <c r="R573" s="28"/>
      <c r="S573" s="28"/>
      <c r="T573" s="28"/>
      <c r="U573" s="28"/>
      <c r="V573" s="28"/>
      <c r="W573" s="28"/>
      <c r="X573" s="28"/>
      <c r="Y573" s="28"/>
      <c r="Z573" s="24"/>
      <c r="AA573" s="35"/>
      <c r="AB573" s="24"/>
      <c r="AC573" s="21"/>
    </row>
    <row r="574" spans="1:29" ht="12.75">
      <c r="A574" s="21" t="s">
        <v>576</v>
      </c>
      <c r="B574" s="53" t="s">
        <v>652</v>
      </c>
      <c r="C574" s="54">
        <v>420398</v>
      </c>
      <c r="D574" s="74">
        <v>7</v>
      </c>
      <c r="E574" s="50">
        <v>0</v>
      </c>
      <c r="F574" s="50"/>
      <c r="G574" s="50">
        <v>0</v>
      </c>
      <c r="H574" s="50"/>
      <c r="I574" s="50">
        <v>0</v>
      </c>
      <c r="J574" s="50"/>
      <c r="K574" s="50">
        <v>0</v>
      </c>
      <c r="L574" s="50"/>
      <c r="M574" s="50">
        <v>0</v>
      </c>
      <c r="N574" s="50"/>
      <c r="O574" s="50">
        <v>0</v>
      </c>
      <c r="P574" s="51" t="s">
        <v>65</v>
      </c>
      <c r="Q574" s="34"/>
      <c r="R574" s="28"/>
      <c r="S574" s="28"/>
      <c r="T574" s="28"/>
      <c r="U574" s="28"/>
      <c r="V574" s="28"/>
      <c r="W574" s="28"/>
      <c r="X574" s="28"/>
      <c r="Y574" s="28"/>
      <c r="Z574" s="24"/>
      <c r="AA574" s="35"/>
      <c r="AB574" s="24"/>
      <c r="AC574" s="21"/>
    </row>
    <row r="575" spans="1:29" ht="12.75">
      <c r="A575" s="21" t="s">
        <v>576</v>
      </c>
      <c r="B575" s="53" t="s">
        <v>653</v>
      </c>
      <c r="C575" s="54">
        <v>227304</v>
      </c>
      <c r="D575" s="74">
        <v>7</v>
      </c>
      <c r="E575" s="50">
        <v>0</v>
      </c>
      <c r="F575" s="50"/>
      <c r="G575" s="50">
        <v>0</v>
      </c>
      <c r="H575" s="50"/>
      <c r="I575" s="50">
        <v>0</v>
      </c>
      <c r="J575" s="50"/>
      <c r="K575" s="50">
        <v>0</v>
      </c>
      <c r="L575" s="50"/>
      <c r="M575" s="50">
        <v>0</v>
      </c>
      <c r="N575" s="50"/>
      <c r="O575" s="50">
        <v>139</v>
      </c>
      <c r="P575" s="51">
        <v>35438</v>
      </c>
      <c r="Q575" s="34"/>
      <c r="R575" s="28"/>
      <c r="S575" s="28"/>
      <c r="T575" s="28"/>
      <c r="U575" s="28"/>
      <c r="V575" s="28"/>
      <c r="W575" s="28"/>
      <c r="X575" s="28"/>
      <c r="Y575" s="28"/>
      <c r="Z575" s="24"/>
      <c r="AA575" s="35"/>
      <c r="AB575" s="24"/>
      <c r="AC575" s="21"/>
    </row>
    <row r="576" spans="1:29" ht="12.75">
      <c r="A576" s="21" t="s">
        <v>576</v>
      </c>
      <c r="B576" s="53" t="s">
        <v>654</v>
      </c>
      <c r="C576" s="54">
        <v>246354</v>
      </c>
      <c r="D576" s="74">
        <v>7</v>
      </c>
      <c r="E576" s="50">
        <v>0</v>
      </c>
      <c r="F576" s="50"/>
      <c r="G576" s="50">
        <v>0</v>
      </c>
      <c r="H576" s="50"/>
      <c r="I576" s="50">
        <v>0</v>
      </c>
      <c r="J576" s="50"/>
      <c r="K576" s="50">
        <v>0</v>
      </c>
      <c r="L576" s="50"/>
      <c r="M576" s="50">
        <v>0</v>
      </c>
      <c r="N576" s="50"/>
      <c r="O576" s="50">
        <v>0</v>
      </c>
      <c r="P576" s="51" t="s">
        <v>65</v>
      </c>
      <c r="Q576" s="34"/>
      <c r="R576" s="28"/>
      <c r="S576" s="28"/>
      <c r="T576" s="28"/>
      <c r="U576" s="28"/>
      <c r="V576" s="28"/>
      <c r="W576" s="28"/>
      <c r="X576" s="28"/>
      <c r="Y576" s="28"/>
      <c r="Z576" s="24"/>
      <c r="AA576" s="35"/>
      <c r="AB576" s="24"/>
      <c r="AC576" s="21"/>
    </row>
    <row r="577" spans="1:29" ht="12.75">
      <c r="A577" s="21" t="s">
        <v>576</v>
      </c>
      <c r="B577" s="53" t="s">
        <v>655</v>
      </c>
      <c r="C577" s="54">
        <v>227386</v>
      </c>
      <c r="D577" s="74">
        <v>7</v>
      </c>
      <c r="E577" s="50">
        <v>0</v>
      </c>
      <c r="F577" s="50"/>
      <c r="G577" s="50">
        <v>0</v>
      </c>
      <c r="H577" s="50"/>
      <c r="I577" s="50">
        <v>0</v>
      </c>
      <c r="J577" s="50"/>
      <c r="K577" s="50">
        <v>0</v>
      </c>
      <c r="L577" s="50"/>
      <c r="M577" s="50">
        <v>0</v>
      </c>
      <c r="N577" s="50"/>
      <c r="O577" s="50">
        <v>60</v>
      </c>
      <c r="P577" s="51">
        <v>36073</v>
      </c>
      <c r="Q577" s="34"/>
      <c r="R577" s="28"/>
      <c r="S577" s="28"/>
      <c r="T577" s="28"/>
      <c r="U577" s="28"/>
      <c r="V577" s="28"/>
      <c r="W577" s="28"/>
      <c r="X577" s="28"/>
      <c r="Y577" s="28"/>
      <c r="Z577" s="24"/>
      <c r="AA577" s="35"/>
      <c r="AB577" s="24"/>
      <c r="AC577" s="21"/>
    </row>
    <row r="578" spans="1:29" ht="12.75">
      <c r="A578" s="21" t="s">
        <v>576</v>
      </c>
      <c r="B578" s="53" t="s">
        <v>656</v>
      </c>
      <c r="C578" s="54">
        <v>227401</v>
      </c>
      <c r="D578" s="74">
        <v>7</v>
      </c>
      <c r="E578" s="50">
        <v>0</v>
      </c>
      <c r="F578" s="50"/>
      <c r="G578" s="50">
        <v>0</v>
      </c>
      <c r="H578" s="50"/>
      <c r="I578" s="50">
        <v>0</v>
      </c>
      <c r="J578" s="50"/>
      <c r="K578" s="50">
        <v>0</v>
      </c>
      <c r="L578" s="50"/>
      <c r="M578" s="50">
        <v>0</v>
      </c>
      <c r="N578" s="50"/>
      <c r="O578" s="50">
        <v>80</v>
      </c>
      <c r="P578" s="51">
        <v>33189</v>
      </c>
      <c r="Q578" s="34"/>
      <c r="R578" s="28"/>
      <c r="S578" s="28"/>
      <c r="T578" s="28"/>
      <c r="U578" s="28"/>
      <c r="V578" s="28"/>
      <c r="W578" s="28"/>
      <c r="X578" s="28"/>
      <c r="Y578" s="28"/>
      <c r="Z578" s="24"/>
      <c r="AA578" s="35"/>
      <c r="AB578" s="24"/>
      <c r="AC578" s="21"/>
    </row>
    <row r="579" spans="1:29" ht="12.75">
      <c r="A579" s="21" t="s">
        <v>576</v>
      </c>
      <c r="B579" s="53" t="s">
        <v>657</v>
      </c>
      <c r="C579" s="54">
        <v>227687</v>
      </c>
      <c r="D579" s="74">
        <v>7</v>
      </c>
      <c r="E579" s="50">
        <v>0</v>
      </c>
      <c r="F579" s="50"/>
      <c r="G579" s="50">
        <v>0</v>
      </c>
      <c r="H579" s="50"/>
      <c r="I579" s="50">
        <v>0</v>
      </c>
      <c r="J579" s="50"/>
      <c r="K579" s="50">
        <v>0</v>
      </c>
      <c r="L579" s="50"/>
      <c r="M579" s="50">
        <v>0</v>
      </c>
      <c r="N579" s="50"/>
      <c r="O579" s="50">
        <v>28</v>
      </c>
      <c r="P579" s="51">
        <v>26105</v>
      </c>
      <c r="Q579" s="34"/>
      <c r="R579" s="28"/>
      <c r="S579" s="28"/>
      <c r="T579" s="28"/>
      <c r="U579" s="28"/>
      <c r="V579" s="28"/>
      <c r="W579" s="28"/>
      <c r="X579" s="28"/>
      <c r="Y579" s="28"/>
      <c r="Z579" s="24"/>
      <c r="AA579" s="35"/>
      <c r="AB579" s="24"/>
      <c r="AC579" s="21"/>
    </row>
    <row r="580" spans="1:29" ht="12.75">
      <c r="A580" s="21" t="s">
        <v>576</v>
      </c>
      <c r="B580" s="53" t="s">
        <v>658</v>
      </c>
      <c r="C580" s="54">
        <v>227766</v>
      </c>
      <c r="D580" s="74">
        <v>7</v>
      </c>
      <c r="E580" s="50">
        <v>0</v>
      </c>
      <c r="F580" s="50"/>
      <c r="G580" s="50">
        <v>0</v>
      </c>
      <c r="H580" s="50"/>
      <c r="I580" s="50">
        <v>0</v>
      </c>
      <c r="J580" s="50"/>
      <c r="K580" s="50">
        <v>0</v>
      </c>
      <c r="L580" s="50"/>
      <c r="M580" s="50">
        <v>0</v>
      </c>
      <c r="N580" s="50"/>
      <c r="O580" s="50">
        <v>0</v>
      </c>
      <c r="P580" s="51" t="s">
        <v>65</v>
      </c>
      <c r="Q580" s="34"/>
      <c r="R580" s="28"/>
      <c r="S580" s="28"/>
      <c r="T580" s="28"/>
      <c r="U580" s="28"/>
      <c r="V580" s="28"/>
      <c r="W580" s="28"/>
      <c r="X580" s="28"/>
      <c r="Y580" s="28"/>
      <c r="Z580" s="24"/>
      <c r="AA580" s="35"/>
      <c r="AB580" s="24"/>
      <c r="AC580" s="21"/>
    </row>
    <row r="581" spans="1:29" ht="12.75">
      <c r="A581" s="21" t="s">
        <v>576</v>
      </c>
      <c r="B581" s="53" t="s">
        <v>659</v>
      </c>
      <c r="C581" s="54">
        <v>227924</v>
      </c>
      <c r="D581" s="74">
        <v>7</v>
      </c>
      <c r="E581" s="50">
        <v>0</v>
      </c>
      <c r="F581" s="50"/>
      <c r="G581" s="50">
        <v>0</v>
      </c>
      <c r="H581" s="50"/>
      <c r="I581" s="50">
        <v>0</v>
      </c>
      <c r="J581" s="50"/>
      <c r="K581" s="50">
        <v>0</v>
      </c>
      <c r="L581" s="50"/>
      <c r="M581" s="50">
        <v>0</v>
      </c>
      <c r="N581" s="50"/>
      <c r="O581" s="50">
        <v>0</v>
      </c>
      <c r="P581" s="51" t="s">
        <v>65</v>
      </c>
      <c r="Q581" s="34"/>
      <c r="R581" s="28"/>
      <c r="S581" s="28"/>
      <c r="T581" s="28"/>
      <c r="U581" s="28"/>
      <c r="V581" s="28"/>
      <c r="W581" s="28"/>
      <c r="X581" s="28"/>
      <c r="Y581" s="28"/>
      <c r="Z581" s="24"/>
      <c r="AA581" s="35"/>
      <c r="AB581" s="24"/>
      <c r="AC581" s="21"/>
    </row>
    <row r="582" spans="1:29" ht="12.75">
      <c r="A582" s="21" t="s">
        <v>576</v>
      </c>
      <c r="B582" s="53" t="s">
        <v>660</v>
      </c>
      <c r="C582" s="54">
        <v>227979</v>
      </c>
      <c r="D582" s="74">
        <v>7</v>
      </c>
      <c r="E582" s="50">
        <v>0</v>
      </c>
      <c r="F582" s="50"/>
      <c r="G582" s="50">
        <v>0</v>
      </c>
      <c r="H582" s="50"/>
      <c r="I582" s="50">
        <v>0</v>
      </c>
      <c r="J582" s="50"/>
      <c r="K582" s="50">
        <v>0</v>
      </c>
      <c r="L582" s="50"/>
      <c r="M582" s="50">
        <v>0</v>
      </c>
      <c r="N582" s="50"/>
      <c r="O582" s="50">
        <v>414</v>
      </c>
      <c r="P582" s="51">
        <v>36511</v>
      </c>
      <c r="Q582" s="34"/>
      <c r="R582" s="28"/>
      <c r="S582" s="28"/>
      <c r="T582" s="28"/>
      <c r="U582" s="28"/>
      <c r="V582" s="28"/>
      <c r="W582" s="28"/>
      <c r="X582" s="28"/>
      <c r="Y582" s="28"/>
      <c r="Z582" s="24"/>
      <c r="AA582" s="35"/>
      <c r="AB582" s="24"/>
      <c r="AC582" s="21"/>
    </row>
    <row r="583" spans="1:29" ht="12.75">
      <c r="A583" s="21" t="s">
        <v>576</v>
      </c>
      <c r="B583" s="53" t="s">
        <v>661</v>
      </c>
      <c r="C583" s="54">
        <v>228158</v>
      </c>
      <c r="D583" s="74">
        <v>7</v>
      </c>
      <c r="E583" s="50">
        <v>0</v>
      </c>
      <c r="F583" s="50"/>
      <c r="G583" s="50">
        <v>0</v>
      </c>
      <c r="H583" s="50"/>
      <c r="I583" s="50">
        <v>0</v>
      </c>
      <c r="J583" s="50"/>
      <c r="K583" s="50">
        <v>0</v>
      </c>
      <c r="L583" s="50"/>
      <c r="M583" s="50">
        <v>0</v>
      </c>
      <c r="N583" s="50"/>
      <c r="O583" s="50">
        <v>196</v>
      </c>
      <c r="P583" s="51">
        <v>34553</v>
      </c>
      <c r="Q583" s="34"/>
      <c r="R583" s="28"/>
      <c r="S583" s="28"/>
      <c r="T583" s="28"/>
      <c r="U583" s="28"/>
      <c r="V583" s="28"/>
      <c r="W583" s="28"/>
      <c r="X583" s="28"/>
      <c r="Y583" s="28"/>
      <c r="Z583" s="24"/>
      <c r="AA583" s="35"/>
      <c r="AB583" s="24"/>
      <c r="AC583" s="21"/>
    </row>
    <row r="584" spans="1:29" ht="12.75">
      <c r="A584" s="21" t="s">
        <v>576</v>
      </c>
      <c r="B584" s="53" t="s">
        <v>662</v>
      </c>
      <c r="C584" s="54">
        <v>409315</v>
      </c>
      <c r="D584" s="74">
        <v>7</v>
      </c>
      <c r="E584" s="50">
        <v>0</v>
      </c>
      <c r="F584" s="50"/>
      <c r="G584" s="50">
        <v>0</v>
      </c>
      <c r="H584" s="50"/>
      <c r="I584" s="50">
        <v>0</v>
      </c>
      <c r="J584" s="50"/>
      <c r="K584" s="50">
        <v>0</v>
      </c>
      <c r="L584" s="50"/>
      <c r="M584" s="50">
        <v>0</v>
      </c>
      <c r="N584" s="50"/>
      <c r="O584" s="50">
        <v>130</v>
      </c>
      <c r="P584" s="51">
        <v>33132</v>
      </c>
      <c r="Q584" s="34"/>
      <c r="R584" s="28"/>
      <c r="S584" s="28"/>
      <c r="T584" s="28"/>
      <c r="U584" s="28"/>
      <c r="V584" s="28"/>
      <c r="W584" s="28"/>
      <c r="X584" s="28"/>
      <c r="Y584" s="28"/>
      <c r="Z584" s="24"/>
      <c r="AA584" s="35"/>
      <c r="AB584" s="24"/>
      <c r="AC584" s="21"/>
    </row>
    <row r="585" spans="1:29" ht="12.75">
      <c r="A585" s="21" t="s">
        <v>576</v>
      </c>
      <c r="B585" s="53" t="s">
        <v>663</v>
      </c>
      <c r="C585" s="54">
        <v>228316</v>
      </c>
      <c r="D585" s="74">
        <v>7</v>
      </c>
      <c r="E585" s="50">
        <v>0</v>
      </c>
      <c r="F585" s="50"/>
      <c r="G585" s="50">
        <v>0</v>
      </c>
      <c r="H585" s="50"/>
      <c r="I585" s="50">
        <v>0</v>
      </c>
      <c r="J585" s="50"/>
      <c r="K585" s="50">
        <v>0</v>
      </c>
      <c r="L585" s="50"/>
      <c r="M585" s="50">
        <v>0</v>
      </c>
      <c r="N585" s="50"/>
      <c r="O585" s="50">
        <v>75</v>
      </c>
      <c r="P585" s="51">
        <v>39024</v>
      </c>
      <c r="Q585" s="34"/>
      <c r="R585" s="28"/>
      <c r="S585" s="28"/>
      <c r="T585" s="28"/>
      <c r="U585" s="28"/>
      <c r="V585" s="28"/>
      <c r="W585" s="28"/>
      <c r="X585" s="28"/>
      <c r="Y585" s="28"/>
      <c r="Z585" s="24"/>
      <c r="AA585" s="35"/>
      <c r="AB585" s="24"/>
      <c r="AC585" s="21"/>
    </row>
    <row r="586" spans="1:29" ht="12.75">
      <c r="A586" s="21" t="s">
        <v>576</v>
      </c>
      <c r="B586" s="53" t="s">
        <v>664</v>
      </c>
      <c r="C586" s="54">
        <v>227854</v>
      </c>
      <c r="D586" s="74">
        <v>7</v>
      </c>
      <c r="E586" s="50">
        <v>0</v>
      </c>
      <c r="F586" s="50"/>
      <c r="G586" s="50">
        <v>0</v>
      </c>
      <c r="H586" s="50"/>
      <c r="I586" s="50">
        <v>0</v>
      </c>
      <c r="J586" s="50"/>
      <c r="K586" s="50">
        <v>0</v>
      </c>
      <c r="L586" s="50"/>
      <c r="M586" s="50">
        <v>0</v>
      </c>
      <c r="N586" s="50" t="s">
        <v>65</v>
      </c>
      <c r="O586" s="50">
        <v>0</v>
      </c>
      <c r="P586" s="51" t="s">
        <v>65</v>
      </c>
      <c r="Q586" s="34"/>
      <c r="R586" s="28"/>
      <c r="S586" s="28"/>
      <c r="T586" s="28"/>
      <c r="U586" s="28"/>
      <c r="V586" s="28"/>
      <c r="W586" s="28"/>
      <c r="X586" s="28"/>
      <c r="Y586" s="28"/>
      <c r="Z586" s="24"/>
      <c r="AA586" s="35"/>
      <c r="AB586" s="24"/>
      <c r="AC586" s="21"/>
    </row>
    <row r="587" spans="1:29" ht="12.75">
      <c r="A587" s="21" t="s">
        <v>576</v>
      </c>
      <c r="B587" s="53" t="s">
        <v>665</v>
      </c>
      <c r="C587" s="54">
        <v>228547</v>
      </c>
      <c r="D587" s="74">
        <v>7</v>
      </c>
      <c r="E587" s="50">
        <v>0</v>
      </c>
      <c r="F587" s="50"/>
      <c r="G587" s="50">
        <v>0</v>
      </c>
      <c r="H587" s="50"/>
      <c r="I587" s="50">
        <v>0</v>
      </c>
      <c r="J587" s="50"/>
      <c r="K587" s="50">
        <v>0</v>
      </c>
      <c r="L587" s="50"/>
      <c r="M587" s="50">
        <v>0</v>
      </c>
      <c r="N587" s="50" t="s">
        <v>65</v>
      </c>
      <c r="O587" s="50">
        <v>433</v>
      </c>
      <c r="P587" s="51">
        <v>41458</v>
      </c>
      <c r="Q587" s="34"/>
      <c r="R587" s="28"/>
      <c r="S587" s="28"/>
      <c r="T587" s="28"/>
      <c r="U587" s="28"/>
      <c r="V587" s="28"/>
      <c r="W587" s="28"/>
      <c r="X587" s="28"/>
      <c r="Y587" s="28"/>
      <c r="Z587" s="24"/>
      <c r="AA587" s="35"/>
      <c r="AB587" s="24"/>
      <c r="AC587" s="21"/>
    </row>
    <row r="588" spans="1:29" ht="12.75">
      <c r="A588" s="21" t="s">
        <v>576</v>
      </c>
      <c r="B588" s="53" t="s">
        <v>666</v>
      </c>
      <c r="C588" s="54">
        <v>228608</v>
      </c>
      <c r="D588" s="74">
        <v>7</v>
      </c>
      <c r="E588" s="50">
        <v>0</v>
      </c>
      <c r="F588" s="50"/>
      <c r="G588" s="50">
        <v>0</v>
      </c>
      <c r="H588" s="50"/>
      <c r="I588" s="50">
        <v>0</v>
      </c>
      <c r="J588" s="50"/>
      <c r="K588" s="50">
        <v>0</v>
      </c>
      <c r="L588" s="50"/>
      <c r="M588" s="50">
        <v>0</v>
      </c>
      <c r="N588" s="50" t="s">
        <v>65</v>
      </c>
      <c r="O588" s="50">
        <v>75</v>
      </c>
      <c r="P588" s="51">
        <v>38173</v>
      </c>
      <c r="Q588" s="34"/>
      <c r="R588" s="28"/>
      <c r="S588" s="28"/>
      <c r="T588" s="28"/>
      <c r="U588" s="28"/>
      <c r="V588" s="28"/>
      <c r="W588" s="28"/>
      <c r="X588" s="28"/>
      <c r="Y588" s="28"/>
      <c r="Z588" s="24"/>
      <c r="AA588" s="35"/>
      <c r="AB588" s="24"/>
      <c r="AC588" s="21"/>
    </row>
    <row r="589" spans="1:29" ht="12.75">
      <c r="A589" s="21" t="s">
        <v>576</v>
      </c>
      <c r="B589" s="53" t="s">
        <v>667</v>
      </c>
      <c r="C589" s="54">
        <v>228699</v>
      </c>
      <c r="D589" s="74">
        <v>7</v>
      </c>
      <c r="E589" s="50">
        <v>0</v>
      </c>
      <c r="F589" s="50"/>
      <c r="G589" s="50">
        <v>0</v>
      </c>
      <c r="H589" s="50"/>
      <c r="I589" s="50">
        <v>0</v>
      </c>
      <c r="J589" s="50"/>
      <c r="K589" s="50">
        <v>0</v>
      </c>
      <c r="L589" s="50"/>
      <c r="M589" s="50">
        <v>0</v>
      </c>
      <c r="N589" s="50" t="s">
        <v>65</v>
      </c>
      <c r="O589" s="50">
        <v>80</v>
      </c>
      <c r="P589" s="51">
        <v>40888</v>
      </c>
      <c r="Q589" s="34"/>
      <c r="R589" s="28"/>
      <c r="S589" s="28"/>
      <c r="T589" s="28"/>
      <c r="U589" s="28"/>
      <c r="V589" s="28"/>
      <c r="W589" s="28"/>
      <c r="X589" s="28"/>
      <c r="Y589" s="28"/>
      <c r="Z589" s="24"/>
      <c r="AA589" s="35"/>
      <c r="AB589" s="24"/>
      <c r="AC589" s="21"/>
    </row>
    <row r="590" spans="1:29" ht="12.75">
      <c r="A590" s="21" t="s">
        <v>576</v>
      </c>
      <c r="B590" s="53" t="s">
        <v>668</v>
      </c>
      <c r="C590" s="54">
        <v>229072</v>
      </c>
      <c r="D590" s="74">
        <v>7</v>
      </c>
      <c r="E590" s="50">
        <v>0</v>
      </c>
      <c r="F590" s="50"/>
      <c r="G590" s="50">
        <v>0</v>
      </c>
      <c r="H590" s="50"/>
      <c r="I590" s="50">
        <v>0</v>
      </c>
      <c r="J590" s="50"/>
      <c r="K590" s="50">
        <v>0</v>
      </c>
      <c r="L590" s="50"/>
      <c r="M590" s="50">
        <v>0</v>
      </c>
      <c r="N590" s="50" t="s">
        <v>65</v>
      </c>
      <c r="O590" s="50">
        <v>135</v>
      </c>
      <c r="P590" s="51">
        <v>40777</v>
      </c>
      <c r="Q590" s="34"/>
      <c r="R590" s="28"/>
      <c r="S590" s="28"/>
      <c r="T590" s="28"/>
      <c r="U590" s="28"/>
      <c r="V590" s="28"/>
      <c r="W590" s="28"/>
      <c r="X590" s="28"/>
      <c r="Y590" s="28"/>
      <c r="Z590" s="24"/>
      <c r="AA590" s="35"/>
      <c r="AB590" s="24"/>
      <c r="AC590" s="21"/>
    </row>
    <row r="591" spans="1:29" ht="12.75">
      <c r="A591" s="21" t="s">
        <v>576</v>
      </c>
      <c r="B591" s="53" t="s">
        <v>669</v>
      </c>
      <c r="C591" s="54">
        <v>228662</v>
      </c>
      <c r="D591" s="74">
        <v>7</v>
      </c>
      <c r="E591" s="50">
        <v>0</v>
      </c>
      <c r="F591" s="50"/>
      <c r="G591" s="50">
        <v>0</v>
      </c>
      <c r="H591" s="50"/>
      <c r="I591" s="50">
        <v>0</v>
      </c>
      <c r="J591" s="50"/>
      <c r="K591" s="50">
        <v>0</v>
      </c>
      <c r="L591" s="50"/>
      <c r="M591" s="50">
        <v>0</v>
      </c>
      <c r="N591" s="50" t="s">
        <v>65</v>
      </c>
      <c r="O591" s="50">
        <v>0</v>
      </c>
      <c r="P591" s="51" t="s">
        <v>65</v>
      </c>
      <c r="Q591" s="34"/>
      <c r="R591" s="28"/>
      <c r="S591" s="28"/>
      <c r="T591" s="28"/>
      <c r="U591" s="28"/>
      <c r="V591" s="28"/>
      <c r="W591" s="28"/>
      <c r="X591" s="28"/>
      <c r="Y591" s="28"/>
      <c r="Z591" s="24"/>
      <c r="AA591" s="35"/>
      <c r="AB591" s="24"/>
      <c r="AC591" s="21"/>
    </row>
    <row r="592" spans="1:29" ht="12.75">
      <c r="A592" s="21" t="s">
        <v>576</v>
      </c>
      <c r="B592" s="53" t="s">
        <v>670</v>
      </c>
      <c r="C592" s="54">
        <v>229319</v>
      </c>
      <c r="D592" s="74">
        <v>7</v>
      </c>
      <c r="E592" s="50">
        <v>0</v>
      </c>
      <c r="F592" s="50"/>
      <c r="G592" s="50">
        <v>0</v>
      </c>
      <c r="H592" s="50" t="s">
        <v>65</v>
      </c>
      <c r="I592" s="50">
        <v>0</v>
      </c>
      <c r="J592" s="50"/>
      <c r="K592" s="50">
        <v>0</v>
      </c>
      <c r="L592" s="50"/>
      <c r="M592" s="50">
        <v>0</v>
      </c>
      <c r="N592" s="50" t="s">
        <v>65</v>
      </c>
      <c r="O592" s="50">
        <v>154</v>
      </c>
      <c r="P592" s="51">
        <v>26182</v>
      </c>
      <c r="Q592" s="34"/>
      <c r="R592" s="28"/>
      <c r="S592" s="28"/>
      <c r="T592" s="28"/>
      <c r="U592" s="28"/>
      <c r="V592" s="28"/>
      <c r="W592" s="28"/>
      <c r="X592" s="28"/>
      <c r="Y592" s="28"/>
      <c r="Z592" s="24"/>
      <c r="AA592" s="35"/>
      <c r="AB592" s="24"/>
      <c r="AC592" s="21"/>
    </row>
    <row r="593" spans="1:29" ht="12.75">
      <c r="A593" s="21" t="s">
        <v>576</v>
      </c>
      <c r="B593" s="53" t="s">
        <v>671</v>
      </c>
      <c r="C593" s="54">
        <v>229328</v>
      </c>
      <c r="D593" s="74">
        <v>7</v>
      </c>
      <c r="E593" s="50">
        <v>0</v>
      </c>
      <c r="F593" s="50"/>
      <c r="G593" s="50">
        <v>0</v>
      </c>
      <c r="H593" s="50" t="s">
        <v>65</v>
      </c>
      <c r="I593" s="50">
        <v>0</v>
      </c>
      <c r="J593" s="50"/>
      <c r="K593" s="50">
        <v>0</v>
      </c>
      <c r="L593" s="50"/>
      <c r="M593" s="50">
        <v>0</v>
      </c>
      <c r="N593" s="50" t="s">
        <v>65</v>
      </c>
      <c r="O593" s="50">
        <v>85</v>
      </c>
      <c r="P593" s="51">
        <v>27417</v>
      </c>
      <c r="Q593" s="34"/>
      <c r="R593" s="28"/>
      <c r="S593" s="28"/>
      <c r="T593" s="28"/>
      <c r="U593" s="28"/>
      <c r="V593" s="28"/>
      <c r="W593" s="28"/>
      <c r="X593" s="28"/>
      <c r="Y593" s="28"/>
      <c r="Z593" s="24"/>
      <c r="AA593" s="35"/>
      <c r="AB593" s="24"/>
      <c r="AC593" s="21"/>
    </row>
    <row r="594" spans="1:29" ht="12.75">
      <c r="A594" s="21" t="s">
        <v>576</v>
      </c>
      <c r="B594" s="53" t="s">
        <v>672</v>
      </c>
      <c r="C594" s="54">
        <v>228680</v>
      </c>
      <c r="D594" s="74">
        <v>7</v>
      </c>
      <c r="E594" s="50">
        <v>0</v>
      </c>
      <c r="F594" s="50"/>
      <c r="G594" s="50">
        <v>0</v>
      </c>
      <c r="H594" s="50" t="s">
        <v>65</v>
      </c>
      <c r="I594" s="50">
        <v>0</v>
      </c>
      <c r="J594" s="50"/>
      <c r="K594" s="50">
        <v>0</v>
      </c>
      <c r="L594" s="50"/>
      <c r="M594" s="50">
        <v>0</v>
      </c>
      <c r="N594" s="50" t="s">
        <v>65</v>
      </c>
      <c r="O594" s="50">
        <v>240</v>
      </c>
      <c r="P594" s="51">
        <v>27655</v>
      </c>
      <c r="Q594" s="34"/>
      <c r="R594" s="28"/>
      <c r="S594" s="28"/>
      <c r="T594" s="28"/>
      <c r="U594" s="28"/>
      <c r="V594" s="28"/>
      <c r="W594" s="28"/>
      <c r="X594" s="28"/>
      <c r="Y594" s="28"/>
      <c r="Z594" s="24"/>
      <c r="AA594" s="35"/>
      <c r="AB594" s="24"/>
      <c r="AC594" s="21"/>
    </row>
    <row r="595" spans="1:29" ht="12.75">
      <c r="A595" s="21" t="s">
        <v>576</v>
      </c>
      <c r="B595" s="53" t="s">
        <v>673</v>
      </c>
      <c r="C595" s="54">
        <v>225308</v>
      </c>
      <c r="D595" s="74">
        <v>7</v>
      </c>
      <c r="E595" s="50">
        <v>0</v>
      </c>
      <c r="F595" s="50"/>
      <c r="G595" s="50">
        <v>0</v>
      </c>
      <c r="H595" s="50" t="s">
        <v>65</v>
      </c>
      <c r="I595" s="50">
        <v>0</v>
      </c>
      <c r="J595" s="50"/>
      <c r="K595" s="50">
        <v>0</v>
      </c>
      <c r="L595" s="50"/>
      <c r="M595" s="50">
        <v>0</v>
      </c>
      <c r="N595" s="50" t="s">
        <v>65</v>
      </c>
      <c r="O595" s="50">
        <v>121</v>
      </c>
      <c r="P595" s="51">
        <v>36994</v>
      </c>
      <c r="Q595" s="34"/>
      <c r="R595" s="28"/>
      <c r="S595" s="28"/>
      <c r="T595" s="28"/>
      <c r="U595" s="28"/>
      <c r="V595" s="28"/>
      <c r="W595" s="28"/>
      <c r="X595" s="28"/>
      <c r="Y595" s="28"/>
      <c r="Z595" s="24"/>
      <c r="AA595" s="35"/>
      <c r="AB595" s="24"/>
      <c r="AC595" s="21"/>
    </row>
    <row r="596" spans="1:29" ht="12.75">
      <c r="A596" s="21" t="s">
        <v>576</v>
      </c>
      <c r="B596" s="53" t="s">
        <v>674</v>
      </c>
      <c r="C596" s="54">
        <v>229355</v>
      </c>
      <c r="D596" s="74">
        <v>7</v>
      </c>
      <c r="E596" s="50">
        <v>0</v>
      </c>
      <c r="F596" s="50"/>
      <c r="G596" s="50">
        <v>0</v>
      </c>
      <c r="H596" s="50" t="s">
        <v>65</v>
      </c>
      <c r="I596" s="50">
        <v>0</v>
      </c>
      <c r="J596" s="50"/>
      <c r="K596" s="50">
        <v>0</v>
      </c>
      <c r="L596" s="50"/>
      <c r="M596" s="50">
        <v>0</v>
      </c>
      <c r="N596" s="50" t="s">
        <v>65</v>
      </c>
      <c r="O596" s="50">
        <v>195</v>
      </c>
      <c r="P596" s="51">
        <v>37536</v>
      </c>
      <c r="Q596" s="34"/>
      <c r="R596" s="28"/>
      <c r="S596" s="28"/>
      <c r="T596" s="28"/>
      <c r="U596" s="28"/>
      <c r="V596" s="28"/>
      <c r="W596" s="28"/>
      <c r="X596" s="28"/>
      <c r="Y596" s="28"/>
      <c r="Z596" s="24"/>
      <c r="AA596" s="35"/>
      <c r="AB596" s="24"/>
      <c r="AC596" s="21"/>
    </row>
    <row r="597" spans="1:29" ht="12.75">
      <c r="A597" s="21" t="s">
        <v>576</v>
      </c>
      <c r="B597" s="53" t="s">
        <v>675</v>
      </c>
      <c r="C597" s="54">
        <v>229504</v>
      </c>
      <c r="D597" s="74">
        <v>7</v>
      </c>
      <c r="E597" s="50">
        <v>0</v>
      </c>
      <c r="F597" s="50"/>
      <c r="G597" s="50">
        <v>0</v>
      </c>
      <c r="H597" s="50" t="s">
        <v>65</v>
      </c>
      <c r="I597" s="50">
        <v>0</v>
      </c>
      <c r="J597" s="50"/>
      <c r="K597" s="50">
        <v>0</v>
      </c>
      <c r="L597" s="50"/>
      <c r="M597" s="50">
        <v>0</v>
      </c>
      <c r="N597" s="50" t="s">
        <v>65</v>
      </c>
      <c r="O597" s="50">
        <v>56</v>
      </c>
      <c r="P597" s="51">
        <v>31604</v>
      </c>
      <c r="Q597" s="34"/>
      <c r="R597" s="28"/>
      <c r="S597" s="28"/>
      <c r="T597" s="28"/>
      <c r="U597" s="28"/>
      <c r="V597" s="28"/>
      <c r="W597" s="28"/>
      <c r="X597" s="28"/>
      <c r="Y597" s="28"/>
      <c r="Z597" s="24"/>
      <c r="AA597" s="35"/>
      <c r="AB597" s="24"/>
      <c r="AC597" s="21"/>
    </row>
    <row r="598" spans="1:29" ht="12.75">
      <c r="A598" s="21" t="s">
        <v>576</v>
      </c>
      <c r="B598" s="53" t="s">
        <v>676</v>
      </c>
      <c r="C598" s="54">
        <v>229540</v>
      </c>
      <c r="D598" s="74">
        <v>7</v>
      </c>
      <c r="E598" s="50">
        <v>0</v>
      </c>
      <c r="F598" s="50"/>
      <c r="G598" s="50">
        <v>0</v>
      </c>
      <c r="H598" s="50" t="s">
        <v>65</v>
      </c>
      <c r="I598" s="50">
        <v>0</v>
      </c>
      <c r="J598" s="50"/>
      <c r="K598" s="50">
        <v>0</v>
      </c>
      <c r="L598" s="50"/>
      <c r="M598" s="50">
        <v>0</v>
      </c>
      <c r="N598" s="50" t="s">
        <v>65</v>
      </c>
      <c r="O598" s="50">
        <v>100</v>
      </c>
      <c r="P598" s="51">
        <v>39243</v>
      </c>
      <c r="Q598" s="34"/>
      <c r="R598" s="28"/>
      <c r="S598" s="28"/>
      <c r="T598" s="28"/>
      <c r="U598" s="28"/>
      <c r="V598" s="28"/>
      <c r="W598" s="28"/>
      <c r="X598" s="28"/>
      <c r="Y598" s="28"/>
      <c r="Z598" s="24"/>
      <c r="AA598" s="35"/>
      <c r="AB598" s="24"/>
      <c r="AC598" s="21"/>
    </row>
    <row r="599" spans="1:29" ht="12.75">
      <c r="A599" s="21" t="s">
        <v>576</v>
      </c>
      <c r="B599" s="53" t="s">
        <v>677</v>
      </c>
      <c r="C599" s="54">
        <v>229799</v>
      </c>
      <c r="D599" s="74">
        <v>7</v>
      </c>
      <c r="E599" s="50">
        <v>0</v>
      </c>
      <c r="F599" s="50"/>
      <c r="G599" s="50">
        <v>0</v>
      </c>
      <c r="H599" s="50" t="s">
        <v>65</v>
      </c>
      <c r="I599" s="50">
        <v>0</v>
      </c>
      <c r="J599" s="50"/>
      <c r="K599" s="50">
        <v>0</v>
      </c>
      <c r="L599" s="50"/>
      <c r="M599" s="50">
        <v>0</v>
      </c>
      <c r="N599" s="50" t="s">
        <v>65</v>
      </c>
      <c r="O599" s="50">
        <v>53</v>
      </c>
      <c r="P599" s="51">
        <v>39074</v>
      </c>
      <c r="Q599" s="34"/>
      <c r="R599" s="28"/>
      <c r="S599" s="28"/>
      <c r="T599" s="28"/>
      <c r="U599" s="28"/>
      <c r="V599" s="28"/>
      <c r="W599" s="28"/>
      <c r="X599" s="28"/>
      <c r="Y599" s="28"/>
      <c r="Z599" s="24"/>
      <c r="AA599" s="35"/>
      <c r="AB599" s="24"/>
      <c r="AC599" s="21"/>
    </row>
    <row r="600" spans="1:29" ht="12.75">
      <c r="A600" s="21" t="s">
        <v>576</v>
      </c>
      <c r="B600" s="53" t="s">
        <v>678</v>
      </c>
      <c r="C600" s="54">
        <v>229832</v>
      </c>
      <c r="D600" s="74">
        <v>7</v>
      </c>
      <c r="E600" s="50">
        <v>0</v>
      </c>
      <c r="F600" s="50"/>
      <c r="G600" s="50">
        <v>0</v>
      </c>
      <c r="H600" s="50" t="s">
        <v>65</v>
      </c>
      <c r="I600" s="50">
        <v>0</v>
      </c>
      <c r="J600" s="50"/>
      <c r="K600" s="50">
        <v>0</v>
      </c>
      <c r="L600" s="50"/>
      <c r="M600" s="50">
        <v>0</v>
      </c>
      <c r="N600" s="50" t="s">
        <v>65</v>
      </c>
      <c r="O600" s="50">
        <v>42</v>
      </c>
      <c r="P600" s="51">
        <v>33641</v>
      </c>
      <c r="Q600" s="34"/>
      <c r="R600" s="28"/>
      <c r="S600" s="28"/>
      <c r="T600" s="28"/>
      <c r="U600" s="28"/>
      <c r="V600" s="28"/>
      <c r="W600" s="28"/>
      <c r="X600" s="28"/>
      <c r="Y600" s="28"/>
      <c r="Z600" s="24"/>
      <c r="AA600" s="35"/>
      <c r="AB600" s="24"/>
      <c r="AC600" s="21"/>
    </row>
    <row r="601" spans="1:29" ht="12.75">
      <c r="A601" s="21" t="s">
        <v>576</v>
      </c>
      <c r="B601" s="53" t="s">
        <v>679</v>
      </c>
      <c r="C601" s="54">
        <v>229841</v>
      </c>
      <c r="D601" s="74">
        <v>7</v>
      </c>
      <c r="E601" s="50">
        <v>0</v>
      </c>
      <c r="F601" s="50"/>
      <c r="G601" s="50">
        <v>0</v>
      </c>
      <c r="H601" s="50" t="s">
        <v>65</v>
      </c>
      <c r="I601" s="50">
        <v>0</v>
      </c>
      <c r="J601" s="50"/>
      <c r="K601" s="50">
        <v>0</v>
      </c>
      <c r="L601" s="50"/>
      <c r="M601" s="50">
        <v>0</v>
      </c>
      <c r="N601" s="50" t="s">
        <v>65</v>
      </c>
      <c r="O601" s="50">
        <v>95</v>
      </c>
      <c r="P601" s="51">
        <v>36416</v>
      </c>
      <c r="Q601" s="34"/>
      <c r="R601" s="28"/>
      <c r="S601" s="28"/>
      <c r="T601" s="28"/>
      <c r="U601" s="28"/>
      <c r="V601" s="28"/>
      <c r="W601" s="28"/>
      <c r="X601" s="28"/>
      <c r="Y601" s="28"/>
      <c r="Z601" s="24"/>
      <c r="AA601" s="35"/>
      <c r="AB601" s="24"/>
      <c r="AC601" s="21"/>
    </row>
    <row r="602" spans="1:29" ht="12.75">
      <c r="A602" s="21" t="s">
        <v>680</v>
      </c>
      <c r="B602" s="21" t="s">
        <v>681</v>
      </c>
      <c r="C602" s="22">
        <v>234076</v>
      </c>
      <c r="D602" s="22">
        <v>1</v>
      </c>
      <c r="E602" s="50">
        <v>360</v>
      </c>
      <c r="F602" s="50">
        <v>80825</v>
      </c>
      <c r="G602" s="50">
        <v>234</v>
      </c>
      <c r="H602" s="50">
        <v>56827</v>
      </c>
      <c r="I602" s="50">
        <v>211</v>
      </c>
      <c r="J602" s="50">
        <v>46220</v>
      </c>
      <c r="K602" s="50">
        <v>18</v>
      </c>
      <c r="L602" s="50">
        <v>34611</v>
      </c>
      <c r="M602" s="50">
        <v>24</v>
      </c>
      <c r="N602" s="50">
        <v>42050</v>
      </c>
      <c r="O602" s="50">
        <v>0</v>
      </c>
      <c r="P602" s="51">
        <v>0</v>
      </c>
      <c r="Q602" s="36">
        <v>110</v>
      </c>
      <c r="R602" s="50">
        <v>122247</v>
      </c>
      <c r="S602" s="50">
        <v>30</v>
      </c>
      <c r="T602" s="50">
        <v>74439</v>
      </c>
      <c r="U602" s="50">
        <v>9</v>
      </c>
      <c r="V602" s="50">
        <v>60100</v>
      </c>
      <c r="W602" s="50">
        <v>4</v>
      </c>
      <c r="X602" s="50">
        <v>45400</v>
      </c>
      <c r="Y602" s="50">
        <v>25</v>
      </c>
      <c r="Z602" s="51">
        <v>49711</v>
      </c>
      <c r="AA602" s="52">
        <v>0</v>
      </c>
      <c r="AB602" s="51">
        <v>0</v>
      </c>
      <c r="AC602" s="28"/>
    </row>
    <row r="603" spans="1:29" ht="12.75">
      <c r="A603" s="21" t="s">
        <v>680</v>
      </c>
      <c r="B603" s="21" t="s">
        <v>682</v>
      </c>
      <c r="C603" s="22">
        <v>233921</v>
      </c>
      <c r="D603" s="22">
        <v>1</v>
      </c>
      <c r="E603" s="23">
        <v>343</v>
      </c>
      <c r="F603" s="23">
        <v>75124</v>
      </c>
      <c r="G603" s="23">
        <v>330</v>
      </c>
      <c r="H603" s="23">
        <v>54285</v>
      </c>
      <c r="I603" s="23">
        <v>190</v>
      </c>
      <c r="J603" s="23">
        <v>48049</v>
      </c>
      <c r="K603" s="23">
        <v>75</v>
      </c>
      <c r="L603" s="23">
        <v>27538</v>
      </c>
      <c r="M603" s="23">
        <v>0</v>
      </c>
      <c r="N603" s="23">
        <v>0</v>
      </c>
      <c r="O603" s="50">
        <v>0</v>
      </c>
      <c r="P603" s="51">
        <v>0</v>
      </c>
      <c r="Q603" s="36">
        <v>259</v>
      </c>
      <c r="R603" s="23">
        <v>89040</v>
      </c>
      <c r="S603" s="23">
        <v>166</v>
      </c>
      <c r="T603" s="23">
        <v>64168</v>
      </c>
      <c r="U603" s="23">
        <v>43</v>
      </c>
      <c r="V603" s="23">
        <v>51972</v>
      </c>
      <c r="W603" s="23">
        <v>8</v>
      </c>
      <c r="X603" s="23">
        <v>49180</v>
      </c>
      <c r="Y603" s="23">
        <v>0</v>
      </c>
      <c r="Z603" s="26">
        <v>0</v>
      </c>
      <c r="AA603" s="52">
        <v>0</v>
      </c>
      <c r="AB603" s="51">
        <v>0</v>
      </c>
      <c r="AC603" s="28"/>
    </row>
    <row r="604" spans="1:29" ht="12.75">
      <c r="A604" s="21" t="s">
        <v>680</v>
      </c>
      <c r="B604" s="21" t="s">
        <v>683</v>
      </c>
      <c r="C604" s="22">
        <v>231624</v>
      </c>
      <c r="D604" s="22">
        <v>2</v>
      </c>
      <c r="E604" s="23">
        <v>178</v>
      </c>
      <c r="F604" s="23">
        <v>76061</v>
      </c>
      <c r="G604" s="23">
        <v>115</v>
      </c>
      <c r="H604" s="23">
        <v>54939</v>
      </c>
      <c r="I604" s="23">
        <v>122</v>
      </c>
      <c r="J604" s="23">
        <v>43396</v>
      </c>
      <c r="K604" s="23">
        <v>31</v>
      </c>
      <c r="L604" s="23">
        <v>34229</v>
      </c>
      <c r="M604" s="23">
        <v>0</v>
      </c>
      <c r="N604" s="23">
        <v>0</v>
      </c>
      <c r="O604" s="50">
        <v>0</v>
      </c>
      <c r="P604" s="51">
        <v>0</v>
      </c>
      <c r="Q604" s="36">
        <v>24</v>
      </c>
      <c r="R604" s="23">
        <v>80179</v>
      </c>
      <c r="S604" s="23">
        <v>16</v>
      </c>
      <c r="T604" s="23">
        <v>65556</v>
      </c>
      <c r="U604" s="23">
        <v>21</v>
      </c>
      <c r="V604" s="23">
        <v>50499</v>
      </c>
      <c r="W604" s="23">
        <v>0</v>
      </c>
      <c r="X604" s="23">
        <v>0</v>
      </c>
      <c r="Y604" s="23">
        <v>2</v>
      </c>
      <c r="Z604" s="26">
        <v>45500</v>
      </c>
      <c r="AA604" s="52">
        <v>0</v>
      </c>
      <c r="AB604" s="51">
        <v>0</v>
      </c>
      <c r="AC604" s="21"/>
    </row>
    <row r="605" spans="1:29" ht="12.75">
      <c r="A605" s="21" t="s">
        <v>680</v>
      </c>
      <c r="B605" s="21" t="s">
        <v>684</v>
      </c>
      <c r="C605" s="22">
        <v>232186</v>
      </c>
      <c r="D605" s="22">
        <v>2</v>
      </c>
      <c r="E605" s="23">
        <v>228</v>
      </c>
      <c r="F605" s="23">
        <v>80224</v>
      </c>
      <c r="G605" s="23">
        <v>252</v>
      </c>
      <c r="H605" s="23">
        <v>56744</v>
      </c>
      <c r="I605" s="23">
        <v>128</v>
      </c>
      <c r="J605" s="23">
        <v>44790</v>
      </c>
      <c r="K605" s="23">
        <v>56</v>
      </c>
      <c r="L605" s="23">
        <v>39401</v>
      </c>
      <c r="M605" s="23">
        <v>0</v>
      </c>
      <c r="N605" s="23">
        <v>0</v>
      </c>
      <c r="O605" s="50">
        <v>0</v>
      </c>
      <c r="P605" s="51">
        <v>0</v>
      </c>
      <c r="Q605" s="36">
        <v>31</v>
      </c>
      <c r="R605" s="23">
        <v>117379</v>
      </c>
      <c r="S605" s="23">
        <v>25</v>
      </c>
      <c r="T605" s="23">
        <v>75828</v>
      </c>
      <c r="U605" s="23">
        <v>21</v>
      </c>
      <c r="V605" s="23">
        <v>44920</v>
      </c>
      <c r="W605" s="23">
        <v>7</v>
      </c>
      <c r="X605" s="23">
        <v>50620</v>
      </c>
      <c r="Y605" s="23">
        <v>0</v>
      </c>
      <c r="Z605" s="26">
        <v>0</v>
      </c>
      <c r="AA605" s="52">
        <v>0</v>
      </c>
      <c r="AB605" s="51">
        <v>0</v>
      </c>
      <c r="AC605" s="28"/>
    </row>
    <row r="606" spans="1:29" ht="12.75">
      <c r="A606" s="21" t="s">
        <v>680</v>
      </c>
      <c r="B606" s="21" t="s">
        <v>685</v>
      </c>
      <c r="C606" s="22">
        <v>232982</v>
      </c>
      <c r="D606" s="22">
        <v>2</v>
      </c>
      <c r="E606" s="23">
        <v>141</v>
      </c>
      <c r="F606" s="23">
        <v>68918</v>
      </c>
      <c r="G606" s="23">
        <v>207</v>
      </c>
      <c r="H606" s="23">
        <v>51329</v>
      </c>
      <c r="I606" s="23">
        <v>136</v>
      </c>
      <c r="J606" s="23">
        <v>43757</v>
      </c>
      <c r="K606" s="23">
        <v>30</v>
      </c>
      <c r="L606" s="23">
        <v>30980</v>
      </c>
      <c r="M606" s="23">
        <v>44</v>
      </c>
      <c r="N606" s="23">
        <v>35430</v>
      </c>
      <c r="O606" s="50">
        <v>0</v>
      </c>
      <c r="P606" s="51">
        <v>0</v>
      </c>
      <c r="Q606" s="36">
        <v>12</v>
      </c>
      <c r="R606" s="23">
        <v>91010</v>
      </c>
      <c r="S606" s="23">
        <v>6</v>
      </c>
      <c r="T606" s="23">
        <v>67601</v>
      </c>
      <c r="U606" s="23">
        <v>5</v>
      </c>
      <c r="V606" s="23">
        <v>44900</v>
      </c>
      <c r="W606" s="23">
        <v>5</v>
      </c>
      <c r="X606" s="23">
        <v>41106</v>
      </c>
      <c r="Y606" s="23">
        <v>6</v>
      </c>
      <c r="Z606" s="26">
        <v>43100</v>
      </c>
      <c r="AA606" s="52">
        <v>0</v>
      </c>
      <c r="AB606" s="51">
        <v>0</v>
      </c>
      <c r="AC606" s="28"/>
    </row>
    <row r="607" spans="1:29" ht="12.75">
      <c r="A607" s="21" t="s">
        <v>680</v>
      </c>
      <c r="B607" s="21" t="s">
        <v>686</v>
      </c>
      <c r="C607" s="22">
        <v>234030</v>
      </c>
      <c r="D607" s="22">
        <v>2</v>
      </c>
      <c r="E607" s="23">
        <v>153</v>
      </c>
      <c r="F607" s="23">
        <v>69800</v>
      </c>
      <c r="G607" s="23">
        <v>207</v>
      </c>
      <c r="H607" s="23">
        <v>55390</v>
      </c>
      <c r="I607" s="23">
        <v>128</v>
      </c>
      <c r="J607" s="23">
        <v>43752</v>
      </c>
      <c r="K607" s="23">
        <v>17</v>
      </c>
      <c r="L607" s="23">
        <v>29988</v>
      </c>
      <c r="M607" s="23">
        <v>5</v>
      </c>
      <c r="N607" s="23">
        <v>31479</v>
      </c>
      <c r="O607" s="50">
        <v>0</v>
      </c>
      <c r="P607" s="51">
        <v>0</v>
      </c>
      <c r="Q607" s="36">
        <v>61</v>
      </c>
      <c r="R607" s="23">
        <v>89236</v>
      </c>
      <c r="S607" s="23">
        <v>102</v>
      </c>
      <c r="T607" s="23">
        <v>72902</v>
      </c>
      <c r="U607" s="23">
        <v>83</v>
      </c>
      <c r="V607" s="23">
        <v>56149</v>
      </c>
      <c r="W607" s="23">
        <v>13</v>
      </c>
      <c r="X607" s="23">
        <v>45991</v>
      </c>
      <c r="Y607" s="23">
        <v>1</v>
      </c>
      <c r="Z607" s="26">
        <v>33400</v>
      </c>
      <c r="AA607" s="52">
        <v>0</v>
      </c>
      <c r="AB607" s="51">
        <v>0</v>
      </c>
      <c r="AC607" s="28"/>
    </row>
    <row r="608" spans="1:29" ht="12.75">
      <c r="A608" s="21" t="s">
        <v>680</v>
      </c>
      <c r="B608" s="21" t="s">
        <v>687</v>
      </c>
      <c r="C608" s="22">
        <v>232423</v>
      </c>
      <c r="D608" s="22">
        <v>3</v>
      </c>
      <c r="E608" s="23">
        <v>185</v>
      </c>
      <c r="F608" s="23">
        <v>58823</v>
      </c>
      <c r="G608" s="23">
        <v>173</v>
      </c>
      <c r="H608" s="23">
        <v>50774</v>
      </c>
      <c r="I608" s="23">
        <v>153</v>
      </c>
      <c r="J608" s="23">
        <v>41301</v>
      </c>
      <c r="K608" s="23">
        <v>39</v>
      </c>
      <c r="L608" s="23">
        <v>32790</v>
      </c>
      <c r="M608" s="23">
        <v>0</v>
      </c>
      <c r="N608" s="23">
        <v>0</v>
      </c>
      <c r="O608" s="50">
        <v>0</v>
      </c>
      <c r="P608" s="51">
        <v>0</v>
      </c>
      <c r="Q608" s="36">
        <v>25</v>
      </c>
      <c r="R608" s="23">
        <v>76886</v>
      </c>
      <c r="S608" s="23">
        <v>4</v>
      </c>
      <c r="T608" s="23">
        <v>63599</v>
      </c>
      <c r="U608" s="23">
        <v>2</v>
      </c>
      <c r="V608" s="23">
        <v>60500</v>
      </c>
      <c r="W608" s="23">
        <v>0</v>
      </c>
      <c r="X608" s="23">
        <v>0</v>
      </c>
      <c r="Y608" s="23">
        <v>0</v>
      </c>
      <c r="Z608" s="26">
        <v>0</v>
      </c>
      <c r="AA608" s="52">
        <v>0</v>
      </c>
      <c r="AB608" s="51">
        <v>0</v>
      </c>
      <c r="AC608" s="28"/>
    </row>
    <row r="609" spans="1:29" ht="12.75">
      <c r="A609" s="21" t="s">
        <v>680</v>
      </c>
      <c r="B609" s="21" t="s">
        <v>688</v>
      </c>
      <c r="C609" s="22">
        <v>233277</v>
      </c>
      <c r="D609" s="22">
        <v>3</v>
      </c>
      <c r="E609" s="23">
        <v>135</v>
      </c>
      <c r="F609" s="23">
        <v>53542</v>
      </c>
      <c r="G609" s="23">
        <v>112</v>
      </c>
      <c r="H609" s="23">
        <v>43774</v>
      </c>
      <c r="I609" s="23">
        <v>83</v>
      </c>
      <c r="J609" s="23">
        <v>37609</v>
      </c>
      <c r="K609" s="23">
        <v>22</v>
      </c>
      <c r="L609" s="23">
        <v>28255</v>
      </c>
      <c r="M609" s="23">
        <v>0</v>
      </c>
      <c r="N609" s="23">
        <v>0</v>
      </c>
      <c r="O609" s="50">
        <v>0</v>
      </c>
      <c r="P609" s="51">
        <v>0</v>
      </c>
      <c r="Q609" s="36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6">
        <v>0</v>
      </c>
      <c r="AA609" s="52">
        <v>0</v>
      </c>
      <c r="AB609" s="51">
        <v>0</v>
      </c>
      <c r="AC609" s="28"/>
    </row>
    <row r="610" spans="1:29" ht="12.75">
      <c r="A610" s="21" t="s">
        <v>680</v>
      </c>
      <c r="B610" s="21" t="s">
        <v>689</v>
      </c>
      <c r="C610" s="22">
        <v>232937</v>
      </c>
      <c r="D610" s="22">
        <v>4</v>
      </c>
      <c r="E610" s="23">
        <v>67</v>
      </c>
      <c r="F610" s="23">
        <v>56315</v>
      </c>
      <c r="G610" s="23">
        <v>73</v>
      </c>
      <c r="H610" s="23">
        <v>49903</v>
      </c>
      <c r="I610" s="23">
        <v>108</v>
      </c>
      <c r="J610" s="23">
        <v>39605</v>
      </c>
      <c r="K610" s="23">
        <v>28</v>
      </c>
      <c r="L610" s="23">
        <v>32892</v>
      </c>
      <c r="M610" s="23">
        <v>1</v>
      </c>
      <c r="N610" s="23">
        <v>23500</v>
      </c>
      <c r="O610" s="50">
        <v>0</v>
      </c>
      <c r="P610" s="51">
        <v>0</v>
      </c>
      <c r="Q610" s="36">
        <v>14</v>
      </c>
      <c r="R610" s="23">
        <v>69428</v>
      </c>
      <c r="S610" s="23">
        <v>6</v>
      </c>
      <c r="T610" s="23">
        <v>68765</v>
      </c>
      <c r="U610" s="23">
        <v>9</v>
      </c>
      <c r="V610" s="23">
        <v>44060</v>
      </c>
      <c r="W610" s="23">
        <v>11</v>
      </c>
      <c r="X610" s="23">
        <v>33852</v>
      </c>
      <c r="Y610" s="23">
        <v>3</v>
      </c>
      <c r="Z610" s="26">
        <v>34957</v>
      </c>
      <c r="AA610" s="52">
        <v>0</v>
      </c>
      <c r="AB610" s="51">
        <v>0</v>
      </c>
      <c r="AC610" s="28"/>
    </row>
    <row r="611" spans="1:29" ht="12.75">
      <c r="A611" s="21" t="s">
        <v>680</v>
      </c>
      <c r="B611" s="21" t="s">
        <v>690</v>
      </c>
      <c r="C611" s="22">
        <v>234155</v>
      </c>
      <c r="D611" s="22">
        <v>4</v>
      </c>
      <c r="E611" s="23">
        <v>38</v>
      </c>
      <c r="F611" s="23">
        <v>53737</v>
      </c>
      <c r="G611" s="23">
        <v>32</v>
      </c>
      <c r="H611" s="23">
        <v>47970</v>
      </c>
      <c r="I611" s="23">
        <v>55</v>
      </c>
      <c r="J611" s="23">
        <v>43764</v>
      </c>
      <c r="K611" s="23">
        <v>19</v>
      </c>
      <c r="L611" s="23">
        <v>33559</v>
      </c>
      <c r="M611" s="23">
        <v>0</v>
      </c>
      <c r="N611" s="23">
        <v>0</v>
      </c>
      <c r="O611" s="50">
        <v>0</v>
      </c>
      <c r="P611" s="51">
        <v>0</v>
      </c>
      <c r="Q611" s="36">
        <v>11</v>
      </c>
      <c r="R611" s="23">
        <v>71247</v>
      </c>
      <c r="S611" s="23">
        <v>5</v>
      </c>
      <c r="T611" s="23">
        <v>62335</v>
      </c>
      <c r="U611" s="23">
        <v>5</v>
      </c>
      <c r="V611" s="23">
        <v>61594</v>
      </c>
      <c r="W611" s="23">
        <v>3</v>
      </c>
      <c r="X611" s="23">
        <v>38783</v>
      </c>
      <c r="Y611" s="23">
        <v>0</v>
      </c>
      <c r="Z611" s="26">
        <v>0</v>
      </c>
      <c r="AA611" s="52">
        <v>0</v>
      </c>
      <c r="AB611" s="51">
        <v>0</v>
      </c>
      <c r="AC611" s="28"/>
    </row>
    <row r="612" spans="1:29" ht="12.75">
      <c r="A612" s="21" t="s">
        <v>680</v>
      </c>
      <c r="B612" s="21" t="s">
        <v>691</v>
      </c>
      <c r="C612" s="22">
        <v>232566</v>
      </c>
      <c r="D612" s="22">
        <v>5</v>
      </c>
      <c r="E612" s="23">
        <v>42</v>
      </c>
      <c r="F612" s="23">
        <v>58591</v>
      </c>
      <c r="G612" s="23">
        <v>56</v>
      </c>
      <c r="H612" s="23">
        <v>47602</v>
      </c>
      <c r="I612" s="23">
        <v>46</v>
      </c>
      <c r="J612" s="23">
        <v>39677</v>
      </c>
      <c r="K612" s="23">
        <v>14</v>
      </c>
      <c r="L612" s="23">
        <v>33008</v>
      </c>
      <c r="M612" s="23">
        <v>0</v>
      </c>
      <c r="N612" s="23">
        <v>0</v>
      </c>
      <c r="O612" s="50">
        <v>0</v>
      </c>
      <c r="P612" s="51">
        <v>0</v>
      </c>
      <c r="Q612" s="36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6">
        <v>0</v>
      </c>
      <c r="AA612" s="52">
        <v>0</v>
      </c>
      <c r="AB612" s="51">
        <v>0</v>
      </c>
      <c r="AC612" s="21"/>
    </row>
    <row r="613" spans="1:29" ht="12.75">
      <c r="A613" s="21" t="s">
        <v>680</v>
      </c>
      <c r="B613" s="21" t="s">
        <v>692</v>
      </c>
      <c r="C613" s="22">
        <v>231712</v>
      </c>
      <c r="D613" s="22">
        <v>6</v>
      </c>
      <c r="E613" s="23">
        <v>50</v>
      </c>
      <c r="F613" s="23">
        <v>59563</v>
      </c>
      <c r="G613" s="23">
        <v>41</v>
      </c>
      <c r="H613" s="23">
        <v>50859</v>
      </c>
      <c r="I613" s="23">
        <v>62</v>
      </c>
      <c r="J613" s="23">
        <v>40819</v>
      </c>
      <c r="K613" s="23">
        <v>13</v>
      </c>
      <c r="L613" s="23">
        <v>34268</v>
      </c>
      <c r="M613" s="23">
        <v>0</v>
      </c>
      <c r="N613" s="23">
        <v>0</v>
      </c>
      <c r="O613" s="50">
        <v>0</v>
      </c>
      <c r="P613" s="51">
        <v>0</v>
      </c>
      <c r="Q613" s="36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6">
        <v>0</v>
      </c>
      <c r="AA613" s="52">
        <v>0</v>
      </c>
      <c r="AB613" s="51">
        <v>0</v>
      </c>
      <c r="AC613" s="21"/>
    </row>
    <row r="614" spans="1:29" ht="12.75">
      <c r="A614" s="21" t="s">
        <v>680</v>
      </c>
      <c r="B614" s="21" t="s">
        <v>693</v>
      </c>
      <c r="C614" s="22">
        <v>233897</v>
      </c>
      <c r="D614" s="22">
        <v>6</v>
      </c>
      <c r="E614" s="23">
        <v>15</v>
      </c>
      <c r="F614" s="23">
        <v>52453</v>
      </c>
      <c r="G614" s="23">
        <v>14</v>
      </c>
      <c r="H614" s="23">
        <v>44936</v>
      </c>
      <c r="I614" s="23">
        <v>23</v>
      </c>
      <c r="J614" s="23">
        <v>38852</v>
      </c>
      <c r="K614" s="23">
        <v>3</v>
      </c>
      <c r="L614" s="23">
        <v>31300</v>
      </c>
      <c r="M614" s="23">
        <v>0</v>
      </c>
      <c r="N614" s="23">
        <v>0</v>
      </c>
      <c r="O614" s="50">
        <v>0</v>
      </c>
      <c r="P614" s="51">
        <v>0</v>
      </c>
      <c r="Q614" s="36">
        <v>1</v>
      </c>
      <c r="R614" s="23">
        <v>85600</v>
      </c>
      <c r="S614" s="23">
        <v>1</v>
      </c>
      <c r="T614" s="23">
        <v>51100</v>
      </c>
      <c r="U614" s="23">
        <v>1</v>
      </c>
      <c r="V614" s="23">
        <v>50500</v>
      </c>
      <c r="W614" s="23">
        <v>0</v>
      </c>
      <c r="X614" s="23">
        <v>0</v>
      </c>
      <c r="Y614" s="23">
        <v>1</v>
      </c>
      <c r="Z614" s="26">
        <v>43600</v>
      </c>
      <c r="AA614" s="52">
        <v>0</v>
      </c>
      <c r="AB614" s="51">
        <v>0</v>
      </c>
      <c r="AC614" s="21"/>
    </row>
    <row r="615" spans="1:29" ht="12.75">
      <c r="A615" s="21" t="s">
        <v>680</v>
      </c>
      <c r="B615" s="21" t="s">
        <v>694</v>
      </c>
      <c r="C615" s="22">
        <v>232681</v>
      </c>
      <c r="D615" s="22">
        <v>6</v>
      </c>
      <c r="E615" s="23">
        <v>63</v>
      </c>
      <c r="F615" s="23">
        <v>56906</v>
      </c>
      <c r="G615" s="23">
        <v>44</v>
      </c>
      <c r="H615" s="23">
        <v>45747</v>
      </c>
      <c r="I615" s="23">
        <v>47</v>
      </c>
      <c r="J615" s="23">
        <v>37034</v>
      </c>
      <c r="K615" s="23">
        <v>1</v>
      </c>
      <c r="L615" s="23">
        <v>40296</v>
      </c>
      <c r="M615" s="23">
        <v>18</v>
      </c>
      <c r="N615" s="23">
        <v>32857</v>
      </c>
      <c r="O615" s="50">
        <v>0</v>
      </c>
      <c r="P615" s="51">
        <v>0</v>
      </c>
      <c r="Q615" s="36">
        <v>2</v>
      </c>
      <c r="R615" s="23">
        <v>76848</v>
      </c>
      <c r="S615" s="23">
        <v>2</v>
      </c>
      <c r="T615" s="23">
        <v>53656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6">
        <v>0</v>
      </c>
      <c r="AA615" s="52">
        <v>0</v>
      </c>
      <c r="AB615" s="51">
        <v>0</v>
      </c>
      <c r="AC615" s="21"/>
    </row>
    <row r="616" spans="1:29" ht="12.75">
      <c r="A616" s="21" t="s">
        <v>680</v>
      </c>
      <c r="B616" s="21" t="s">
        <v>695</v>
      </c>
      <c r="C616" s="39"/>
      <c r="D616" s="22">
        <v>7</v>
      </c>
      <c r="E616" s="23">
        <v>405</v>
      </c>
      <c r="F616" s="23">
        <v>47389</v>
      </c>
      <c r="G616" s="23">
        <v>648</v>
      </c>
      <c r="H616" s="23">
        <v>42078</v>
      </c>
      <c r="I616" s="23">
        <v>545</v>
      </c>
      <c r="J616" s="23">
        <v>37035</v>
      </c>
      <c r="K616" s="23">
        <v>212</v>
      </c>
      <c r="L616" s="23">
        <v>32527</v>
      </c>
      <c r="M616" s="23">
        <v>2</v>
      </c>
      <c r="N616" s="23">
        <v>26950</v>
      </c>
      <c r="O616" s="21">
        <v>0</v>
      </c>
      <c r="P616" s="32">
        <v>0</v>
      </c>
      <c r="Q616" s="36">
        <v>12</v>
      </c>
      <c r="R616" s="23">
        <v>56741</v>
      </c>
      <c r="S616" s="23">
        <v>7</v>
      </c>
      <c r="T616" s="23">
        <v>52341</v>
      </c>
      <c r="U616" s="23">
        <v>22</v>
      </c>
      <c r="V616" s="23">
        <v>48703</v>
      </c>
      <c r="W616" s="23">
        <v>15</v>
      </c>
      <c r="X616" s="23">
        <v>40798</v>
      </c>
      <c r="Y616" s="23">
        <v>1</v>
      </c>
      <c r="Z616" s="26">
        <v>35736</v>
      </c>
      <c r="AA616" s="27">
        <v>0</v>
      </c>
      <c r="AB616" s="32">
        <v>0</v>
      </c>
      <c r="AC616" s="21"/>
    </row>
    <row r="617" spans="1:29" ht="12.75">
      <c r="A617" s="21" t="s">
        <v>680</v>
      </c>
      <c r="B617" s="21" t="s">
        <v>696</v>
      </c>
      <c r="C617" s="22">
        <v>233338</v>
      </c>
      <c r="D617" s="22">
        <v>7</v>
      </c>
      <c r="E617" s="23">
        <v>10</v>
      </c>
      <c r="F617" s="23">
        <v>47422</v>
      </c>
      <c r="G617" s="23">
        <v>17</v>
      </c>
      <c r="H617" s="23">
        <v>41304</v>
      </c>
      <c r="I617" s="23">
        <v>4</v>
      </c>
      <c r="J617" s="23">
        <v>33915</v>
      </c>
      <c r="K617" s="23">
        <v>3</v>
      </c>
      <c r="L617" s="23">
        <v>32083</v>
      </c>
      <c r="M617" s="23">
        <v>0</v>
      </c>
      <c r="N617" s="23">
        <v>0</v>
      </c>
      <c r="O617" s="50">
        <v>0</v>
      </c>
      <c r="P617" s="51">
        <v>0</v>
      </c>
      <c r="Q617" s="36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6">
        <v>0</v>
      </c>
      <c r="AA617" s="52">
        <v>0</v>
      </c>
      <c r="AB617" s="51">
        <v>0</v>
      </c>
      <c r="AC617" s="21"/>
    </row>
    <row r="618" spans="1:29" ht="12.75">
      <c r="A618" s="21" t="s">
        <v>697</v>
      </c>
      <c r="B618" s="21" t="s">
        <v>698</v>
      </c>
      <c r="C618" s="22">
        <v>238032</v>
      </c>
      <c r="D618" s="40">
        <v>1</v>
      </c>
      <c r="E618" s="23">
        <v>236</v>
      </c>
      <c r="F618" s="23">
        <v>63970</v>
      </c>
      <c r="G618" s="23">
        <v>202</v>
      </c>
      <c r="H618" s="23">
        <v>50038</v>
      </c>
      <c r="I618" s="23">
        <v>182</v>
      </c>
      <c r="J618" s="23">
        <v>39761</v>
      </c>
      <c r="K618" s="23">
        <v>12</v>
      </c>
      <c r="L618" s="23">
        <v>28981</v>
      </c>
      <c r="M618" s="23">
        <v>8</v>
      </c>
      <c r="N618" s="23">
        <v>27630</v>
      </c>
      <c r="O618" s="23"/>
      <c r="P618" s="26"/>
      <c r="Q618" s="37">
        <v>110</v>
      </c>
      <c r="R618" s="23">
        <v>72388</v>
      </c>
      <c r="S618" s="23">
        <v>51</v>
      </c>
      <c r="T618" s="23">
        <v>60845</v>
      </c>
      <c r="U618" s="23">
        <v>40</v>
      </c>
      <c r="V618" s="23">
        <v>53764</v>
      </c>
      <c r="W618" s="23">
        <v>4</v>
      </c>
      <c r="X618" s="23">
        <v>54291</v>
      </c>
      <c r="Y618" s="23">
        <v>2</v>
      </c>
      <c r="Z618" s="26">
        <v>33209</v>
      </c>
      <c r="AA618" s="35"/>
      <c r="AB618" s="24"/>
      <c r="AC618" s="21"/>
    </row>
    <row r="619" spans="1:29" ht="12.75">
      <c r="A619" s="21" t="s">
        <v>697</v>
      </c>
      <c r="B619" s="21" t="s">
        <v>699</v>
      </c>
      <c r="C619" s="22">
        <v>237525</v>
      </c>
      <c r="D619" s="40">
        <v>3</v>
      </c>
      <c r="E619" s="23">
        <v>160</v>
      </c>
      <c r="F619" s="23">
        <v>52428</v>
      </c>
      <c r="G619" s="23">
        <v>115</v>
      </c>
      <c r="H619" s="23">
        <v>42642</v>
      </c>
      <c r="I619" s="23">
        <v>100</v>
      </c>
      <c r="J619" s="23">
        <v>34312</v>
      </c>
      <c r="K619" s="23">
        <v>19</v>
      </c>
      <c r="L619" s="23">
        <v>24958</v>
      </c>
      <c r="M619" s="23"/>
      <c r="N619" s="23"/>
      <c r="O619" s="23"/>
      <c r="P619" s="26"/>
      <c r="Q619" s="37">
        <v>8</v>
      </c>
      <c r="R619" s="23">
        <v>69106</v>
      </c>
      <c r="S619" s="23">
        <v>7</v>
      </c>
      <c r="T619" s="23">
        <v>51879</v>
      </c>
      <c r="U619" s="23">
        <v>2</v>
      </c>
      <c r="V619" s="23">
        <v>39928</v>
      </c>
      <c r="W619" s="28"/>
      <c r="X619" s="23"/>
      <c r="Y619" s="28"/>
      <c r="Z619" s="24"/>
      <c r="AA619" s="35"/>
      <c r="AB619" s="24"/>
      <c r="AC619" s="28"/>
    </row>
    <row r="620" spans="1:29" ht="12.75">
      <c r="A620" s="21" t="s">
        <v>697</v>
      </c>
      <c r="B620" s="21" t="s">
        <v>700</v>
      </c>
      <c r="C620" s="22">
        <v>237215</v>
      </c>
      <c r="D620" s="40">
        <v>6</v>
      </c>
      <c r="E620" s="23">
        <v>21</v>
      </c>
      <c r="F620" s="23">
        <v>44860</v>
      </c>
      <c r="G620" s="23">
        <v>29</v>
      </c>
      <c r="H620" s="23">
        <v>37773</v>
      </c>
      <c r="I620" s="23">
        <v>20</v>
      </c>
      <c r="J620" s="23">
        <v>34493</v>
      </c>
      <c r="K620" s="23">
        <v>6</v>
      </c>
      <c r="L620" s="23">
        <v>28320</v>
      </c>
      <c r="M620" s="28"/>
      <c r="N620" s="23"/>
      <c r="O620" s="28"/>
      <c r="P620" s="24"/>
      <c r="Q620" s="37">
        <v>2</v>
      </c>
      <c r="R620" s="23">
        <v>64149</v>
      </c>
      <c r="S620" s="23">
        <v>1</v>
      </c>
      <c r="T620" s="23">
        <v>48528</v>
      </c>
      <c r="U620" s="28"/>
      <c r="V620" s="28"/>
      <c r="W620" s="23">
        <v>1</v>
      </c>
      <c r="X620" s="23">
        <v>43062</v>
      </c>
      <c r="Y620" s="28"/>
      <c r="Z620" s="24"/>
      <c r="AA620" s="35"/>
      <c r="AB620" s="24"/>
      <c r="AC620" s="21"/>
    </row>
    <row r="621" spans="1:29" ht="12.75">
      <c r="A621" s="21" t="s">
        <v>697</v>
      </c>
      <c r="B621" s="21" t="s">
        <v>701</v>
      </c>
      <c r="C621" s="22">
        <v>237330</v>
      </c>
      <c r="D621" s="40">
        <v>6</v>
      </c>
      <c r="E621" s="23">
        <v>27</v>
      </c>
      <c r="F621" s="23">
        <v>44831</v>
      </c>
      <c r="G621" s="23">
        <v>20</v>
      </c>
      <c r="H621" s="23">
        <v>40014</v>
      </c>
      <c r="I621" s="23">
        <v>34</v>
      </c>
      <c r="J621" s="23">
        <v>32097</v>
      </c>
      <c r="K621" s="23">
        <v>10</v>
      </c>
      <c r="L621" s="23">
        <v>27641</v>
      </c>
      <c r="M621" s="28"/>
      <c r="N621" s="23"/>
      <c r="O621" s="28"/>
      <c r="P621" s="24"/>
      <c r="Q621" s="37">
        <v>1</v>
      </c>
      <c r="R621" s="23">
        <v>59984</v>
      </c>
      <c r="S621" s="23">
        <v>2</v>
      </c>
      <c r="T621" s="23">
        <v>52614</v>
      </c>
      <c r="U621" s="23">
        <v>3</v>
      </c>
      <c r="V621" s="23">
        <v>41155</v>
      </c>
      <c r="W621" s="23">
        <v>1</v>
      </c>
      <c r="X621" s="23">
        <v>24000</v>
      </c>
      <c r="Y621" s="28"/>
      <c r="Z621" s="24"/>
      <c r="AA621" s="35"/>
      <c r="AB621" s="24"/>
      <c r="AC621" s="21"/>
    </row>
    <row r="622" spans="1:29" ht="12.75">
      <c r="A622" s="21" t="s">
        <v>697</v>
      </c>
      <c r="B622" s="21" t="s">
        <v>702</v>
      </c>
      <c r="C622" s="22">
        <v>237367</v>
      </c>
      <c r="D622" s="40">
        <v>6</v>
      </c>
      <c r="E622" s="23">
        <v>53</v>
      </c>
      <c r="F622" s="23">
        <v>48802</v>
      </c>
      <c r="G622" s="23">
        <v>51</v>
      </c>
      <c r="H622" s="23">
        <v>41971</v>
      </c>
      <c r="I622" s="23">
        <v>48</v>
      </c>
      <c r="J622" s="23">
        <v>37521</v>
      </c>
      <c r="K622" s="23">
        <v>22</v>
      </c>
      <c r="L622" s="23">
        <v>32822</v>
      </c>
      <c r="M622" s="28"/>
      <c r="N622" s="28"/>
      <c r="O622" s="28"/>
      <c r="P622" s="24"/>
      <c r="Q622" s="37">
        <v>6</v>
      </c>
      <c r="R622" s="23">
        <v>62947</v>
      </c>
      <c r="S622" s="23">
        <v>3</v>
      </c>
      <c r="T622" s="23">
        <v>47854</v>
      </c>
      <c r="U622" s="23">
        <v>5</v>
      </c>
      <c r="V622" s="23">
        <v>47758</v>
      </c>
      <c r="W622" s="23">
        <v>3</v>
      </c>
      <c r="X622" s="23">
        <v>35110</v>
      </c>
      <c r="Y622" s="28"/>
      <c r="Z622" s="24"/>
      <c r="AA622" s="35"/>
      <c r="AB622" s="24"/>
      <c r="AC622" s="21"/>
    </row>
    <row r="623" spans="1:29" ht="12.75">
      <c r="A623" s="21" t="s">
        <v>697</v>
      </c>
      <c r="B623" s="21" t="s">
        <v>703</v>
      </c>
      <c r="C623" s="22">
        <v>237385</v>
      </c>
      <c r="D623" s="40">
        <v>6</v>
      </c>
      <c r="E623" s="23">
        <v>11</v>
      </c>
      <c r="F623" s="23">
        <v>44349</v>
      </c>
      <c r="G623" s="23">
        <v>26</v>
      </c>
      <c r="H623" s="23">
        <v>38665</v>
      </c>
      <c r="I623" s="23">
        <v>26</v>
      </c>
      <c r="J623" s="23">
        <v>34082</v>
      </c>
      <c r="K623" s="23">
        <v>2</v>
      </c>
      <c r="L623" s="23">
        <v>33562</v>
      </c>
      <c r="M623" s="28"/>
      <c r="N623" s="23"/>
      <c r="O623" s="28"/>
      <c r="P623" s="24"/>
      <c r="Q623" s="37">
        <v>1</v>
      </c>
      <c r="R623" s="23">
        <v>51040</v>
      </c>
      <c r="S623" s="28"/>
      <c r="T623" s="28"/>
      <c r="U623" s="23">
        <v>3</v>
      </c>
      <c r="V623" s="23">
        <v>43918</v>
      </c>
      <c r="W623" s="23">
        <v>1</v>
      </c>
      <c r="X623" s="23">
        <v>45221</v>
      </c>
      <c r="Y623" s="28"/>
      <c r="Z623" s="24"/>
      <c r="AA623" s="35"/>
      <c r="AB623" s="26"/>
      <c r="AC623" s="21"/>
    </row>
    <row r="624" spans="1:29" ht="12.75">
      <c r="A624" s="21" t="s">
        <v>697</v>
      </c>
      <c r="B624" s="21" t="s">
        <v>704</v>
      </c>
      <c r="C624" s="22">
        <v>237792</v>
      </c>
      <c r="D624" s="40">
        <v>6</v>
      </c>
      <c r="E624" s="23">
        <v>36</v>
      </c>
      <c r="F624" s="23">
        <v>47880</v>
      </c>
      <c r="G624" s="23">
        <v>34</v>
      </c>
      <c r="H624" s="23">
        <v>41522</v>
      </c>
      <c r="I624" s="23">
        <v>33</v>
      </c>
      <c r="J624" s="23">
        <v>37506</v>
      </c>
      <c r="K624" s="23">
        <v>4</v>
      </c>
      <c r="L624" s="23">
        <v>36165</v>
      </c>
      <c r="M624" s="23">
        <v>14</v>
      </c>
      <c r="N624" s="23">
        <v>32504</v>
      </c>
      <c r="O624" s="23"/>
      <c r="P624" s="24"/>
      <c r="Q624" s="34"/>
      <c r="R624" s="23"/>
      <c r="S624" s="28"/>
      <c r="T624" s="28"/>
      <c r="U624" s="23">
        <v>1</v>
      </c>
      <c r="V624" s="23">
        <v>44123</v>
      </c>
      <c r="W624" s="28"/>
      <c r="X624" s="28"/>
      <c r="Y624" s="23">
        <v>1</v>
      </c>
      <c r="Z624" s="26">
        <v>48156</v>
      </c>
      <c r="AA624" s="35"/>
      <c r="AB624" s="26"/>
      <c r="AC624" s="21"/>
    </row>
    <row r="625" spans="1:29" ht="12.75">
      <c r="A625" s="21" t="s">
        <v>697</v>
      </c>
      <c r="B625" s="21" t="s">
        <v>705</v>
      </c>
      <c r="C625" s="22">
        <v>237932</v>
      </c>
      <c r="D625" s="40">
        <v>6</v>
      </c>
      <c r="E625" s="23">
        <v>37</v>
      </c>
      <c r="F625" s="23">
        <v>47064</v>
      </c>
      <c r="G625" s="23">
        <v>61</v>
      </c>
      <c r="H625" s="23">
        <v>38598</v>
      </c>
      <c r="I625" s="23">
        <v>16</v>
      </c>
      <c r="J625" s="23">
        <v>30608</v>
      </c>
      <c r="K625" s="23">
        <v>1</v>
      </c>
      <c r="L625" s="23">
        <v>23750</v>
      </c>
      <c r="M625" s="23">
        <v>1</v>
      </c>
      <c r="N625" s="23">
        <v>24340</v>
      </c>
      <c r="O625" s="28"/>
      <c r="P625" s="24"/>
      <c r="Q625" s="34"/>
      <c r="R625" s="28"/>
      <c r="S625" s="23">
        <v>1</v>
      </c>
      <c r="T625" s="23">
        <v>44430</v>
      </c>
      <c r="U625" s="28"/>
      <c r="V625" s="28"/>
      <c r="W625" s="23">
        <v>2</v>
      </c>
      <c r="X625" s="23">
        <v>37138</v>
      </c>
      <c r="Y625" s="28"/>
      <c r="Z625" s="24"/>
      <c r="AA625" s="35"/>
      <c r="AB625" s="24"/>
      <c r="AC625" s="28"/>
    </row>
    <row r="626" spans="1:29" ht="12.75">
      <c r="A626" s="21" t="s">
        <v>697</v>
      </c>
      <c r="B626" s="21" t="s">
        <v>706</v>
      </c>
      <c r="C626" s="22">
        <v>237899</v>
      </c>
      <c r="D626" s="40">
        <v>6</v>
      </c>
      <c r="E626" s="23">
        <v>22</v>
      </c>
      <c r="F626" s="23">
        <v>44562</v>
      </c>
      <c r="G626" s="23">
        <v>41</v>
      </c>
      <c r="H626" s="23">
        <v>36134</v>
      </c>
      <c r="I626" s="23">
        <v>48</v>
      </c>
      <c r="J626" s="23">
        <v>31389</v>
      </c>
      <c r="K626" s="23">
        <v>23</v>
      </c>
      <c r="L626" s="23">
        <v>26597</v>
      </c>
      <c r="M626" s="28"/>
      <c r="N626" s="28"/>
      <c r="O626" s="28"/>
      <c r="P626" s="24"/>
      <c r="Q626" s="37">
        <v>2</v>
      </c>
      <c r="R626" s="23">
        <v>51923</v>
      </c>
      <c r="S626" s="28"/>
      <c r="T626" s="23"/>
      <c r="U626" s="23">
        <v>2</v>
      </c>
      <c r="V626" s="23">
        <v>38042</v>
      </c>
      <c r="W626" s="23">
        <v>1</v>
      </c>
      <c r="X626" s="23">
        <v>49838</v>
      </c>
      <c r="Y626" s="28"/>
      <c r="Z626" s="24"/>
      <c r="AA626" s="35"/>
      <c r="AB626" s="24"/>
      <c r="AC626" s="28"/>
    </row>
    <row r="627" spans="1:29" ht="12.75">
      <c r="A627" s="21" t="s">
        <v>697</v>
      </c>
      <c r="B627" s="21" t="s">
        <v>707</v>
      </c>
      <c r="C627" s="22">
        <v>237950</v>
      </c>
      <c r="D627" s="40">
        <v>6</v>
      </c>
      <c r="E627" s="23">
        <v>49</v>
      </c>
      <c r="F627" s="23">
        <v>47114</v>
      </c>
      <c r="G627" s="23">
        <v>36</v>
      </c>
      <c r="H627" s="23">
        <v>40703</v>
      </c>
      <c r="I627" s="23">
        <v>16</v>
      </c>
      <c r="J627" s="23">
        <v>32413</v>
      </c>
      <c r="K627" s="23">
        <v>14</v>
      </c>
      <c r="L627" s="23">
        <v>28384</v>
      </c>
      <c r="M627" s="28"/>
      <c r="N627" s="28"/>
      <c r="O627" s="28"/>
      <c r="P627" s="24"/>
      <c r="Q627" s="37">
        <v>2</v>
      </c>
      <c r="R627" s="23">
        <v>77180</v>
      </c>
      <c r="S627" s="23">
        <v>1</v>
      </c>
      <c r="T627" s="23">
        <v>43332</v>
      </c>
      <c r="U627" s="23">
        <v>3</v>
      </c>
      <c r="V627" s="23">
        <v>34480</v>
      </c>
      <c r="W627" s="23">
        <v>2</v>
      </c>
      <c r="X627" s="23">
        <v>40170</v>
      </c>
      <c r="Y627" s="28"/>
      <c r="Z627" s="24"/>
      <c r="AA627" s="35"/>
      <c r="AB627" s="24"/>
      <c r="AC627" s="28"/>
    </row>
    <row r="628" spans="1:29" ht="12.75">
      <c r="A628" s="21" t="s">
        <v>697</v>
      </c>
      <c r="B628" s="21" t="s">
        <v>708</v>
      </c>
      <c r="C628" s="22">
        <v>237701</v>
      </c>
      <c r="D628" s="40">
        <v>7</v>
      </c>
      <c r="E628" s="23">
        <v>12</v>
      </c>
      <c r="F628" s="23">
        <v>47063</v>
      </c>
      <c r="G628" s="23">
        <v>12</v>
      </c>
      <c r="H628" s="23">
        <v>36636</v>
      </c>
      <c r="I628" s="23">
        <v>5</v>
      </c>
      <c r="J628" s="23">
        <v>26945</v>
      </c>
      <c r="K628" s="23">
        <v>2</v>
      </c>
      <c r="L628" s="23">
        <v>21687</v>
      </c>
      <c r="M628" s="28"/>
      <c r="N628" s="28"/>
      <c r="O628" s="28"/>
      <c r="P628" s="24"/>
      <c r="Q628" s="37">
        <v>2</v>
      </c>
      <c r="R628" s="23">
        <v>53198</v>
      </c>
      <c r="S628" s="23">
        <v>1</v>
      </c>
      <c r="T628" s="23">
        <v>43018</v>
      </c>
      <c r="U628" s="28"/>
      <c r="V628" s="28"/>
      <c r="W628" s="28"/>
      <c r="X628" s="28"/>
      <c r="Y628" s="28"/>
      <c r="Z628" s="24"/>
      <c r="AA628" s="35"/>
      <c r="AB628" s="24"/>
      <c r="AC628" s="28"/>
    </row>
    <row r="629" spans="1:29" ht="12.75">
      <c r="A629" s="21" t="s">
        <v>697</v>
      </c>
      <c r="B629" s="21" t="s">
        <v>709</v>
      </c>
      <c r="C629" s="22">
        <v>237817</v>
      </c>
      <c r="D629" s="40">
        <v>7</v>
      </c>
      <c r="E629" s="23">
        <v>9</v>
      </c>
      <c r="F629" s="23">
        <v>46389</v>
      </c>
      <c r="G629" s="23">
        <v>16</v>
      </c>
      <c r="H629" s="23">
        <v>37312</v>
      </c>
      <c r="I629" s="23">
        <v>17</v>
      </c>
      <c r="J629" s="23">
        <v>32576</v>
      </c>
      <c r="K629" s="23">
        <v>11</v>
      </c>
      <c r="L629" s="23">
        <v>27578</v>
      </c>
      <c r="M629" s="28"/>
      <c r="N629" s="28"/>
      <c r="O629" s="28"/>
      <c r="P629" s="24"/>
      <c r="Q629" s="25"/>
      <c r="R629" s="28"/>
      <c r="S629" s="28"/>
      <c r="T629" s="23"/>
      <c r="U629" s="28"/>
      <c r="V629" s="28"/>
      <c r="W629" s="28"/>
      <c r="X629" s="23"/>
      <c r="Y629" s="28"/>
      <c r="Z629" s="24"/>
      <c r="AA629" s="35"/>
      <c r="AB629" s="24"/>
      <c r="AC629" s="28"/>
    </row>
    <row r="630" spans="1:29" ht="12.75">
      <c r="A630" s="21" t="s">
        <v>697</v>
      </c>
      <c r="B630" s="21" t="s">
        <v>710</v>
      </c>
      <c r="C630" s="22">
        <v>238014</v>
      </c>
      <c r="D630" s="40">
        <v>7</v>
      </c>
      <c r="E630" s="23">
        <v>26</v>
      </c>
      <c r="F630" s="23">
        <v>44370</v>
      </c>
      <c r="G630" s="23">
        <v>12</v>
      </c>
      <c r="H630" s="23">
        <v>33464</v>
      </c>
      <c r="I630" s="23">
        <v>13</v>
      </c>
      <c r="J630" s="23">
        <v>28691</v>
      </c>
      <c r="K630" s="23">
        <v>3</v>
      </c>
      <c r="L630" s="23">
        <v>28152</v>
      </c>
      <c r="M630" s="23">
        <v>9</v>
      </c>
      <c r="N630" s="23">
        <v>24542</v>
      </c>
      <c r="O630" s="28"/>
      <c r="P630" s="24"/>
      <c r="Q630" s="37">
        <v>3</v>
      </c>
      <c r="R630" s="23">
        <v>47416</v>
      </c>
      <c r="S630" s="28"/>
      <c r="T630" s="23"/>
      <c r="U630" s="28"/>
      <c r="V630" s="28"/>
      <c r="W630" s="28"/>
      <c r="X630" s="28"/>
      <c r="Y630" s="28"/>
      <c r="Z630" s="24"/>
      <c r="AA630" s="35"/>
      <c r="AB630" s="24"/>
      <c r="AC630" s="28"/>
    </row>
    <row r="631" spans="1:29" ht="12.75">
      <c r="A631" s="21" t="s">
        <v>697</v>
      </c>
      <c r="B631" s="21" t="s">
        <v>711</v>
      </c>
      <c r="C631" s="22">
        <v>237686</v>
      </c>
      <c r="D631" s="40">
        <v>7</v>
      </c>
      <c r="E631" s="23">
        <v>33</v>
      </c>
      <c r="F631" s="23">
        <v>43890</v>
      </c>
      <c r="G631" s="23">
        <v>20</v>
      </c>
      <c r="H631" s="23">
        <v>38532</v>
      </c>
      <c r="I631" s="23">
        <v>13</v>
      </c>
      <c r="J631" s="23">
        <v>32980</v>
      </c>
      <c r="K631" s="23">
        <v>10</v>
      </c>
      <c r="L631" s="23">
        <v>27475</v>
      </c>
      <c r="M631" s="28"/>
      <c r="N631" s="23"/>
      <c r="O631" s="28"/>
      <c r="P631" s="24"/>
      <c r="Q631" s="37">
        <v>1</v>
      </c>
      <c r="R631" s="23">
        <v>48432</v>
      </c>
      <c r="S631" s="28"/>
      <c r="T631" s="23"/>
      <c r="U631" s="28"/>
      <c r="V631" s="28"/>
      <c r="W631" s="28"/>
      <c r="X631" s="23"/>
      <c r="Y631" s="28"/>
      <c r="Z631" s="24"/>
      <c r="AA631" s="35"/>
      <c r="AB631" s="24"/>
      <c r="AC631" s="28"/>
    </row>
    <row r="632" spans="5:29" ht="12.75"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32"/>
      <c r="Q632" s="34"/>
      <c r="R632" s="21"/>
      <c r="S632" s="21"/>
      <c r="T632" s="21"/>
      <c r="U632" s="21"/>
      <c r="V632" s="21"/>
      <c r="W632" s="21"/>
      <c r="X632" s="21"/>
      <c r="Y632" s="21"/>
      <c r="Z632" s="32"/>
      <c r="AA632" s="27"/>
      <c r="AB632" s="32"/>
      <c r="AC632" s="21"/>
    </row>
    <row r="633" spans="5:29" ht="12.75"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32"/>
      <c r="Q633" s="34"/>
      <c r="R633" s="21"/>
      <c r="S633" s="21"/>
      <c r="T633" s="21"/>
      <c r="U633" s="21"/>
      <c r="V633" s="21"/>
      <c r="W633" s="21"/>
      <c r="X633" s="21"/>
      <c r="Y633" s="21"/>
      <c r="Z633" s="32"/>
      <c r="AA633" s="27"/>
      <c r="AB633" s="32"/>
      <c r="AC633" s="21"/>
    </row>
    <row r="634" spans="5:29" ht="12.75"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32"/>
      <c r="Q634" s="34"/>
      <c r="R634" s="21"/>
      <c r="S634" s="21"/>
      <c r="T634" s="21"/>
      <c r="U634" s="21"/>
      <c r="V634" s="21"/>
      <c r="W634" s="21"/>
      <c r="X634" s="21"/>
      <c r="Y634" s="21"/>
      <c r="Z634" s="32"/>
      <c r="AA634" s="27"/>
      <c r="AB634" s="32"/>
      <c r="AC634" s="21"/>
    </row>
    <row r="635" spans="5:29" ht="12.75"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32"/>
      <c r="Q635" s="34"/>
      <c r="R635" s="21"/>
      <c r="S635" s="21"/>
      <c r="T635" s="21"/>
      <c r="U635" s="21"/>
      <c r="V635" s="21"/>
      <c r="W635" s="21"/>
      <c r="X635" s="21"/>
      <c r="Y635" s="21"/>
      <c r="Z635" s="32"/>
      <c r="AA635" s="27"/>
      <c r="AB635" s="32"/>
      <c r="AC635" s="21"/>
    </row>
    <row r="636" spans="5:29" ht="12.75"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32"/>
      <c r="Q636" s="34"/>
      <c r="R636" s="21"/>
      <c r="S636" s="21"/>
      <c r="T636" s="21"/>
      <c r="U636" s="21"/>
      <c r="V636" s="21"/>
      <c r="W636" s="21"/>
      <c r="X636" s="21"/>
      <c r="Y636" s="21"/>
      <c r="Z636" s="32"/>
      <c r="AA636" s="27"/>
      <c r="AB636" s="32"/>
      <c r="AC636" s="21"/>
    </row>
    <row r="637" spans="5:29" ht="12.75"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32"/>
      <c r="Q637" s="34"/>
      <c r="R637" s="21"/>
      <c r="S637" s="21"/>
      <c r="T637" s="21"/>
      <c r="U637" s="21"/>
      <c r="V637" s="21"/>
      <c r="W637" s="21"/>
      <c r="X637" s="21"/>
      <c r="Y637" s="21"/>
      <c r="Z637" s="32"/>
      <c r="AA637" s="27"/>
      <c r="AB637" s="32"/>
      <c r="AC637" s="21"/>
    </row>
    <row r="638" spans="5:29" ht="12.75"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32"/>
      <c r="Q638" s="34"/>
      <c r="R638" s="21"/>
      <c r="S638" s="21"/>
      <c r="T638" s="21"/>
      <c r="U638" s="21"/>
      <c r="V638" s="21"/>
      <c r="W638" s="21"/>
      <c r="X638" s="21"/>
      <c r="Y638" s="21"/>
      <c r="Z638" s="32"/>
      <c r="AA638" s="27"/>
      <c r="AB638" s="32"/>
      <c r="AC638" s="21"/>
    </row>
    <row r="639" spans="5:29" ht="12.75"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32"/>
      <c r="Q639" s="34"/>
      <c r="R639" s="21"/>
      <c r="S639" s="21"/>
      <c r="T639" s="21"/>
      <c r="U639" s="21"/>
      <c r="V639" s="21"/>
      <c r="W639" s="21"/>
      <c r="X639" s="21"/>
      <c r="Y639" s="21"/>
      <c r="Z639" s="32"/>
      <c r="AA639" s="27"/>
      <c r="AB639" s="32"/>
      <c r="AC639" s="21"/>
    </row>
    <row r="640" spans="5:29" ht="12.75"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32"/>
      <c r="Q640" s="34"/>
      <c r="R640" s="21"/>
      <c r="S640" s="21"/>
      <c r="T640" s="21"/>
      <c r="U640" s="21"/>
      <c r="V640" s="21"/>
      <c r="W640" s="21"/>
      <c r="X640" s="21"/>
      <c r="Y640" s="21"/>
      <c r="Z640" s="32"/>
      <c r="AA640" s="27"/>
      <c r="AB640" s="32"/>
      <c r="AC640" s="21"/>
    </row>
    <row r="641" spans="5:29" ht="12.75"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32"/>
      <c r="Q641" s="34"/>
      <c r="R641" s="21"/>
      <c r="S641" s="21"/>
      <c r="T641" s="21"/>
      <c r="U641" s="21"/>
      <c r="V641" s="21"/>
      <c r="W641" s="21"/>
      <c r="X641" s="21"/>
      <c r="Y641" s="21"/>
      <c r="Z641" s="32"/>
      <c r="AA641" s="27"/>
      <c r="AB641" s="32"/>
      <c r="AC641" s="21"/>
    </row>
    <row r="642" spans="5:29" ht="12.75"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32"/>
      <c r="Q642" s="34"/>
      <c r="R642" s="21"/>
      <c r="S642" s="21"/>
      <c r="T642" s="21"/>
      <c r="U642" s="21"/>
      <c r="V642" s="21"/>
      <c r="W642" s="21"/>
      <c r="X642" s="21"/>
      <c r="Y642" s="21"/>
      <c r="Z642" s="32"/>
      <c r="AA642" s="27"/>
      <c r="AB642" s="32"/>
      <c r="AC642" s="21"/>
    </row>
    <row r="643" spans="5:29" ht="12.75"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32"/>
      <c r="Q643" s="34"/>
      <c r="R643" s="21"/>
      <c r="S643" s="21"/>
      <c r="T643" s="21"/>
      <c r="U643" s="21"/>
      <c r="V643" s="21"/>
      <c r="W643" s="21"/>
      <c r="X643" s="21"/>
      <c r="Y643" s="21"/>
      <c r="Z643" s="32"/>
      <c r="AA643" s="27"/>
      <c r="AB643" s="32"/>
      <c r="AC643" s="21"/>
    </row>
    <row r="644" spans="5:29" ht="12.75"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32"/>
      <c r="Q644" s="34"/>
      <c r="R644" s="21"/>
      <c r="S644" s="21"/>
      <c r="T644" s="21"/>
      <c r="U644" s="21"/>
      <c r="V644" s="21"/>
      <c r="W644" s="21"/>
      <c r="X644" s="21"/>
      <c r="Y644" s="21"/>
      <c r="Z644" s="32"/>
      <c r="AA644" s="27"/>
      <c r="AB644" s="32"/>
      <c r="AC644" s="21"/>
    </row>
    <row r="645" spans="5:29" ht="12.75"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32"/>
      <c r="Q645" s="34"/>
      <c r="R645" s="21"/>
      <c r="S645" s="21"/>
      <c r="T645" s="21"/>
      <c r="U645" s="21"/>
      <c r="V645" s="21"/>
      <c r="W645" s="21"/>
      <c r="X645" s="21"/>
      <c r="Y645" s="21"/>
      <c r="Z645" s="32"/>
      <c r="AA645" s="27"/>
      <c r="AB645" s="32"/>
      <c r="AC645" s="21"/>
    </row>
    <row r="646" spans="5:29" ht="12.75"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32"/>
      <c r="Q646" s="34"/>
      <c r="R646" s="21"/>
      <c r="S646" s="21"/>
      <c r="T646" s="21"/>
      <c r="U646" s="21"/>
      <c r="V646" s="21"/>
      <c r="W646" s="21"/>
      <c r="X646" s="21"/>
      <c r="Y646" s="21"/>
      <c r="Z646" s="32"/>
      <c r="AA646" s="27"/>
      <c r="AB646" s="32"/>
      <c r="AC646" s="21"/>
    </row>
    <row r="647" spans="5:29" ht="12.75"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32"/>
      <c r="Q647" s="34"/>
      <c r="R647" s="21"/>
      <c r="S647" s="21"/>
      <c r="T647" s="21"/>
      <c r="U647" s="21"/>
      <c r="V647" s="21"/>
      <c r="W647" s="21"/>
      <c r="X647" s="21"/>
      <c r="Y647" s="21"/>
      <c r="Z647" s="32"/>
      <c r="AA647" s="27"/>
      <c r="AB647" s="32"/>
      <c r="AC647" s="21"/>
    </row>
    <row r="648" spans="5:29" ht="12.75"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32"/>
      <c r="Q648" s="34"/>
      <c r="R648" s="21"/>
      <c r="S648" s="21"/>
      <c r="T648" s="21"/>
      <c r="U648" s="21"/>
      <c r="V648" s="21"/>
      <c r="W648" s="21"/>
      <c r="X648" s="21"/>
      <c r="Y648" s="21"/>
      <c r="Z648" s="32"/>
      <c r="AA648" s="27"/>
      <c r="AB648" s="32"/>
      <c r="AC648" s="21"/>
    </row>
    <row r="649" spans="5:29" ht="12.75"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32"/>
      <c r="Q649" s="34"/>
      <c r="R649" s="21"/>
      <c r="S649" s="21"/>
      <c r="T649" s="21"/>
      <c r="U649" s="21"/>
      <c r="V649" s="21"/>
      <c r="W649" s="21"/>
      <c r="X649" s="21"/>
      <c r="Y649" s="21"/>
      <c r="Z649" s="32"/>
      <c r="AA649" s="27"/>
      <c r="AB649" s="32"/>
      <c r="AC649" s="21"/>
    </row>
    <row r="650" spans="5:29" ht="12.75"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32"/>
      <c r="Q650" s="34"/>
      <c r="R650" s="21"/>
      <c r="S650" s="21"/>
      <c r="T650" s="21"/>
      <c r="U650" s="21"/>
      <c r="V650" s="21"/>
      <c r="W650" s="21"/>
      <c r="X650" s="21"/>
      <c r="Y650" s="21"/>
      <c r="Z650" s="32"/>
      <c r="AA650" s="27"/>
      <c r="AB650" s="32"/>
      <c r="AC650" s="21"/>
    </row>
    <row r="651" spans="5:29" ht="12.75"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32"/>
      <c r="Q651" s="34"/>
      <c r="R651" s="21"/>
      <c r="S651" s="21"/>
      <c r="T651" s="21"/>
      <c r="U651" s="21"/>
      <c r="V651" s="21"/>
      <c r="W651" s="21"/>
      <c r="X651" s="21"/>
      <c r="Y651" s="21"/>
      <c r="Z651" s="32"/>
      <c r="AA651" s="27"/>
      <c r="AB651" s="32"/>
      <c r="AC651" s="21"/>
    </row>
    <row r="652" spans="5:29" ht="12.75"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32"/>
      <c r="Q652" s="34"/>
      <c r="R652" s="21"/>
      <c r="S652" s="21"/>
      <c r="T652" s="21"/>
      <c r="U652" s="21"/>
      <c r="V652" s="21"/>
      <c r="W652" s="21"/>
      <c r="X652" s="21"/>
      <c r="Y652" s="21"/>
      <c r="Z652" s="32"/>
      <c r="AA652" s="27"/>
      <c r="AB652" s="32"/>
      <c r="AC652" s="21"/>
    </row>
    <row r="653" spans="5:29" ht="12.75"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32"/>
      <c r="Q653" s="34"/>
      <c r="R653" s="21"/>
      <c r="S653" s="21"/>
      <c r="T653" s="21"/>
      <c r="U653" s="21"/>
      <c r="V653" s="21"/>
      <c r="W653" s="21"/>
      <c r="X653" s="21"/>
      <c r="Y653" s="21"/>
      <c r="Z653" s="32"/>
      <c r="AA653" s="27"/>
      <c r="AB653" s="32"/>
      <c r="AC653" s="21"/>
    </row>
    <row r="654" spans="5:29" ht="12.75"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32"/>
      <c r="Q654" s="34"/>
      <c r="R654" s="21"/>
      <c r="S654" s="21"/>
      <c r="T654" s="21"/>
      <c r="U654" s="21"/>
      <c r="V654" s="21"/>
      <c r="W654" s="21"/>
      <c r="X654" s="21"/>
      <c r="Y654" s="21"/>
      <c r="Z654" s="32"/>
      <c r="AA654" s="27"/>
      <c r="AB654" s="32"/>
      <c r="AC654" s="21"/>
    </row>
    <row r="655" spans="5:29" ht="12.75"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32"/>
      <c r="Q655" s="34"/>
      <c r="R655" s="21"/>
      <c r="S655" s="21"/>
      <c r="T655" s="21"/>
      <c r="U655" s="21"/>
      <c r="V655" s="21"/>
      <c r="W655" s="21"/>
      <c r="X655" s="21"/>
      <c r="Y655" s="21"/>
      <c r="Z655" s="32"/>
      <c r="AA655" s="27"/>
      <c r="AB655" s="32"/>
      <c r="AC655" s="21"/>
    </row>
    <row r="656" spans="5:29" ht="12.75"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32"/>
      <c r="Q656" s="34"/>
      <c r="R656" s="21"/>
      <c r="S656" s="21"/>
      <c r="T656" s="21"/>
      <c r="U656" s="21"/>
      <c r="V656" s="21"/>
      <c r="W656" s="21"/>
      <c r="X656" s="21"/>
      <c r="Y656" s="21"/>
      <c r="Z656" s="32"/>
      <c r="AA656" s="27"/>
      <c r="AB656" s="32"/>
      <c r="AC656" s="21"/>
    </row>
    <row r="657" spans="5:29" ht="12.75"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32"/>
      <c r="Q657" s="34"/>
      <c r="R657" s="21"/>
      <c r="S657" s="21"/>
      <c r="T657" s="21"/>
      <c r="U657" s="21"/>
      <c r="V657" s="21"/>
      <c r="W657" s="21"/>
      <c r="X657" s="21"/>
      <c r="Y657" s="21"/>
      <c r="Z657" s="32"/>
      <c r="AA657" s="27"/>
      <c r="AB657" s="32"/>
      <c r="AC657" s="21"/>
    </row>
    <row r="658" spans="5:29" ht="12.75"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32"/>
      <c r="Q658" s="34"/>
      <c r="R658" s="21"/>
      <c r="S658" s="21"/>
      <c r="T658" s="21"/>
      <c r="U658" s="21"/>
      <c r="V658" s="21"/>
      <c r="W658" s="21"/>
      <c r="X658" s="21"/>
      <c r="Y658" s="21"/>
      <c r="Z658" s="32"/>
      <c r="AA658" s="27"/>
      <c r="AB658" s="32"/>
      <c r="AC658" s="21"/>
    </row>
    <row r="659" spans="5:29" ht="12.75"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32"/>
      <c r="Q659" s="34"/>
      <c r="R659" s="21"/>
      <c r="S659" s="21"/>
      <c r="T659" s="21"/>
      <c r="U659" s="21"/>
      <c r="V659" s="21"/>
      <c r="W659" s="21"/>
      <c r="X659" s="21"/>
      <c r="Y659" s="21"/>
      <c r="Z659" s="32"/>
      <c r="AA659" s="27"/>
      <c r="AB659" s="32"/>
      <c r="AC659" s="21"/>
    </row>
    <row r="660" spans="5:29" ht="12.75"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32"/>
      <c r="Q660" s="34"/>
      <c r="R660" s="21"/>
      <c r="S660" s="21"/>
      <c r="T660" s="21"/>
      <c r="U660" s="21"/>
      <c r="V660" s="21"/>
      <c r="W660" s="21"/>
      <c r="X660" s="21"/>
      <c r="Y660" s="21"/>
      <c r="Z660" s="32"/>
      <c r="AA660" s="27"/>
      <c r="AB660" s="32"/>
      <c r="AC660" s="21"/>
    </row>
    <row r="661" spans="5:29" ht="12.75"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32"/>
      <c r="Q661" s="34"/>
      <c r="R661" s="21"/>
      <c r="S661" s="21"/>
      <c r="T661" s="21"/>
      <c r="U661" s="21"/>
      <c r="V661" s="21"/>
      <c r="W661" s="21"/>
      <c r="X661" s="21"/>
      <c r="Y661" s="21"/>
      <c r="Z661" s="32"/>
      <c r="AA661" s="27"/>
      <c r="AB661" s="32"/>
      <c r="AC661" s="21"/>
    </row>
    <row r="662" spans="5:29" ht="12.75"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32"/>
      <c r="Q662" s="34"/>
      <c r="R662" s="21"/>
      <c r="S662" s="21"/>
      <c r="T662" s="21"/>
      <c r="U662" s="21"/>
      <c r="V662" s="21"/>
      <c r="W662" s="21"/>
      <c r="X662" s="21"/>
      <c r="Y662" s="21"/>
      <c r="Z662" s="32"/>
      <c r="AA662" s="27"/>
      <c r="AB662" s="32"/>
      <c r="AC662" s="21"/>
    </row>
    <row r="663" spans="5:29" ht="12.75"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32"/>
      <c r="Q663" s="34"/>
      <c r="R663" s="21"/>
      <c r="S663" s="21"/>
      <c r="T663" s="21"/>
      <c r="U663" s="21"/>
      <c r="V663" s="21"/>
      <c r="W663" s="21"/>
      <c r="X663" s="21"/>
      <c r="Y663" s="21"/>
      <c r="Z663" s="32"/>
      <c r="AA663" s="27"/>
      <c r="AB663" s="32"/>
      <c r="AC663" s="21"/>
    </row>
    <row r="664" spans="5:29" ht="12.75"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32"/>
      <c r="Q664" s="34"/>
      <c r="R664" s="21"/>
      <c r="S664" s="21"/>
      <c r="T664" s="21"/>
      <c r="U664" s="21"/>
      <c r="V664" s="21"/>
      <c r="W664" s="21"/>
      <c r="X664" s="21"/>
      <c r="Y664" s="21"/>
      <c r="Z664" s="32"/>
      <c r="AA664" s="27"/>
      <c r="AB664" s="32"/>
      <c r="AC664" s="21"/>
    </row>
    <row r="665" spans="5:29" ht="12.75"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32"/>
      <c r="Q665" s="34"/>
      <c r="R665" s="21"/>
      <c r="S665" s="21"/>
      <c r="T665" s="21"/>
      <c r="U665" s="21"/>
      <c r="V665" s="21"/>
      <c r="W665" s="21"/>
      <c r="X665" s="21"/>
      <c r="Y665" s="21"/>
      <c r="Z665" s="32"/>
      <c r="AA665" s="27"/>
      <c r="AB665" s="32"/>
      <c r="AC665" s="21"/>
    </row>
    <row r="666" spans="5:29" ht="12.75"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32"/>
      <c r="Q666" s="34"/>
      <c r="R666" s="21"/>
      <c r="S666" s="21"/>
      <c r="T666" s="21"/>
      <c r="U666" s="21"/>
      <c r="V666" s="21"/>
      <c r="W666" s="21"/>
      <c r="X666" s="21"/>
      <c r="Y666" s="21"/>
      <c r="Z666" s="32"/>
      <c r="AA666" s="27"/>
      <c r="AB666" s="32"/>
      <c r="AC666" s="21"/>
    </row>
    <row r="667" spans="5:29" ht="12.75"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32"/>
      <c r="Q667" s="34"/>
      <c r="R667" s="21"/>
      <c r="S667" s="21"/>
      <c r="T667" s="21"/>
      <c r="U667" s="21"/>
      <c r="V667" s="21"/>
      <c r="W667" s="21"/>
      <c r="X667" s="21"/>
      <c r="Y667" s="21"/>
      <c r="Z667" s="32"/>
      <c r="AA667" s="27"/>
      <c r="AB667" s="32"/>
      <c r="AC667" s="21"/>
    </row>
    <row r="668" spans="5:29" ht="12.75"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32"/>
      <c r="Q668" s="34"/>
      <c r="R668" s="21"/>
      <c r="S668" s="21"/>
      <c r="T668" s="21"/>
      <c r="U668" s="21"/>
      <c r="V668" s="21"/>
      <c r="W668" s="21"/>
      <c r="X668" s="21"/>
      <c r="Y668" s="21"/>
      <c r="Z668" s="32"/>
      <c r="AA668" s="27"/>
      <c r="AB668" s="32"/>
      <c r="AC668" s="21"/>
    </row>
    <row r="669" spans="5:29" ht="12.75"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32"/>
      <c r="Q669" s="34"/>
      <c r="R669" s="21"/>
      <c r="S669" s="21"/>
      <c r="T669" s="21"/>
      <c r="U669" s="21"/>
      <c r="V669" s="21"/>
      <c r="W669" s="21"/>
      <c r="X669" s="21"/>
      <c r="Y669" s="21"/>
      <c r="Z669" s="32"/>
      <c r="AA669" s="27"/>
      <c r="AB669" s="32"/>
      <c r="AC669" s="21"/>
    </row>
    <row r="670" spans="5:29" ht="12.75"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32"/>
      <c r="Q670" s="34"/>
      <c r="R670" s="21"/>
      <c r="S670" s="21"/>
      <c r="T670" s="21"/>
      <c r="U670" s="21"/>
      <c r="V670" s="21"/>
      <c r="W670" s="21"/>
      <c r="X670" s="21"/>
      <c r="Y670" s="21"/>
      <c r="Z670" s="32"/>
      <c r="AA670" s="27"/>
      <c r="AB670" s="32"/>
      <c r="AC670" s="21"/>
    </row>
    <row r="671" spans="5:29" ht="12.75"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32"/>
      <c r="Q671" s="34"/>
      <c r="R671" s="21"/>
      <c r="S671" s="21"/>
      <c r="T671" s="21"/>
      <c r="U671" s="21"/>
      <c r="V671" s="21"/>
      <c r="W671" s="21"/>
      <c r="X671" s="21"/>
      <c r="Y671" s="21"/>
      <c r="Z671" s="32"/>
      <c r="AA671" s="27"/>
      <c r="AB671" s="32"/>
      <c r="AC671" s="21"/>
    </row>
    <row r="672" spans="5:29" ht="12.75"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32"/>
      <c r="Q672" s="34"/>
      <c r="R672" s="21"/>
      <c r="S672" s="21"/>
      <c r="T672" s="21"/>
      <c r="U672" s="21"/>
      <c r="V672" s="21"/>
      <c r="W672" s="21"/>
      <c r="X672" s="21"/>
      <c r="Y672" s="21"/>
      <c r="Z672" s="32"/>
      <c r="AA672" s="27"/>
      <c r="AB672" s="32"/>
      <c r="AC672" s="21"/>
    </row>
    <row r="673" spans="5:29" ht="12.75"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32"/>
      <c r="Q673" s="34"/>
      <c r="R673" s="21"/>
      <c r="S673" s="21"/>
      <c r="T673" s="21"/>
      <c r="U673" s="21"/>
      <c r="V673" s="21"/>
      <c r="W673" s="21"/>
      <c r="X673" s="21"/>
      <c r="Y673" s="21"/>
      <c r="Z673" s="32"/>
      <c r="AA673" s="27"/>
      <c r="AB673" s="32"/>
      <c r="AC673" s="21"/>
    </row>
    <row r="674" spans="5:29" ht="12.75"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32"/>
      <c r="Q674" s="34"/>
      <c r="R674" s="21"/>
      <c r="S674" s="21"/>
      <c r="T674" s="21"/>
      <c r="U674" s="21"/>
      <c r="V674" s="21"/>
      <c r="W674" s="21"/>
      <c r="X674" s="21"/>
      <c r="Y674" s="21"/>
      <c r="Z674" s="32"/>
      <c r="AA674" s="27"/>
      <c r="AB674" s="32"/>
      <c r="AC674" s="21"/>
    </row>
    <row r="675" spans="5:29" ht="12.75"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32"/>
      <c r="Q675" s="34"/>
      <c r="R675" s="21"/>
      <c r="S675" s="21"/>
      <c r="T675" s="21"/>
      <c r="U675" s="21"/>
      <c r="V675" s="21"/>
      <c r="W675" s="21"/>
      <c r="X675" s="21"/>
      <c r="Y675" s="21"/>
      <c r="Z675" s="32"/>
      <c r="AA675" s="27"/>
      <c r="AB675" s="32"/>
      <c r="AC675" s="21"/>
    </row>
    <row r="676" spans="5:29" ht="12.75"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32"/>
      <c r="Q676" s="34"/>
      <c r="R676" s="21"/>
      <c r="S676" s="21"/>
      <c r="T676" s="21"/>
      <c r="U676" s="21"/>
      <c r="V676" s="21"/>
      <c r="W676" s="21"/>
      <c r="X676" s="21"/>
      <c r="Y676" s="21"/>
      <c r="Z676" s="32"/>
      <c r="AA676" s="27"/>
      <c r="AB676" s="32"/>
      <c r="AC676" s="21"/>
    </row>
    <row r="677" spans="5:29" ht="12.75"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32"/>
      <c r="Q677" s="34"/>
      <c r="R677" s="21"/>
      <c r="S677" s="21"/>
      <c r="T677" s="21"/>
      <c r="U677" s="21"/>
      <c r="V677" s="21"/>
      <c r="W677" s="21"/>
      <c r="X677" s="21"/>
      <c r="Y677" s="21"/>
      <c r="Z677" s="32"/>
      <c r="AA677" s="27"/>
      <c r="AB677" s="32"/>
      <c r="AC677" s="21"/>
    </row>
    <row r="678" spans="5:29" ht="12.75"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32"/>
      <c r="Q678" s="34"/>
      <c r="R678" s="21"/>
      <c r="S678" s="21"/>
      <c r="T678" s="21"/>
      <c r="U678" s="21"/>
      <c r="V678" s="21"/>
      <c r="W678" s="21"/>
      <c r="X678" s="21"/>
      <c r="Y678" s="21"/>
      <c r="Z678" s="32"/>
      <c r="AA678" s="27"/>
      <c r="AB678" s="32"/>
      <c r="AC678" s="21"/>
    </row>
    <row r="679" spans="5:29" ht="12.75"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32"/>
      <c r="Q679" s="34"/>
      <c r="R679" s="21"/>
      <c r="S679" s="21"/>
      <c r="T679" s="21"/>
      <c r="U679" s="21"/>
      <c r="V679" s="21"/>
      <c r="W679" s="21"/>
      <c r="X679" s="21"/>
      <c r="Y679" s="21"/>
      <c r="Z679" s="32"/>
      <c r="AA679" s="27"/>
      <c r="AB679" s="32"/>
      <c r="AC679" s="21"/>
    </row>
    <row r="680" spans="5:29" ht="12.75"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32"/>
      <c r="Q680" s="34"/>
      <c r="R680" s="21"/>
      <c r="S680" s="21"/>
      <c r="T680" s="21"/>
      <c r="U680" s="21"/>
      <c r="V680" s="21"/>
      <c r="W680" s="21"/>
      <c r="X680" s="21"/>
      <c r="Y680" s="21"/>
      <c r="Z680" s="32"/>
      <c r="AA680" s="27"/>
      <c r="AB680" s="32"/>
      <c r="AC680" s="21"/>
    </row>
    <row r="681" spans="5:29" ht="12.75"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32"/>
      <c r="Q681" s="34"/>
      <c r="R681" s="21"/>
      <c r="S681" s="21"/>
      <c r="T681" s="21"/>
      <c r="U681" s="21"/>
      <c r="V681" s="21"/>
      <c r="W681" s="21"/>
      <c r="X681" s="21"/>
      <c r="Y681" s="21"/>
      <c r="Z681" s="32"/>
      <c r="AA681" s="27"/>
      <c r="AB681" s="32"/>
      <c r="AC681" s="21"/>
    </row>
    <row r="682" spans="5:29" ht="12.75"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32"/>
      <c r="Q682" s="34"/>
      <c r="R682" s="21"/>
      <c r="S682" s="21"/>
      <c r="T682" s="21"/>
      <c r="U682" s="21"/>
      <c r="V682" s="21"/>
      <c r="W682" s="21"/>
      <c r="X682" s="21"/>
      <c r="Y682" s="21"/>
      <c r="Z682" s="32"/>
      <c r="AA682" s="27"/>
      <c r="AB682" s="32"/>
      <c r="AC682" s="21"/>
    </row>
    <row r="683" spans="5:29" ht="12.75"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32"/>
      <c r="Q683" s="34"/>
      <c r="R683" s="21"/>
      <c r="S683" s="21"/>
      <c r="T683" s="21"/>
      <c r="U683" s="21"/>
      <c r="V683" s="21"/>
      <c r="W683" s="21"/>
      <c r="X683" s="21"/>
      <c r="Y683" s="21"/>
      <c r="Z683" s="32"/>
      <c r="AA683" s="27"/>
      <c r="AB683" s="32"/>
      <c r="AC683" s="21"/>
    </row>
    <row r="684" spans="5:29" ht="12.75"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32"/>
      <c r="Q684" s="34"/>
      <c r="R684" s="21"/>
      <c r="S684" s="21"/>
      <c r="T684" s="21"/>
      <c r="U684" s="21"/>
      <c r="V684" s="21"/>
      <c r="W684" s="21"/>
      <c r="X684" s="21"/>
      <c r="Y684" s="21"/>
      <c r="Z684" s="32"/>
      <c r="AA684" s="27"/>
      <c r="AB684" s="32"/>
      <c r="AC684" s="21"/>
    </row>
    <row r="685" spans="5:29" ht="12.75"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32"/>
      <c r="Q685" s="34"/>
      <c r="R685" s="21"/>
      <c r="S685" s="21"/>
      <c r="T685" s="21"/>
      <c r="U685" s="21"/>
      <c r="V685" s="21"/>
      <c r="W685" s="21"/>
      <c r="X685" s="21"/>
      <c r="Y685" s="21"/>
      <c r="Z685" s="32"/>
      <c r="AA685" s="27"/>
      <c r="AB685" s="32"/>
      <c r="AC685" s="21"/>
    </row>
    <row r="686" spans="5:29" ht="12.75"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32"/>
      <c r="Q686" s="34"/>
      <c r="R686" s="21"/>
      <c r="S686" s="21"/>
      <c r="T686" s="21"/>
      <c r="U686" s="21"/>
      <c r="V686" s="21"/>
      <c r="W686" s="21"/>
      <c r="X686" s="21"/>
      <c r="Y686" s="21"/>
      <c r="Z686" s="32"/>
      <c r="AA686" s="27"/>
      <c r="AB686" s="32"/>
      <c r="AC686" s="21"/>
    </row>
    <row r="687" spans="5:29" ht="12.75"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32"/>
      <c r="Q687" s="34"/>
      <c r="R687" s="21"/>
      <c r="S687" s="21"/>
      <c r="T687" s="21"/>
      <c r="U687" s="21"/>
      <c r="V687" s="21"/>
      <c r="W687" s="21"/>
      <c r="X687" s="21"/>
      <c r="Y687" s="21"/>
      <c r="Z687" s="32"/>
      <c r="AA687" s="27"/>
      <c r="AB687" s="32"/>
      <c r="AC687" s="21"/>
    </row>
    <row r="688" spans="5:29" ht="12.75"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32"/>
      <c r="Q688" s="34"/>
      <c r="R688" s="21"/>
      <c r="S688" s="21"/>
      <c r="T688" s="21"/>
      <c r="U688" s="21"/>
      <c r="V688" s="21"/>
      <c r="W688" s="21"/>
      <c r="X688" s="21"/>
      <c r="Y688" s="21"/>
      <c r="Z688" s="32"/>
      <c r="AA688" s="27"/>
      <c r="AB688" s="32"/>
      <c r="AC688" s="21"/>
    </row>
    <row r="689" spans="5:29" ht="12.75"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32"/>
      <c r="Q689" s="34"/>
      <c r="R689" s="21"/>
      <c r="S689" s="21"/>
      <c r="T689" s="21"/>
      <c r="U689" s="21"/>
      <c r="V689" s="21"/>
      <c r="W689" s="21"/>
      <c r="X689" s="21"/>
      <c r="Y689" s="21"/>
      <c r="Z689" s="32"/>
      <c r="AA689" s="27"/>
      <c r="AB689" s="32"/>
      <c r="AC689" s="21"/>
    </row>
    <row r="690" spans="5:29" ht="12.75"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32"/>
      <c r="Q690" s="34"/>
      <c r="R690" s="21"/>
      <c r="S690" s="21"/>
      <c r="T690" s="21"/>
      <c r="U690" s="21"/>
      <c r="V690" s="21"/>
      <c r="W690" s="21"/>
      <c r="X690" s="21"/>
      <c r="Y690" s="21"/>
      <c r="Z690" s="32"/>
      <c r="AA690" s="27"/>
      <c r="AB690" s="32"/>
      <c r="AC690" s="21"/>
    </row>
    <row r="691" spans="5:29" ht="12.75"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32"/>
      <c r="Q691" s="34"/>
      <c r="R691" s="21"/>
      <c r="S691" s="21"/>
      <c r="T691" s="21"/>
      <c r="U691" s="21"/>
      <c r="V691" s="21"/>
      <c r="W691" s="21"/>
      <c r="X691" s="21"/>
      <c r="Y691" s="21"/>
      <c r="Z691" s="32"/>
      <c r="AA691" s="27"/>
      <c r="AB691" s="32"/>
      <c r="AC691" s="21"/>
    </row>
    <row r="692" spans="5:29" ht="12.75"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32"/>
      <c r="Q692" s="34"/>
      <c r="R692" s="21"/>
      <c r="S692" s="21"/>
      <c r="T692" s="21"/>
      <c r="U692" s="21"/>
      <c r="V692" s="21"/>
      <c r="W692" s="21"/>
      <c r="X692" s="21"/>
      <c r="Y692" s="21"/>
      <c r="Z692" s="32"/>
      <c r="AA692" s="27"/>
      <c r="AB692" s="32"/>
      <c r="AC692" s="21"/>
    </row>
    <row r="693" spans="5:29" ht="12.75"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32"/>
      <c r="Q693" s="34"/>
      <c r="R693" s="21"/>
      <c r="S693" s="21"/>
      <c r="T693" s="21"/>
      <c r="U693" s="21"/>
      <c r="V693" s="21"/>
      <c r="W693" s="21"/>
      <c r="X693" s="21"/>
      <c r="Y693" s="21"/>
      <c r="Z693" s="32"/>
      <c r="AA693" s="27"/>
      <c r="AB693" s="32"/>
      <c r="AC693" s="21"/>
    </row>
    <row r="694" spans="5:29" ht="12.75"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32"/>
      <c r="Q694" s="34"/>
      <c r="R694" s="21"/>
      <c r="S694" s="21"/>
      <c r="T694" s="21"/>
      <c r="U694" s="21"/>
      <c r="V694" s="21"/>
      <c r="W694" s="21"/>
      <c r="X694" s="21"/>
      <c r="Y694" s="21"/>
      <c r="Z694" s="32"/>
      <c r="AA694" s="27"/>
      <c r="AB694" s="32"/>
      <c r="AC694" s="21"/>
    </row>
    <row r="695" spans="5:29" ht="12.75"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32"/>
      <c r="Q695" s="34"/>
      <c r="R695" s="21"/>
      <c r="S695" s="21"/>
      <c r="T695" s="21"/>
      <c r="U695" s="21"/>
      <c r="V695" s="21"/>
      <c r="W695" s="21"/>
      <c r="X695" s="21"/>
      <c r="Y695" s="21"/>
      <c r="Z695" s="32"/>
      <c r="AA695" s="27"/>
      <c r="AB695" s="32"/>
      <c r="AC695" s="21"/>
    </row>
    <row r="696" spans="5:29" ht="12.75"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32"/>
      <c r="Q696" s="34"/>
      <c r="R696" s="21"/>
      <c r="S696" s="21"/>
      <c r="T696" s="21"/>
      <c r="U696" s="21"/>
      <c r="V696" s="21"/>
      <c r="W696" s="21"/>
      <c r="X696" s="21"/>
      <c r="Y696" s="21"/>
      <c r="Z696" s="32"/>
      <c r="AA696" s="27"/>
      <c r="AB696" s="32"/>
      <c r="AC696" s="21"/>
    </row>
    <row r="697" spans="5:29" ht="12.75"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32"/>
      <c r="Q697" s="34"/>
      <c r="R697" s="21"/>
      <c r="S697" s="21"/>
      <c r="T697" s="21"/>
      <c r="U697" s="21"/>
      <c r="V697" s="21"/>
      <c r="W697" s="21"/>
      <c r="X697" s="21"/>
      <c r="Y697" s="21"/>
      <c r="Z697" s="32"/>
      <c r="AA697" s="27"/>
      <c r="AB697" s="32"/>
      <c r="AC697" s="21"/>
    </row>
    <row r="698" spans="5:29" ht="12.75"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32"/>
      <c r="Q698" s="34"/>
      <c r="R698" s="21"/>
      <c r="S698" s="21"/>
      <c r="T698" s="21"/>
      <c r="U698" s="21"/>
      <c r="V698" s="21"/>
      <c r="W698" s="21"/>
      <c r="X698" s="21"/>
      <c r="Y698" s="21"/>
      <c r="Z698" s="32"/>
      <c r="AA698" s="27"/>
      <c r="AB698" s="32"/>
      <c r="AC698" s="21"/>
    </row>
    <row r="699" spans="5:29" ht="12.75"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32"/>
      <c r="Q699" s="34"/>
      <c r="R699" s="21"/>
      <c r="S699" s="21"/>
      <c r="T699" s="21"/>
      <c r="U699" s="21"/>
      <c r="V699" s="21"/>
      <c r="W699" s="21"/>
      <c r="X699" s="21"/>
      <c r="Y699" s="21"/>
      <c r="Z699" s="32"/>
      <c r="AA699" s="27"/>
      <c r="AB699" s="32"/>
      <c r="AC699" s="21"/>
    </row>
    <row r="700" spans="5:29" ht="12.75"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32"/>
      <c r="Q700" s="34"/>
      <c r="R700" s="21"/>
      <c r="S700" s="21"/>
      <c r="T700" s="21"/>
      <c r="U700" s="21"/>
      <c r="V700" s="21"/>
      <c r="W700" s="21"/>
      <c r="X700" s="21"/>
      <c r="Y700" s="21"/>
      <c r="Z700" s="32"/>
      <c r="AA700" s="27"/>
      <c r="AB700" s="32"/>
      <c r="AC700" s="21"/>
    </row>
    <row r="701" spans="5:29" ht="12.75"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32"/>
      <c r="Q701" s="34"/>
      <c r="R701" s="21"/>
      <c r="S701" s="21"/>
      <c r="T701" s="21"/>
      <c r="U701" s="21"/>
      <c r="V701" s="21"/>
      <c r="W701" s="21"/>
      <c r="X701" s="21"/>
      <c r="Y701" s="21"/>
      <c r="Z701" s="32"/>
      <c r="AA701" s="27"/>
      <c r="AB701" s="32"/>
      <c r="AC701" s="21"/>
    </row>
    <row r="702" spans="5:29" ht="12.75"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32"/>
      <c r="Q702" s="34"/>
      <c r="R702" s="21"/>
      <c r="S702" s="21"/>
      <c r="T702" s="21"/>
      <c r="U702" s="21"/>
      <c r="V702" s="21"/>
      <c r="W702" s="21"/>
      <c r="X702" s="21"/>
      <c r="Y702" s="21"/>
      <c r="Z702" s="32"/>
      <c r="AA702" s="27"/>
      <c r="AB702" s="32"/>
      <c r="AC702" s="21"/>
    </row>
    <row r="703" spans="5:29" ht="12.75"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32"/>
      <c r="Q703" s="34"/>
      <c r="R703" s="21"/>
      <c r="S703" s="21"/>
      <c r="T703" s="21"/>
      <c r="U703" s="21"/>
      <c r="V703" s="21"/>
      <c r="W703" s="21"/>
      <c r="X703" s="21"/>
      <c r="Y703" s="21"/>
      <c r="Z703" s="32"/>
      <c r="AA703" s="27"/>
      <c r="AB703" s="32"/>
      <c r="AC703" s="21"/>
    </row>
    <row r="704" spans="5:29" ht="12.75"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32"/>
      <c r="Q704" s="34"/>
      <c r="R704" s="21"/>
      <c r="S704" s="21"/>
      <c r="T704" s="21"/>
      <c r="U704" s="21"/>
      <c r="V704" s="21"/>
      <c r="W704" s="21"/>
      <c r="X704" s="21"/>
      <c r="Y704" s="21"/>
      <c r="Z704" s="32"/>
      <c r="AA704" s="27"/>
      <c r="AB704" s="32"/>
      <c r="AC704" s="21"/>
    </row>
    <row r="705" spans="5:29" ht="12.75"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32"/>
      <c r="Q705" s="34"/>
      <c r="R705" s="21"/>
      <c r="S705" s="21"/>
      <c r="T705" s="21"/>
      <c r="U705" s="21"/>
      <c r="V705" s="21"/>
      <c r="W705" s="21"/>
      <c r="X705" s="21"/>
      <c r="Y705" s="21"/>
      <c r="Z705" s="32"/>
      <c r="AA705" s="27"/>
      <c r="AB705" s="32"/>
      <c r="AC705" s="21"/>
    </row>
    <row r="706" spans="5:29" ht="12.75"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32"/>
      <c r="Q706" s="34"/>
      <c r="R706" s="21"/>
      <c r="S706" s="21"/>
      <c r="T706" s="21"/>
      <c r="U706" s="21"/>
      <c r="V706" s="21"/>
      <c r="W706" s="21"/>
      <c r="X706" s="21"/>
      <c r="Y706" s="21"/>
      <c r="Z706" s="32"/>
      <c r="AA706" s="27"/>
      <c r="AB706" s="32"/>
      <c r="AC706" s="21"/>
    </row>
    <row r="707" spans="5:29" ht="12.75"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32"/>
      <c r="Q707" s="34"/>
      <c r="R707" s="21"/>
      <c r="S707" s="21"/>
      <c r="T707" s="21"/>
      <c r="U707" s="21"/>
      <c r="V707" s="21"/>
      <c r="W707" s="21"/>
      <c r="X707" s="21"/>
      <c r="Y707" s="21"/>
      <c r="Z707" s="32"/>
      <c r="AA707" s="27"/>
      <c r="AB707" s="32"/>
      <c r="AC707" s="21"/>
    </row>
    <row r="708" spans="5:29" ht="12.75"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32"/>
      <c r="Q708" s="34"/>
      <c r="R708" s="21"/>
      <c r="S708" s="21"/>
      <c r="T708" s="21"/>
      <c r="U708" s="21"/>
      <c r="V708" s="21"/>
      <c r="W708" s="21"/>
      <c r="X708" s="21"/>
      <c r="Y708" s="21"/>
      <c r="Z708" s="32"/>
      <c r="AA708" s="27"/>
      <c r="AB708" s="32"/>
      <c r="AC708" s="21"/>
    </row>
    <row r="709" spans="5:29" ht="12.75"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32"/>
      <c r="Q709" s="34"/>
      <c r="R709" s="21"/>
      <c r="S709" s="21"/>
      <c r="T709" s="21"/>
      <c r="U709" s="21"/>
      <c r="V709" s="21"/>
      <c r="W709" s="21"/>
      <c r="X709" s="21"/>
      <c r="Y709" s="21"/>
      <c r="Z709" s="32"/>
      <c r="AA709" s="27"/>
      <c r="AB709" s="32"/>
      <c r="AC709" s="21"/>
    </row>
    <row r="710" spans="5:29" ht="12.75"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32"/>
      <c r="Q710" s="34"/>
      <c r="R710" s="21"/>
      <c r="S710" s="21"/>
      <c r="T710" s="21"/>
      <c r="U710" s="21"/>
      <c r="V710" s="21"/>
      <c r="W710" s="21"/>
      <c r="X710" s="21"/>
      <c r="Y710" s="21"/>
      <c r="Z710" s="32"/>
      <c r="AA710" s="27"/>
      <c r="AB710" s="32"/>
      <c r="AC710" s="21"/>
    </row>
    <row r="711" spans="5:29" ht="12.75"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32"/>
      <c r="Q711" s="34"/>
      <c r="R711" s="21"/>
      <c r="S711" s="21"/>
      <c r="T711" s="21"/>
      <c r="U711" s="21"/>
      <c r="V711" s="21"/>
      <c r="W711" s="21"/>
      <c r="X711" s="21"/>
      <c r="Y711" s="21"/>
      <c r="Z711" s="32"/>
      <c r="AA711" s="27"/>
      <c r="AB711" s="32"/>
      <c r="AC711" s="21"/>
    </row>
    <row r="712" spans="5:29" ht="12.75"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32"/>
      <c r="Q712" s="34"/>
      <c r="R712" s="21"/>
      <c r="S712" s="21"/>
      <c r="T712" s="21"/>
      <c r="U712" s="21"/>
      <c r="V712" s="21"/>
      <c r="W712" s="21"/>
      <c r="X712" s="21"/>
      <c r="Y712" s="21"/>
      <c r="Z712" s="32"/>
      <c r="AA712" s="27"/>
      <c r="AB712" s="32"/>
      <c r="AC712" s="21"/>
    </row>
    <row r="713" spans="5:29" ht="12.75"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32"/>
      <c r="Q713" s="34"/>
      <c r="R713" s="21"/>
      <c r="S713" s="21"/>
      <c r="T713" s="21"/>
      <c r="U713" s="21"/>
      <c r="V713" s="21"/>
      <c r="W713" s="21"/>
      <c r="X713" s="21"/>
      <c r="Y713" s="21"/>
      <c r="Z713" s="32"/>
      <c r="AA713" s="27"/>
      <c r="AB713" s="32"/>
      <c r="AC713" s="21"/>
    </row>
    <row r="714" spans="5:29" ht="12.75"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32"/>
      <c r="Q714" s="34"/>
      <c r="R714" s="21"/>
      <c r="S714" s="21"/>
      <c r="T714" s="21"/>
      <c r="U714" s="21"/>
      <c r="V714" s="21"/>
      <c r="W714" s="21"/>
      <c r="X714" s="21"/>
      <c r="Y714" s="21"/>
      <c r="Z714" s="32"/>
      <c r="AA714" s="27"/>
      <c r="AB714" s="32"/>
      <c r="AC714" s="21"/>
    </row>
    <row r="715" spans="5:29" ht="12.75"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32"/>
      <c r="Q715" s="34"/>
      <c r="R715" s="21"/>
      <c r="S715" s="21"/>
      <c r="T715" s="21"/>
      <c r="U715" s="21"/>
      <c r="V715" s="21"/>
      <c r="W715" s="21"/>
      <c r="X715" s="21"/>
      <c r="Y715" s="21"/>
      <c r="Z715" s="32"/>
      <c r="AA715" s="27"/>
      <c r="AB715" s="32"/>
      <c r="AC715" s="21"/>
    </row>
    <row r="716" spans="5:29" ht="12.75"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32"/>
      <c r="Q716" s="34"/>
      <c r="R716" s="21"/>
      <c r="S716" s="21"/>
      <c r="T716" s="21"/>
      <c r="U716" s="21"/>
      <c r="V716" s="21"/>
      <c r="W716" s="21"/>
      <c r="X716" s="21"/>
      <c r="Y716" s="21"/>
      <c r="Z716" s="32"/>
      <c r="AA716" s="27"/>
      <c r="AB716" s="32"/>
      <c r="AC716" s="21"/>
    </row>
    <row r="717" spans="5:29" ht="12.75"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32"/>
      <c r="Q717" s="34"/>
      <c r="R717" s="21"/>
      <c r="S717" s="21"/>
      <c r="T717" s="21"/>
      <c r="U717" s="21"/>
      <c r="V717" s="21"/>
      <c r="W717" s="21"/>
      <c r="X717" s="21"/>
      <c r="Y717" s="21"/>
      <c r="Z717" s="32"/>
      <c r="AA717" s="27"/>
      <c r="AB717" s="32"/>
      <c r="AC717" s="21"/>
    </row>
    <row r="718" spans="5:29" ht="12.75"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32"/>
      <c r="Q718" s="34"/>
      <c r="R718" s="21"/>
      <c r="S718" s="21"/>
      <c r="T718" s="21"/>
      <c r="U718" s="21"/>
      <c r="V718" s="21"/>
      <c r="W718" s="21"/>
      <c r="X718" s="21"/>
      <c r="Y718" s="21"/>
      <c r="Z718" s="32"/>
      <c r="AA718" s="27"/>
      <c r="AB718" s="32"/>
      <c r="AC718" s="21"/>
    </row>
    <row r="719" spans="5:29" ht="12.75"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32"/>
      <c r="Q719" s="34"/>
      <c r="R719" s="21"/>
      <c r="S719" s="21"/>
      <c r="T719" s="21"/>
      <c r="U719" s="21"/>
      <c r="V719" s="21"/>
      <c r="W719" s="21"/>
      <c r="X719" s="21"/>
      <c r="Y719" s="21"/>
      <c r="Z719" s="32"/>
      <c r="AA719" s="27"/>
      <c r="AB719" s="32"/>
      <c r="AC719" s="21"/>
    </row>
    <row r="720" spans="5:29" ht="12.75"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32"/>
      <c r="Q720" s="34"/>
      <c r="R720" s="21"/>
      <c r="S720" s="21"/>
      <c r="T720" s="21"/>
      <c r="U720" s="21"/>
      <c r="V720" s="21"/>
      <c r="W720" s="21"/>
      <c r="X720" s="21"/>
      <c r="Y720" s="21"/>
      <c r="Z720" s="32"/>
      <c r="AA720" s="27"/>
      <c r="AB720" s="32"/>
      <c r="AC720" s="21"/>
    </row>
    <row r="721" spans="5:29" ht="12.75"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32"/>
      <c r="Q721" s="34"/>
      <c r="R721" s="21"/>
      <c r="S721" s="21"/>
      <c r="T721" s="21"/>
      <c r="U721" s="21"/>
      <c r="V721" s="21"/>
      <c r="W721" s="21"/>
      <c r="X721" s="21"/>
      <c r="Y721" s="21"/>
      <c r="Z721" s="32"/>
      <c r="AA721" s="27"/>
      <c r="AB721" s="32"/>
      <c r="AC721" s="21"/>
    </row>
    <row r="722" spans="5:29" ht="12.75"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32"/>
      <c r="Q722" s="34"/>
      <c r="R722" s="21"/>
      <c r="S722" s="21"/>
      <c r="T722" s="21"/>
      <c r="U722" s="21"/>
      <c r="V722" s="21"/>
      <c r="W722" s="21"/>
      <c r="X722" s="21"/>
      <c r="Y722" s="21"/>
      <c r="Z722" s="32"/>
      <c r="AA722" s="27"/>
      <c r="AB722" s="32"/>
      <c r="AC722" s="21"/>
    </row>
    <row r="723" spans="5:29" ht="12.75"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32"/>
      <c r="Q723" s="34"/>
      <c r="R723" s="21"/>
      <c r="S723" s="21"/>
      <c r="T723" s="21"/>
      <c r="U723" s="21"/>
      <c r="V723" s="21"/>
      <c r="W723" s="21"/>
      <c r="X723" s="21"/>
      <c r="Y723" s="21"/>
      <c r="Z723" s="32"/>
      <c r="AA723" s="27"/>
      <c r="AB723" s="32"/>
      <c r="AC723" s="21"/>
    </row>
    <row r="724" spans="5:29" ht="12.75"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32"/>
      <c r="Q724" s="34"/>
      <c r="R724" s="21"/>
      <c r="S724" s="21"/>
      <c r="T724" s="21"/>
      <c r="U724" s="21"/>
      <c r="V724" s="21"/>
      <c r="W724" s="21"/>
      <c r="X724" s="21"/>
      <c r="Y724" s="21"/>
      <c r="Z724" s="32"/>
      <c r="AA724" s="27"/>
      <c r="AB724" s="32"/>
      <c r="AC724" s="21"/>
    </row>
    <row r="725" spans="5:29" ht="12.75"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32"/>
      <c r="Q725" s="34"/>
      <c r="R725" s="21"/>
      <c r="S725" s="21"/>
      <c r="T725" s="21"/>
      <c r="U725" s="21"/>
      <c r="V725" s="21"/>
      <c r="W725" s="21"/>
      <c r="X725" s="21"/>
      <c r="Y725" s="21"/>
      <c r="Z725" s="32"/>
      <c r="AA725" s="27"/>
      <c r="AB725" s="32"/>
      <c r="AC725" s="21"/>
    </row>
    <row r="726" spans="5:29" ht="12.75"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32"/>
      <c r="Q726" s="34"/>
      <c r="R726" s="21"/>
      <c r="S726" s="21"/>
      <c r="T726" s="21"/>
      <c r="U726" s="21"/>
      <c r="V726" s="21"/>
      <c r="W726" s="21"/>
      <c r="X726" s="21"/>
      <c r="Y726" s="21"/>
      <c r="Z726" s="32"/>
      <c r="AA726" s="27"/>
      <c r="AB726" s="32"/>
      <c r="AC726" s="21"/>
    </row>
    <row r="727" spans="5:29" ht="12.75"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32"/>
      <c r="Q727" s="34"/>
      <c r="R727" s="21"/>
      <c r="S727" s="21"/>
      <c r="T727" s="21"/>
      <c r="U727" s="21"/>
      <c r="V727" s="21"/>
      <c r="W727" s="21"/>
      <c r="X727" s="21"/>
      <c r="Y727" s="21"/>
      <c r="Z727" s="32"/>
      <c r="AA727" s="27"/>
      <c r="AB727" s="32"/>
      <c r="AC727" s="21"/>
    </row>
    <row r="728" spans="5:29" ht="12.75"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32"/>
      <c r="Q728" s="34"/>
      <c r="R728" s="21"/>
      <c r="S728" s="21"/>
      <c r="T728" s="21"/>
      <c r="U728" s="21"/>
      <c r="V728" s="21"/>
      <c r="W728" s="21"/>
      <c r="X728" s="21"/>
      <c r="Y728" s="21"/>
      <c r="Z728" s="32"/>
      <c r="AA728" s="27"/>
      <c r="AB728" s="32"/>
      <c r="AC728" s="21"/>
    </row>
    <row r="729" spans="5:29" ht="12.75"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32"/>
      <c r="Q729" s="34"/>
      <c r="R729" s="21"/>
      <c r="S729" s="21"/>
      <c r="T729" s="21"/>
      <c r="U729" s="21"/>
      <c r="V729" s="21"/>
      <c r="W729" s="21"/>
      <c r="X729" s="21"/>
      <c r="Y729" s="21"/>
      <c r="Z729" s="32"/>
      <c r="AA729" s="27"/>
      <c r="AB729" s="32"/>
      <c r="AC729" s="21"/>
    </row>
    <row r="730" spans="5:29" ht="12.75"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32"/>
      <c r="Q730" s="34"/>
      <c r="R730" s="21"/>
      <c r="S730" s="21"/>
      <c r="T730" s="21"/>
      <c r="U730" s="21"/>
      <c r="V730" s="21"/>
      <c r="W730" s="21"/>
      <c r="X730" s="21"/>
      <c r="Y730" s="21"/>
      <c r="Z730" s="32"/>
      <c r="AA730" s="27"/>
      <c r="AB730" s="32"/>
      <c r="AC730" s="21"/>
    </row>
    <row r="731" spans="5:29" ht="12.75"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32"/>
      <c r="Q731" s="34"/>
      <c r="R731" s="21"/>
      <c r="S731" s="21"/>
      <c r="T731" s="21"/>
      <c r="U731" s="21"/>
      <c r="V731" s="21"/>
      <c r="W731" s="21"/>
      <c r="X731" s="21"/>
      <c r="Y731" s="21"/>
      <c r="Z731" s="32"/>
      <c r="AA731" s="27"/>
      <c r="AB731" s="32"/>
      <c r="AC731" s="21"/>
    </row>
    <row r="732" spans="5:29" ht="12.75"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32"/>
      <c r="Q732" s="34"/>
      <c r="R732" s="21"/>
      <c r="S732" s="21"/>
      <c r="T732" s="21"/>
      <c r="U732" s="21"/>
      <c r="V732" s="21"/>
      <c r="W732" s="21"/>
      <c r="X732" s="21"/>
      <c r="Y732" s="21"/>
      <c r="Z732" s="32"/>
      <c r="AA732" s="27"/>
      <c r="AB732" s="32"/>
      <c r="AC732" s="21"/>
    </row>
    <row r="733" spans="5:29" ht="12.75"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32"/>
      <c r="Q733" s="34"/>
      <c r="R733" s="21"/>
      <c r="S733" s="21"/>
      <c r="T733" s="21"/>
      <c r="U733" s="21"/>
      <c r="V733" s="21"/>
      <c r="W733" s="21"/>
      <c r="X733" s="21"/>
      <c r="Y733" s="21"/>
      <c r="Z733" s="32"/>
      <c r="AA733" s="27"/>
      <c r="AB733" s="32"/>
      <c r="AC733" s="21"/>
    </row>
    <row r="734" spans="5:29" ht="12.75"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32"/>
      <c r="Q734" s="34"/>
      <c r="R734" s="21"/>
      <c r="S734" s="21"/>
      <c r="T734" s="21"/>
      <c r="U734" s="21"/>
      <c r="V734" s="21"/>
      <c r="W734" s="21"/>
      <c r="X734" s="21"/>
      <c r="Y734" s="21"/>
      <c r="Z734" s="32"/>
      <c r="AA734" s="27"/>
      <c r="AB734" s="32"/>
      <c r="AC734" s="21"/>
    </row>
    <row r="735" spans="5:29" ht="12.75"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32"/>
      <c r="Q735" s="34"/>
      <c r="R735" s="21"/>
      <c r="S735" s="21"/>
      <c r="T735" s="21"/>
      <c r="U735" s="21"/>
      <c r="V735" s="21"/>
      <c r="W735" s="21"/>
      <c r="X735" s="21"/>
      <c r="Y735" s="21"/>
      <c r="Z735" s="32"/>
      <c r="AA735" s="27"/>
      <c r="AB735" s="32"/>
      <c r="AC735" s="21"/>
    </row>
    <row r="736" spans="5:29" ht="12.75"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32"/>
      <c r="Q736" s="34"/>
      <c r="R736" s="21"/>
      <c r="S736" s="21"/>
      <c r="T736" s="21"/>
      <c r="U736" s="21"/>
      <c r="V736" s="21"/>
      <c r="W736" s="21"/>
      <c r="X736" s="21"/>
      <c r="Y736" s="21"/>
      <c r="Z736" s="32"/>
      <c r="AA736" s="27"/>
      <c r="AB736" s="32"/>
      <c r="AC736" s="21"/>
    </row>
    <row r="737" spans="5:29" ht="12.75"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32"/>
      <c r="Q737" s="34"/>
      <c r="R737" s="21"/>
      <c r="S737" s="21"/>
      <c r="T737" s="21"/>
      <c r="U737" s="21"/>
      <c r="V737" s="21"/>
      <c r="W737" s="21"/>
      <c r="X737" s="21"/>
      <c r="Y737" s="21"/>
      <c r="Z737" s="32"/>
      <c r="AA737" s="27"/>
      <c r="AB737" s="32"/>
      <c r="AC737" s="21"/>
    </row>
    <row r="738" spans="5:29" ht="12.75"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32"/>
      <c r="Q738" s="34"/>
      <c r="R738" s="21"/>
      <c r="S738" s="21"/>
      <c r="T738" s="21"/>
      <c r="U738" s="21"/>
      <c r="V738" s="21"/>
      <c r="W738" s="21"/>
      <c r="X738" s="21"/>
      <c r="Y738" s="21"/>
      <c r="Z738" s="32"/>
      <c r="AA738" s="27"/>
      <c r="AB738" s="32"/>
      <c r="AC738" s="21"/>
    </row>
    <row r="739" spans="5:29" ht="12.75"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32"/>
      <c r="Q739" s="34"/>
      <c r="R739" s="21"/>
      <c r="S739" s="21"/>
      <c r="T739" s="21"/>
      <c r="U739" s="21"/>
      <c r="V739" s="21"/>
      <c r="W739" s="21"/>
      <c r="X739" s="21"/>
      <c r="Y739" s="21"/>
      <c r="Z739" s="32"/>
      <c r="AA739" s="27"/>
      <c r="AB739" s="32"/>
      <c r="AC739" s="21"/>
    </row>
    <row r="740" spans="5:29" ht="12.75"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32"/>
      <c r="Q740" s="34"/>
      <c r="R740" s="21"/>
      <c r="S740" s="21"/>
      <c r="T740" s="21"/>
      <c r="U740" s="21"/>
      <c r="V740" s="21"/>
      <c r="W740" s="21"/>
      <c r="X740" s="21"/>
      <c r="Y740" s="21"/>
      <c r="Z740" s="32"/>
      <c r="AA740" s="27"/>
      <c r="AB740" s="32"/>
      <c r="AC740" s="21"/>
    </row>
    <row r="741" spans="5:29" ht="12.75"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32"/>
      <c r="Q741" s="34"/>
      <c r="R741" s="21"/>
      <c r="S741" s="21"/>
      <c r="T741" s="21"/>
      <c r="U741" s="21"/>
      <c r="V741" s="21"/>
      <c r="W741" s="21"/>
      <c r="X741" s="21"/>
      <c r="Y741" s="21"/>
      <c r="Z741" s="32"/>
      <c r="AA741" s="27"/>
      <c r="AB741" s="32"/>
      <c r="AC741" s="21"/>
    </row>
    <row r="742" spans="5:29" ht="12.75"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32"/>
      <c r="Q742" s="34"/>
      <c r="R742" s="21"/>
      <c r="S742" s="21"/>
      <c r="T742" s="21"/>
      <c r="U742" s="21"/>
      <c r="V742" s="21"/>
      <c r="W742" s="21"/>
      <c r="X742" s="21"/>
      <c r="Y742" s="21"/>
      <c r="Z742" s="32"/>
      <c r="AA742" s="27"/>
      <c r="AB742" s="32"/>
      <c r="AC742" s="21"/>
    </row>
    <row r="743" spans="5:29" ht="12.75"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32"/>
      <c r="Q743" s="34"/>
      <c r="R743" s="21"/>
      <c r="S743" s="21"/>
      <c r="T743" s="21"/>
      <c r="U743" s="21"/>
      <c r="V743" s="21"/>
      <c r="W743" s="21"/>
      <c r="X743" s="21"/>
      <c r="Y743" s="21"/>
      <c r="Z743" s="32"/>
      <c r="AA743" s="27"/>
      <c r="AB743" s="32"/>
      <c r="AC743" s="21"/>
    </row>
    <row r="744" spans="5:29" ht="12.75"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32"/>
      <c r="Q744" s="34"/>
      <c r="R744" s="21"/>
      <c r="S744" s="21"/>
      <c r="T744" s="21"/>
      <c r="U744" s="21"/>
      <c r="V744" s="21"/>
      <c r="W744" s="21"/>
      <c r="X744" s="21"/>
      <c r="Y744" s="21"/>
      <c r="Z744" s="32"/>
      <c r="AA744" s="27"/>
      <c r="AB744" s="32"/>
      <c r="AC744" s="21"/>
    </row>
    <row r="745" spans="5:29" ht="12.75"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32"/>
      <c r="Q745" s="34"/>
      <c r="R745" s="21"/>
      <c r="S745" s="21"/>
      <c r="T745" s="21"/>
      <c r="U745" s="21"/>
      <c r="V745" s="21"/>
      <c r="W745" s="21"/>
      <c r="X745" s="21"/>
      <c r="Y745" s="21"/>
      <c r="Z745" s="32"/>
      <c r="AA745" s="27"/>
      <c r="AB745" s="32"/>
      <c r="AC745" s="21"/>
    </row>
    <row r="746" spans="5:29" ht="12.75"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32"/>
      <c r="Q746" s="34"/>
      <c r="R746" s="21"/>
      <c r="S746" s="21"/>
      <c r="T746" s="21"/>
      <c r="U746" s="21"/>
      <c r="V746" s="21"/>
      <c r="W746" s="21"/>
      <c r="X746" s="21"/>
      <c r="Y746" s="21"/>
      <c r="Z746" s="32"/>
      <c r="AA746" s="27"/>
      <c r="AB746" s="32"/>
      <c r="AC746" s="21"/>
    </row>
    <row r="747" spans="5:29" ht="12.75"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32"/>
      <c r="Q747" s="34"/>
      <c r="R747" s="21"/>
      <c r="S747" s="21"/>
      <c r="T747" s="21"/>
      <c r="U747" s="21"/>
      <c r="V747" s="21"/>
      <c r="W747" s="21"/>
      <c r="X747" s="21"/>
      <c r="Y747" s="21"/>
      <c r="Z747" s="32"/>
      <c r="AA747" s="27"/>
      <c r="AB747" s="32"/>
      <c r="AC747" s="21"/>
    </row>
    <row r="748" spans="5:29" ht="12.75"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32"/>
      <c r="Q748" s="34"/>
      <c r="R748" s="21"/>
      <c r="S748" s="21"/>
      <c r="T748" s="21"/>
      <c r="U748" s="21"/>
      <c r="V748" s="21"/>
      <c r="W748" s="21"/>
      <c r="X748" s="21"/>
      <c r="Y748" s="21"/>
      <c r="Z748" s="32"/>
      <c r="AA748" s="27"/>
      <c r="AB748" s="32"/>
      <c r="AC748" s="21"/>
    </row>
    <row r="749" spans="5:29" ht="12.75"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32"/>
      <c r="Q749" s="34"/>
      <c r="R749" s="21"/>
      <c r="S749" s="21"/>
      <c r="T749" s="21"/>
      <c r="U749" s="21"/>
      <c r="V749" s="21"/>
      <c r="W749" s="21"/>
      <c r="X749" s="21"/>
      <c r="Y749" s="21"/>
      <c r="Z749" s="32"/>
      <c r="AA749" s="27"/>
      <c r="AB749" s="32"/>
      <c r="AC749" s="21"/>
    </row>
    <row r="750" spans="5:29" ht="12.75"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32"/>
      <c r="Q750" s="34"/>
      <c r="R750" s="21"/>
      <c r="S750" s="21"/>
      <c r="T750" s="21"/>
      <c r="U750" s="21"/>
      <c r="V750" s="21"/>
      <c r="W750" s="21"/>
      <c r="X750" s="21"/>
      <c r="Y750" s="21"/>
      <c r="Z750" s="32"/>
      <c r="AA750" s="27"/>
      <c r="AB750" s="32"/>
      <c r="AC750" s="21"/>
    </row>
    <row r="751" spans="5:29" ht="12.75"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32"/>
      <c r="Q751" s="34"/>
      <c r="R751" s="21"/>
      <c r="S751" s="21"/>
      <c r="T751" s="21"/>
      <c r="U751" s="21"/>
      <c r="V751" s="21"/>
      <c r="W751" s="21"/>
      <c r="X751" s="21"/>
      <c r="Y751" s="21"/>
      <c r="Z751" s="32"/>
      <c r="AA751" s="27"/>
      <c r="AB751" s="32"/>
      <c r="AC751" s="21"/>
    </row>
    <row r="752" spans="5:29" ht="12.75"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32"/>
      <c r="Q752" s="34"/>
      <c r="R752" s="21"/>
      <c r="S752" s="21"/>
      <c r="T752" s="21"/>
      <c r="U752" s="21"/>
      <c r="V752" s="21"/>
      <c r="W752" s="21"/>
      <c r="X752" s="21"/>
      <c r="Y752" s="21"/>
      <c r="Z752" s="32"/>
      <c r="AA752" s="27"/>
      <c r="AB752" s="32"/>
      <c r="AC752" s="21"/>
    </row>
    <row r="753" spans="5:29" ht="12.75"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32"/>
      <c r="Q753" s="34"/>
      <c r="R753" s="21"/>
      <c r="S753" s="21"/>
      <c r="T753" s="21"/>
      <c r="U753" s="21"/>
      <c r="V753" s="21"/>
      <c r="W753" s="21"/>
      <c r="X753" s="21"/>
      <c r="Y753" s="21"/>
      <c r="Z753" s="32"/>
      <c r="AA753" s="27"/>
      <c r="AB753" s="32"/>
      <c r="AC753" s="21"/>
    </row>
    <row r="754" spans="5:29" ht="12.75"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32"/>
      <c r="Q754" s="34"/>
      <c r="R754" s="21"/>
      <c r="S754" s="21"/>
      <c r="T754" s="21"/>
      <c r="U754" s="21"/>
      <c r="V754" s="21"/>
      <c r="W754" s="21"/>
      <c r="X754" s="21"/>
      <c r="Y754" s="21"/>
      <c r="Z754" s="32"/>
      <c r="AA754" s="27"/>
      <c r="AB754" s="32"/>
      <c r="AC754" s="21"/>
    </row>
    <row r="755" spans="5:29" ht="12.75"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32"/>
      <c r="Q755" s="34"/>
      <c r="R755" s="21"/>
      <c r="S755" s="21"/>
      <c r="T755" s="21"/>
      <c r="U755" s="21"/>
      <c r="V755" s="21"/>
      <c r="W755" s="21"/>
      <c r="X755" s="21"/>
      <c r="Y755" s="21"/>
      <c r="Z755" s="32"/>
      <c r="AA755" s="27"/>
      <c r="AB755" s="32"/>
      <c r="AC755" s="21"/>
    </row>
    <row r="756" spans="5:29" ht="12.75"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32"/>
      <c r="Q756" s="34"/>
      <c r="R756" s="21"/>
      <c r="S756" s="21"/>
      <c r="T756" s="21"/>
      <c r="U756" s="21"/>
      <c r="V756" s="21"/>
      <c r="W756" s="21"/>
      <c r="X756" s="21"/>
      <c r="Y756" s="21"/>
      <c r="Z756" s="32"/>
      <c r="AA756" s="27"/>
      <c r="AB756" s="32"/>
      <c r="AC756" s="21"/>
    </row>
    <row r="757" spans="5:29" ht="12.75"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32"/>
      <c r="Q757" s="34"/>
      <c r="R757" s="21"/>
      <c r="S757" s="21"/>
      <c r="T757" s="21"/>
      <c r="U757" s="21"/>
      <c r="V757" s="21"/>
      <c r="W757" s="21"/>
      <c r="X757" s="21"/>
      <c r="Y757" s="21"/>
      <c r="Z757" s="32"/>
      <c r="AA757" s="27"/>
      <c r="AB757" s="32"/>
      <c r="AC757" s="21"/>
    </row>
    <row r="758" spans="5:29" ht="12.75"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32"/>
      <c r="Q758" s="34"/>
      <c r="R758" s="21"/>
      <c r="S758" s="21"/>
      <c r="T758" s="21"/>
      <c r="U758" s="21"/>
      <c r="V758" s="21"/>
      <c r="W758" s="21"/>
      <c r="X758" s="21"/>
      <c r="Y758" s="21"/>
      <c r="Z758" s="32"/>
      <c r="AA758" s="27"/>
      <c r="AB758" s="32"/>
      <c r="AC758" s="21"/>
    </row>
    <row r="759" spans="5:29" ht="12.75"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32"/>
      <c r="Q759" s="34"/>
      <c r="R759" s="21"/>
      <c r="S759" s="21"/>
      <c r="T759" s="21"/>
      <c r="U759" s="21"/>
      <c r="V759" s="21"/>
      <c r="W759" s="21"/>
      <c r="X759" s="21"/>
      <c r="Y759" s="21"/>
      <c r="Z759" s="32"/>
      <c r="AA759" s="27"/>
      <c r="AB759" s="32"/>
      <c r="AC759" s="21"/>
    </row>
    <row r="760" spans="5:29" ht="12.75"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32"/>
      <c r="Q760" s="34"/>
      <c r="R760" s="21"/>
      <c r="S760" s="21"/>
      <c r="T760" s="21"/>
      <c r="U760" s="21"/>
      <c r="V760" s="21"/>
      <c r="W760" s="21"/>
      <c r="X760" s="21"/>
      <c r="Y760" s="21"/>
      <c r="Z760" s="32"/>
      <c r="AA760" s="27"/>
      <c r="AB760" s="32"/>
      <c r="AC760" s="21"/>
    </row>
    <row r="761" spans="5:29" ht="12.75"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32"/>
      <c r="Q761" s="34"/>
      <c r="R761" s="21"/>
      <c r="S761" s="21"/>
      <c r="T761" s="21"/>
      <c r="U761" s="21"/>
      <c r="V761" s="21"/>
      <c r="W761" s="21"/>
      <c r="X761" s="21"/>
      <c r="Y761" s="21"/>
      <c r="Z761" s="32"/>
      <c r="AA761" s="27"/>
      <c r="AB761" s="32"/>
      <c r="AC761" s="21"/>
    </row>
    <row r="762" spans="5:29" ht="12.75"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32"/>
      <c r="Q762" s="34"/>
      <c r="R762" s="21"/>
      <c r="S762" s="21"/>
      <c r="T762" s="21"/>
      <c r="U762" s="21"/>
      <c r="V762" s="21"/>
      <c r="W762" s="21"/>
      <c r="X762" s="21"/>
      <c r="Y762" s="21"/>
      <c r="Z762" s="32"/>
      <c r="AA762" s="27"/>
      <c r="AB762" s="32"/>
      <c r="AC762" s="21"/>
    </row>
    <row r="763" spans="5:29" ht="12.75"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32"/>
      <c r="Q763" s="34"/>
      <c r="R763" s="21"/>
      <c r="S763" s="21"/>
      <c r="T763" s="21"/>
      <c r="U763" s="21"/>
      <c r="V763" s="21"/>
      <c r="W763" s="21"/>
      <c r="X763" s="21"/>
      <c r="Y763" s="21"/>
      <c r="Z763" s="32"/>
      <c r="AA763" s="27"/>
      <c r="AB763" s="32"/>
      <c r="AC763" s="21"/>
    </row>
    <row r="764" spans="5:29" ht="12.75"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32"/>
      <c r="Q764" s="34"/>
      <c r="R764" s="21"/>
      <c r="S764" s="21"/>
      <c r="T764" s="21"/>
      <c r="U764" s="21"/>
      <c r="V764" s="21"/>
      <c r="W764" s="21"/>
      <c r="X764" s="21"/>
      <c r="Y764" s="21"/>
      <c r="Z764" s="32"/>
      <c r="AA764" s="27"/>
      <c r="AB764" s="32"/>
      <c r="AC764" s="21"/>
    </row>
    <row r="765" spans="5:29" ht="12.75"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32"/>
      <c r="Q765" s="34"/>
      <c r="R765" s="21"/>
      <c r="S765" s="21"/>
      <c r="T765" s="21"/>
      <c r="U765" s="21"/>
      <c r="V765" s="21"/>
      <c r="W765" s="21"/>
      <c r="X765" s="21"/>
      <c r="Y765" s="21"/>
      <c r="Z765" s="32"/>
      <c r="AA765" s="27"/>
      <c r="AB765" s="32"/>
      <c r="AC765" s="21"/>
    </row>
    <row r="766" spans="5:29" ht="12.75"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32"/>
      <c r="Q766" s="34"/>
      <c r="R766" s="21"/>
      <c r="S766" s="21"/>
      <c r="T766" s="21"/>
      <c r="U766" s="21"/>
      <c r="V766" s="21"/>
      <c r="W766" s="21"/>
      <c r="X766" s="21"/>
      <c r="Y766" s="21"/>
      <c r="Z766" s="32"/>
      <c r="AA766" s="27"/>
      <c r="AB766" s="32"/>
      <c r="AC766" s="21"/>
    </row>
    <row r="767" spans="5:29" ht="12.75"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32"/>
      <c r="Q767" s="34"/>
      <c r="R767" s="21"/>
      <c r="S767" s="21"/>
      <c r="T767" s="21"/>
      <c r="U767" s="21"/>
      <c r="V767" s="21"/>
      <c r="W767" s="21"/>
      <c r="X767" s="21"/>
      <c r="Y767" s="21"/>
      <c r="Z767" s="32"/>
      <c r="AA767" s="27"/>
      <c r="AB767" s="32"/>
      <c r="AC767" s="21"/>
    </row>
    <row r="768" spans="5:29" ht="12.75"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32"/>
      <c r="Q768" s="34"/>
      <c r="R768" s="21"/>
      <c r="S768" s="21"/>
      <c r="T768" s="21"/>
      <c r="U768" s="21"/>
      <c r="V768" s="21"/>
      <c r="W768" s="21"/>
      <c r="X768" s="21"/>
      <c r="Y768" s="21"/>
      <c r="Z768" s="32"/>
      <c r="AA768" s="27"/>
      <c r="AB768" s="32"/>
      <c r="AC768" s="21"/>
    </row>
    <row r="769" spans="5:29" ht="12.75"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32"/>
      <c r="Q769" s="34"/>
      <c r="R769" s="21"/>
      <c r="S769" s="21"/>
      <c r="T769" s="21"/>
      <c r="U769" s="21"/>
      <c r="V769" s="21"/>
      <c r="W769" s="21"/>
      <c r="X769" s="21"/>
      <c r="Y769" s="21"/>
      <c r="Z769" s="32"/>
      <c r="AA769" s="27"/>
      <c r="AB769" s="32"/>
      <c r="AC769" s="21"/>
    </row>
    <row r="770" spans="5:29" ht="12.75"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32"/>
      <c r="Q770" s="34"/>
      <c r="R770" s="21"/>
      <c r="S770" s="21"/>
      <c r="T770" s="21"/>
      <c r="U770" s="21"/>
      <c r="V770" s="21"/>
      <c r="W770" s="21"/>
      <c r="X770" s="21"/>
      <c r="Y770" s="21"/>
      <c r="Z770" s="32"/>
      <c r="AA770" s="27"/>
      <c r="AB770" s="32"/>
      <c r="AC770" s="21"/>
    </row>
    <row r="771" spans="5:29" ht="12.75"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32"/>
      <c r="Q771" s="34"/>
      <c r="R771" s="21"/>
      <c r="S771" s="21"/>
      <c r="T771" s="21"/>
      <c r="U771" s="21"/>
      <c r="V771" s="21"/>
      <c r="W771" s="21"/>
      <c r="X771" s="21"/>
      <c r="Y771" s="21"/>
      <c r="Z771" s="32"/>
      <c r="AA771" s="27"/>
      <c r="AB771" s="32"/>
      <c r="AC771" s="21"/>
    </row>
    <row r="772" spans="5:29" ht="12.75"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32"/>
      <c r="Q772" s="34"/>
      <c r="R772" s="21"/>
      <c r="S772" s="21"/>
      <c r="T772" s="21"/>
      <c r="U772" s="21"/>
      <c r="V772" s="21"/>
      <c r="W772" s="21"/>
      <c r="X772" s="21"/>
      <c r="Y772" s="21"/>
      <c r="Z772" s="32"/>
      <c r="AA772" s="27"/>
      <c r="AB772" s="32"/>
      <c r="AC772" s="21"/>
    </row>
    <row r="773" spans="5:29" ht="12.75"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32"/>
      <c r="Q773" s="34"/>
      <c r="R773" s="21"/>
      <c r="S773" s="21"/>
      <c r="T773" s="21"/>
      <c r="U773" s="21"/>
      <c r="V773" s="21"/>
      <c r="W773" s="21"/>
      <c r="X773" s="21"/>
      <c r="Y773" s="21"/>
      <c r="Z773" s="32"/>
      <c r="AA773" s="27"/>
      <c r="AB773" s="32"/>
      <c r="AC773" s="21"/>
    </row>
    <row r="774" spans="5:29" ht="12.75"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32"/>
      <c r="Q774" s="34"/>
      <c r="R774" s="21"/>
      <c r="S774" s="21"/>
      <c r="T774" s="21"/>
      <c r="U774" s="21"/>
      <c r="V774" s="21"/>
      <c r="W774" s="21"/>
      <c r="X774" s="21"/>
      <c r="Y774" s="21"/>
      <c r="Z774" s="32"/>
      <c r="AA774" s="27"/>
      <c r="AB774" s="32"/>
      <c r="AC774" s="21"/>
    </row>
  </sheetData>
  <printOptions/>
  <pageMargins left="0.3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44"/>
  <sheetViews>
    <sheetView showGridLines="0" defaultGridColor="0" zoomScale="75" zoomScaleNormal="75" colorId="22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0" sqref="N10"/>
    </sheetView>
  </sheetViews>
  <sheetFormatPr defaultColWidth="9.7109375" defaultRowHeight="12.75"/>
  <cols>
    <col min="1" max="1" width="9.7109375" style="83" customWidth="1"/>
    <col min="2" max="2" width="8.7109375" style="83" customWidth="1"/>
    <col min="3" max="3" width="6.7109375" style="83" customWidth="1"/>
    <col min="4" max="4" width="8.7109375" style="83" customWidth="1"/>
    <col min="5" max="5" width="7.7109375" style="83" customWidth="1"/>
    <col min="6" max="6" width="8.7109375" style="83" customWidth="1"/>
    <col min="7" max="8" width="7.7109375" style="83" customWidth="1"/>
    <col min="9" max="10" width="5.7109375" style="83" customWidth="1"/>
    <col min="11" max="12" width="7.7109375" style="83" customWidth="1"/>
    <col min="13" max="13" width="8.7109375" style="83" customWidth="1"/>
    <col min="14" max="14" width="7.7109375" style="83" customWidth="1"/>
    <col min="15" max="16" width="8.7109375" style="117" customWidth="1"/>
    <col min="17" max="20" width="9.7109375" style="83" customWidth="1"/>
  </cols>
  <sheetData>
    <row r="1" spans="1:16" ht="1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82"/>
    </row>
    <row r="2" spans="1:16" ht="15">
      <c r="A2" s="84"/>
      <c r="B2" s="84"/>
      <c r="C2" s="85" t="s">
        <v>712</v>
      </c>
      <c r="D2" s="86"/>
      <c r="E2" s="87" t="s">
        <v>713</v>
      </c>
      <c r="F2" s="86"/>
      <c r="G2" s="87" t="s">
        <v>714</v>
      </c>
      <c r="H2" s="86"/>
      <c r="I2" s="87" t="s">
        <v>715</v>
      </c>
      <c r="J2" s="86"/>
      <c r="K2" s="88" t="s">
        <v>6</v>
      </c>
      <c r="L2" s="86"/>
      <c r="M2" s="87" t="s">
        <v>716</v>
      </c>
      <c r="N2" s="86"/>
      <c r="O2" s="89" t="s">
        <v>717</v>
      </c>
      <c r="P2" s="90"/>
    </row>
    <row r="3" spans="1:16" ht="15">
      <c r="A3" s="91"/>
      <c r="B3" s="92" t="s">
        <v>65</v>
      </c>
      <c r="C3" s="93" t="s">
        <v>718</v>
      </c>
      <c r="D3" s="94" t="s">
        <v>719</v>
      </c>
      <c r="E3" s="93" t="s">
        <v>718</v>
      </c>
      <c r="F3" s="94" t="s">
        <v>719</v>
      </c>
      <c r="G3" s="93" t="s">
        <v>718</v>
      </c>
      <c r="H3" s="94" t="s">
        <v>719</v>
      </c>
      <c r="I3" s="93" t="s">
        <v>718</v>
      </c>
      <c r="J3" s="94" t="s">
        <v>719</v>
      </c>
      <c r="K3" s="93" t="s">
        <v>718</v>
      </c>
      <c r="L3" s="94" t="s">
        <v>719</v>
      </c>
      <c r="M3" s="93" t="s">
        <v>718</v>
      </c>
      <c r="N3" s="94" t="s">
        <v>719</v>
      </c>
      <c r="O3" s="95" t="s">
        <v>718</v>
      </c>
      <c r="P3" s="95" t="s">
        <v>719</v>
      </c>
    </row>
    <row r="4" spans="1:16" ht="15">
      <c r="A4" s="81"/>
      <c r="B4" s="81"/>
      <c r="C4" s="81"/>
      <c r="D4" s="96"/>
      <c r="E4" s="81"/>
      <c r="F4" s="96"/>
      <c r="G4" s="81"/>
      <c r="H4" s="96"/>
      <c r="I4" s="81"/>
      <c r="J4" s="96"/>
      <c r="K4" s="81"/>
      <c r="L4" s="96"/>
      <c r="M4" s="81"/>
      <c r="N4" s="96"/>
      <c r="O4" s="97"/>
      <c r="P4" s="97"/>
    </row>
    <row r="5" spans="1:16" ht="15">
      <c r="A5" s="98" t="s">
        <v>720</v>
      </c>
      <c r="B5" s="99" t="s">
        <v>721</v>
      </c>
      <c r="C5" s="98">
        <f>SUM('Database '!E5:E6)</f>
        <v>470</v>
      </c>
      <c r="D5" s="100">
        <v>64709.4574468085</v>
      </c>
      <c r="E5" s="98">
        <f>SUM('Database '!G5:G6)</f>
        <v>511</v>
      </c>
      <c r="F5" s="100">
        <v>47728.7221135029</v>
      </c>
      <c r="G5" s="98">
        <f>SUM('Database '!I5:I6)</f>
        <v>308</v>
      </c>
      <c r="H5" s="100">
        <v>40521.5974025974</v>
      </c>
      <c r="I5" s="98">
        <f>SUM('Database '!K5:K6)</f>
        <v>129</v>
      </c>
      <c r="J5" s="100">
        <v>27395.0465116279</v>
      </c>
      <c r="K5" s="98">
        <f>SUM('Database '!M5:M6)</f>
        <v>23</v>
      </c>
      <c r="L5" s="100">
        <v>30966.7826086957</v>
      </c>
      <c r="M5" s="98"/>
      <c r="N5" s="100"/>
      <c r="O5" s="101">
        <f aca="true" t="shared" si="0" ref="O5:O21">C5+E5+G5+I5+K5+M5</f>
        <v>1441</v>
      </c>
      <c r="P5" s="101">
        <f aca="true" t="shared" si="1" ref="P5:P21">IF(O5&gt;0,(C5*D5+E5*F5+G5*H5+I5*J5+K5*L5+M5*N5)/O5,0)</f>
        <v>49638.911172796645</v>
      </c>
    </row>
    <row r="6" spans="1:16" ht="15">
      <c r="A6" s="53"/>
      <c r="B6" s="99" t="s">
        <v>722</v>
      </c>
      <c r="C6" s="98">
        <f>'Database '!E7</f>
        <v>61</v>
      </c>
      <c r="D6" s="100">
        <f>'Database '!F7</f>
        <v>65560</v>
      </c>
      <c r="E6" s="98">
        <f>'Database '!G7</f>
        <v>149</v>
      </c>
      <c r="F6" s="100">
        <f>'Database '!H7</f>
        <v>47786</v>
      </c>
      <c r="G6" s="98">
        <f>'Database '!I7</f>
        <v>75</v>
      </c>
      <c r="H6" s="100">
        <f>'Database '!J7</f>
        <v>40023</v>
      </c>
      <c r="I6" s="98">
        <f>SUM('Database '!K7)</f>
        <v>21</v>
      </c>
      <c r="J6" s="100">
        <f>'Database '!L7</f>
        <v>29519</v>
      </c>
      <c r="K6" s="98">
        <f>'Database '!M7</f>
        <v>2</v>
      </c>
      <c r="L6" s="100">
        <f>'Database '!N7</f>
        <v>33763</v>
      </c>
      <c r="M6" s="98"/>
      <c r="N6" s="100"/>
      <c r="O6" s="101">
        <f t="shared" si="0"/>
        <v>308</v>
      </c>
      <c r="P6" s="101">
        <f t="shared" si="1"/>
        <v>48079.2987012987</v>
      </c>
    </row>
    <row r="7" spans="1:16" ht="15">
      <c r="A7" s="53"/>
      <c r="B7" s="99" t="s">
        <v>723</v>
      </c>
      <c r="C7" s="98">
        <f>SUM('Database '!E8:E11)</f>
        <v>240</v>
      </c>
      <c r="D7" s="100">
        <v>55690.2583333333</v>
      </c>
      <c r="E7" s="98">
        <f>SUM('Database '!G8:G11)</f>
        <v>301</v>
      </c>
      <c r="F7" s="100">
        <v>42802.0664451827</v>
      </c>
      <c r="G7" s="98">
        <f>SUM('Database '!I8:I11)</f>
        <v>307</v>
      </c>
      <c r="H7" s="100">
        <v>39273.1628664495</v>
      </c>
      <c r="I7" s="98">
        <f>SUM('Database '!K8:K11)</f>
        <v>128</v>
      </c>
      <c r="J7" s="100">
        <v>32774.609375</v>
      </c>
      <c r="K7" s="98">
        <f>SUM('Database '!M8:M11)</f>
        <v>19</v>
      </c>
      <c r="L7" s="100">
        <v>29695.7894736842</v>
      </c>
      <c r="M7" s="98"/>
      <c r="N7" s="100"/>
      <c r="O7" s="101">
        <f t="shared" si="0"/>
        <v>995</v>
      </c>
      <c r="P7" s="101">
        <f t="shared" si="1"/>
        <v>43281.72361809044</v>
      </c>
    </row>
    <row r="8" spans="1:16" ht="15">
      <c r="A8" s="53"/>
      <c r="B8" s="99" t="s">
        <v>724</v>
      </c>
      <c r="C8" s="98">
        <f>SUM('Database '!E12:E14)</f>
        <v>93</v>
      </c>
      <c r="D8" s="100">
        <v>50689.752688172</v>
      </c>
      <c r="E8" s="98">
        <f>SUM('Database '!G12:G14)</f>
        <v>122</v>
      </c>
      <c r="F8" s="100">
        <v>42493.9262295082</v>
      </c>
      <c r="G8" s="98">
        <f>SUM('Database '!I12:I14)</f>
        <v>162</v>
      </c>
      <c r="H8" s="100">
        <v>35369.1604938272</v>
      </c>
      <c r="I8" s="98">
        <f>SUM('Database '!K12:K14)</f>
        <v>52</v>
      </c>
      <c r="J8" s="100">
        <v>28054.9230769231</v>
      </c>
      <c r="K8" s="98"/>
      <c r="L8" s="100"/>
      <c r="M8" s="98"/>
      <c r="N8" s="100"/>
      <c r="O8" s="101">
        <f t="shared" si="0"/>
        <v>429</v>
      </c>
      <c r="P8" s="101">
        <f t="shared" si="1"/>
        <v>39829.99067599069</v>
      </c>
    </row>
    <row r="9" spans="1:16" ht="15">
      <c r="A9" s="53"/>
      <c r="B9" s="99" t="s">
        <v>725</v>
      </c>
      <c r="C9" s="98">
        <f>SUM('Database '!E15:E19)</f>
        <v>105</v>
      </c>
      <c r="D9" s="100">
        <v>48999.5142857143</v>
      </c>
      <c r="E9" s="98">
        <f>SUM('Database '!G15:G19)</f>
        <v>127</v>
      </c>
      <c r="F9" s="100">
        <v>43165.6535433071</v>
      </c>
      <c r="G9" s="98">
        <f>SUM('Database '!I15:I19)</f>
        <v>164</v>
      </c>
      <c r="H9" s="100">
        <v>37258.4817073171</v>
      </c>
      <c r="I9" s="98">
        <f>SUM('Database '!K15:K19)</f>
        <v>75</v>
      </c>
      <c r="J9" s="100">
        <v>30252.1066666667</v>
      </c>
      <c r="K9" s="98">
        <f>SUM('Database '!M15:M19)</f>
        <v>4</v>
      </c>
      <c r="L9" s="100">
        <v>20990</v>
      </c>
      <c r="M9" s="98"/>
      <c r="N9" s="100"/>
      <c r="O9" s="101">
        <f t="shared" si="0"/>
        <v>475</v>
      </c>
      <c r="P9" s="101">
        <f t="shared" si="1"/>
        <v>40189.99157894739</v>
      </c>
    </row>
    <row r="10" spans="1:16" ht="15">
      <c r="A10" s="53"/>
      <c r="B10" s="99" t="s">
        <v>726</v>
      </c>
      <c r="C10" s="98">
        <f>'Database '!E20</f>
        <v>18</v>
      </c>
      <c r="D10" s="100">
        <f>'Database '!F20</f>
        <v>51428</v>
      </c>
      <c r="E10" s="98">
        <f>'Database '!G20</f>
        <v>15</v>
      </c>
      <c r="F10" s="100">
        <f>'Database '!H20</f>
        <v>45856</v>
      </c>
      <c r="G10" s="98">
        <f>'Database '!I20</f>
        <v>31</v>
      </c>
      <c r="H10" s="100">
        <f>'Database '!J20</f>
        <v>40587</v>
      </c>
      <c r="I10" s="98"/>
      <c r="J10" s="100"/>
      <c r="K10" s="98"/>
      <c r="L10" s="100"/>
      <c r="M10" s="98"/>
      <c r="N10" s="100"/>
      <c r="O10" s="101">
        <f t="shared" si="0"/>
        <v>64</v>
      </c>
      <c r="P10" s="101">
        <f t="shared" si="1"/>
        <v>44870.953125</v>
      </c>
    </row>
    <row r="11" spans="1:16" ht="15">
      <c r="A11" s="53"/>
      <c r="B11" s="99" t="s">
        <v>727</v>
      </c>
      <c r="C11" s="98"/>
      <c r="D11" s="100"/>
      <c r="E11" s="98"/>
      <c r="F11" s="100"/>
      <c r="G11" s="98"/>
      <c r="H11" s="100"/>
      <c r="I11" s="53"/>
      <c r="J11" s="53"/>
      <c r="K11" s="98"/>
      <c r="L11" s="100"/>
      <c r="M11" s="98">
        <f>SUM('Database '!O21:O42)</f>
        <v>1333</v>
      </c>
      <c r="N11" s="100">
        <v>37952.7329332333</v>
      </c>
      <c r="O11" s="101">
        <f t="shared" si="0"/>
        <v>1333</v>
      </c>
      <c r="P11" s="101">
        <f t="shared" si="1"/>
        <v>37952.7329332333</v>
      </c>
    </row>
    <row r="12" spans="1:16" ht="15">
      <c r="A12" s="102"/>
      <c r="B12" s="103" t="s">
        <v>728</v>
      </c>
      <c r="C12" s="104"/>
      <c r="D12" s="105"/>
      <c r="E12" s="104"/>
      <c r="F12" s="105"/>
      <c r="G12" s="104"/>
      <c r="H12" s="105"/>
      <c r="I12" s="53"/>
      <c r="J12" s="53"/>
      <c r="K12" s="104"/>
      <c r="L12" s="105"/>
      <c r="M12" s="104">
        <f>SUM('Database '!O43:O52)</f>
        <v>76</v>
      </c>
      <c r="N12" s="105">
        <v>39045.5526315789</v>
      </c>
      <c r="O12" s="106">
        <f t="shared" si="0"/>
        <v>76</v>
      </c>
      <c r="P12" s="106">
        <f t="shared" si="1"/>
        <v>39045.5526315789</v>
      </c>
    </row>
    <row r="13" spans="1:16" ht="15">
      <c r="A13" s="98" t="s">
        <v>729</v>
      </c>
      <c r="B13" s="99" t="s">
        <v>721</v>
      </c>
      <c r="C13" s="98">
        <f>SUM('Database '!Q5:Q6)</f>
        <v>210</v>
      </c>
      <c r="D13" s="100">
        <v>78404.8380952381</v>
      </c>
      <c r="E13" s="98">
        <f>SUM('Database '!S5:S6)</f>
        <v>151</v>
      </c>
      <c r="F13" s="100">
        <v>59571.5960264901</v>
      </c>
      <c r="G13" s="98">
        <f>SUM('Database '!U5:U6)</f>
        <v>66</v>
      </c>
      <c r="H13" s="100">
        <v>52032.1818181818</v>
      </c>
      <c r="I13" s="98">
        <f>SUM('Database '!W5:W6)</f>
        <v>20</v>
      </c>
      <c r="J13" s="100">
        <v>29911</v>
      </c>
      <c r="K13" s="98">
        <f>SUM('Database '!Y5:Y6)</f>
        <v>7</v>
      </c>
      <c r="L13" s="100">
        <v>45980</v>
      </c>
      <c r="M13" s="98"/>
      <c r="N13" s="100"/>
      <c r="O13" s="101">
        <f t="shared" si="0"/>
        <v>454</v>
      </c>
      <c r="P13" s="101">
        <f t="shared" si="1"/>
        <v>65670.77312775332</v>
      </c>
    </row>
    <row r="14" spans="1:16" ht="15">
      <c r="A14" s="53"/>
      <c r="B14" s="99" t="s">
        <v>722</v>
      </c>
      <c r="C14" s="98">
        <f>'Database '!Q7</f>
        <v>61</v>
      </c>
      <c r="D14" s="100">
        <f>'Database '!R7</f>
        <v>94046</v>
      </c>
      <c r="E14" s="98">
        <f>'Database '!S7</f>
        <v>39</v>
      </c>
      <c r="F14" s="100">
        <f>'Database '!T7</f>
        <v>64483</v>
      </c>
      <c r="G14" s="98">
        <f>'Database '!U7</f>
        <v>36</v>
      </c>
      <c r="H14" s="100">
        <f>'Database '!V7</f>
        <v>52880</v>
      </c>
      <c r="I14" s="98">
        <f>'Database '!W7</f>
        <v>4</v>
      </c>
      <c r="J14" s="100">
        <f>'Database '!X7</f>
        <v>34722</v>
      </c>
      <c r="K14" s="98">
        <f>'Database '!Y7</f>
        <v>1</v>
      </c>
      <c r="L14" s="100">
        <f>'Database '!Z7</f>
        <v>54350</v>
      </c>
      <c r="M14" s="98"/>
      <c r="N14" s="100"/>
      <c r="O14" s="101">
        <f t="shared" si="0"/>
        <v>141</v>
      </c>
      <c r="P14" s="101">
        <f t="shared" si="1"/>
        <v>73394.04964539007</v>
      </c>
    </row>
    <row r="15" spans="1:16" ht="15">
      <c r="A15" s="53"/>
      <c r="B15" s="99" t="s">
        <v>723</v>
      </c>
      <c r="C15" s="98">
        <f>SUM('Database '!Q8:Q11)</f>
        <v>135</v>
      </c>
      <c r="D15" s="100">
        <v>74660.3703703704</v>
      </c>
      <c r="E15" s="98">
        <f>SUM('Database '!S8:S11)</f>
        <v>48</v>
      </c>
      <c r="F15" s="100">
        <v>58346.0416666667</v>
      </c>
      <c r="G15" s="98">
        <f>SUM('Database '!U8:U11)</f>
        <v>57</v>
      </c>
      <c r="H15" s="100">
        <v>51500.5087719298</v>
      </c>
      <c r="I15" s="98">
        <f>SUM('Database '!W8:W11)</f>
        <v>16</v>
      </c>
      <c r="J15" s="100">
        <v>40975.125</v>
      </c>
      <c r="K15" s="98">
        <f>SUM('Database '!Y8:Y11)</f>
        <v>6</v>
      </c>
      <c r="L15" s="100">
        <v>38924.3333333333</v>
      </c>
      <c r="M15" s="98"/>
      <c r="N15" s="100"/>
      <c r="O15" s="101">
        <f t="shared" si="0"/>
        <v>262</v>
      </c>
      <c r="P15" s="101">
        <f t="shared" si="1"/>
        <v>63757.39312977101</v>
      </c>
    </row>
    <row r="16" spans="1:16" ht="15">
      <c r="A16" s="53"/>
      <c r="B16" s="99" t="s">
        <v>724</v>
      </c>
      <c r="C16" s="98">
        <f>SUM('Database '!Q12:Q14)</f>
        <v>38</v>
      </c>
      <c r="D16" s="100">
        <v>70757.6842105263</v>
      </c>
      <c r="E16" s="98">
        <f>SUM('Database '!S12:S14)</f>
        <v>27</v>
      </c>
      <c r="F16" s="100">
        <v>53322.5555555556</v>
      </c>
      <c r="G16" s="98">
        <f>SUM('Database '!U12:U14)</f>
        <v>42</v>
      </c>
      <c r="H16" s="100">
        <v>40496</v>
      </c>
      <c r="I16" s="98">
        <f>SUM('Database '!W12:W14)</f>
        <v>7</v>
      </c>
      <c r="J16" s="100">
        <v>32912.8571428571</v>
      </c>
      <c r="K16" s="98"/>
      <c r="L16" s="100"/>
      <c r="M16" s="98"/>
      <c r="N16" s="100"/>
      <c r="O16" s="101">
        <f t="shared" si="0"/>
        <v>114</v>
      </c>
      <c r="P16" s="101">
        <f t="shared" si="1"/>
        <v>53155.46491228071</v>
      </c>
    </row>
    <row r="17" spans="1:16" ht="15">
      <c r="A17" s="53"/>
      <c r="B17" s="99" t="s">
        <v>725</v>
      </c>
      <c r="C17" s="98">
        <f>SUM('Database '!Q15:Q19)</f>
        <v>39</v>
      </c>
      <c r="D17" s="100">
        <v>58650</v>
      </c>
      <c r="E17" s="98">
        <f>SUM('Database '!S15:S19)</f>
        <v>27</v>
      </c>
      <c r="F17" s="100">
        <v>45208.1851851852</v>
      </c>
      <c r="G17" s="98">
        <f>SUM('Database '!U15:U19)</f>
        <v>37</v>
      </c>
      <c r="H17" s="100">
        <v>40920.5945945946</v>
      </c>
      <c r="I17" s="98">
        <f>SUM('Database '!W15:W19)</f>
        <v>12</v>
      </c>
      <c r="J17" s="100">
        <v>35776.8333333333</v>
      </c>
      <c r="K17" s="98"/>
      <c r="L17" s="100"/>
      <c r="M17" s="98"/>
      <c r="N17" s="100"/>
      <c r="O17" s="101">
        <f t="shared" si="0"/>
        <v>115</v>
      </c>
      <c r="P17" s="101">
        <f t="shared" si="1"/>
        <v>47403.086956521736</v>
      </c>
    </row>
    <row r="18" spans="1:16" ht="15">
      <c r="A18" s="53"/>
      <c r="B18" s="99" t="s">
        <v>726</v>
      </c>
      <c r="C18" s="98">
        <f>'Database '!Q20</f>
        <v>1</v>
      </c>
      <c r="D18" s="100">
        <f>'Database '!R20</f>
        <v>67619</v>
      </c>
      <c r="E18" s="98"/>
      <c r="F18" s="100"/>
      <c r="G18" s="98">
        <f>'Database '!U20</f>
        <v>3</v>
      </c>
      <c r="H18" s="100">
        <f>'Database '!V20</f>
        <v>52022</v>
      </c>
      <c r="I18" s="98">
        <f>'Database '!W20</f>
        <v>3</v>
      </c>
      <c r="J18" s="100">
        <f>'Database '!X20</f>
        <v>44892</v>
      </c>
      <c r="K18" s="98"/>
      <c r="L18" s="100"/>
      <c r="M18" s="98"/>
      <c r="N18" s="100"/>
      <c r="O18" s="101">
        <f t="shared" si="0"/>
        <v>7</v>
      </c>
      <c r="P18" s="101">
        <f t="shared" si="1"/>
        <v>51194.42857142857</v>
      </c>
    </row>
    <row r="19" spans="1:16" ht="15">
      <c r="A19" s="53"/>
      <c r="B19" s="99" t="s">
        <v>727</v>
      </c>
      <c r="C19" s="98"/>
      <c r="D19" s="100"/>
      <c r="E19" s="98"/>
      <c r="F19" s="100"/>
      <c r="G19" s="98"/>
      <c r="H19" s="100"/>
      <c r="I19" s="53"/>
      <c r="J19" s="53"/>
      <c r="K19" s="98"/>
      <c r="L19" s="100"/>
      <c r="M19" s="98">
        <f>SUM('Database '!AA21:AA42)</f>
        <v>79</v>
      </c>
      <c r="N19" s="100">
        <v>52088.7974683544</v>
      </c>
      <c r="O19" s="101">
        <f t="shared" si="0"/>
        <v>79</v>
      </c>
      <c r="P19" s="101">
        <f t="shared" si="1"/>
        <v>52088.7974683544</v>
      </c>
    </row>
    <row r="20" spans="1:16" ht="15">
      <c r="A20" s="102"/>
      <c r="B20" s="103" t="s">
        <v>728</v>
      </c>
      <c r="C20" s="104"/>
      <c r="D20" s="105"/>
      <c r="E20" s="104"/>
      <c r="F20" s="105"/>
      <c r="G20" s="104"/>
      <c r="H20" s="105"/>
      <c r="I20" s="53"/>
      <c r="J20" s="53"/>
      <c r="K20" s="104"/>
      <c r="L20" s="105"/>
      <c r="M20" s="104">
        <f>SUM('Database '!AA43:AA52)</f>
        <v>231</v>
      </c>
      <c r="N20" s="105">
        <v>50599.0216450216</v>
      </c>
      <c r="O20" s="106">
        <f t="shared" si="0"/>
        <v>231</v>
      </c>
      <c r="P20" s="106">
        <f t="shared" si="1"/>
        <v>50599.0216450216</v>
      </c>
    </row>
    <row r="21" spans="1:16" ht="15">
      <c r="A21" s="98" t="s">
        <v>730</v>
      </c>
      <c r="B21" s="99" t="s">
        <v>721</v>
      </c>
      <c r="C21" s="98">
        <f>'Database '!E53</f>
        <v>162</v>
      </c>
      <c r="D21" s="100">
        <f>'Database '!F53</f>
        <v>66834</v>
      </c>
      <c r="E21" s="98">
        <f>'Database '!G53</f>
        <v>152</v>
      </c>
      <c r="F21" s="100">
        <f>'Database '!H53</f>
        <v>50759</v>
      </c>
      <c r="G21" s="98">
        <f>'Database '!I53</f>
        <v>163</v>
      </c>
      <c r="H21" s="100">
        <f>'Database '!J53</f>
        <v>42575</v>
      </c>
      <c r="I21" s="98">
        <f>'Database '!K53</f>
        <v>39</v>
      </c>
      <c r="J21" s="100">
        <f>'Database '!L53</f>
        <v>30337</v>
      </c>
      <c r="K21" s="98">
        <f>'Database '!M53</f>
        <v>19</v>
      </c>
      <c r="L21" s="100">
        <f>'Database '!N53</f>
        <v>18842</v>
      </c>
      <c r="M21" s="98"/>
      <c r="N21" s="100"/>
      <c r="O21" s="101">
        <f t="shared" si="0"/>
        <v>535</v>
      </c>
      <c r="P21" s="101">
        <f t="shared" si="1"/>
        <v>50510.91962616822</v>
      </c>
    </row>
    <row r="22" spans="1:16" ht="15">
      <c r="A22" s="53"/>
      <c r="B22" s="99" t="s">
        <v>722</v>
      </c>
      <c r="C22" s="98"/>
      <c r="D22" s="100"/>
      <c r="E22" s="98"/>
      <c r="F22" s="100"/>
      <c r="G22" s="98"/>
      <c r="H22" s="100"/>
      <c r="I22" s="98"/>
      <c r="J22" s="100"/>
      <c r="K22" s="98"/>
      <c r="L22" s="100"/>
      <c r="M22" s="98"/>
      <c r="N22" s="100"/>
      <c r="O22" s="101"/>
      <c r="P22" s="101"/>
    </row>
    <row r="23" spans="1:16" ht="15">
      <c r="A23" s="53"/>
      <c r="B23" s="99" t="s">
        <v>723</v>
      </c>
      <c r="C23" s="98">
        <f>SUM('Database '!E54:E56)</f>
        <v>281</v>
      </c>
      <c r="D23" s="100">
        <v>58414</v>
      </c>
      <c r="E23" s="98">
        <f>SUM('Database '!G54:G56)</f>
        <v>256</v>
      </c>
      <c r="F23" s="100">
        <v>46322.71484375</v>
      </c>
      <c r="G23" s="98">
        <f>SUM('Database '!I54:I56)</f>
        <v>298</v>
      </c>
      <c r="H23" s="100">
        <v>39237.8187919463</v>
      </c>
      <c r="I23" s="98">
        <f>SUM('Database '!K54:K56)</f>
        <v>216</v>
      </c>
      <c r="J23" s="100">
        <v>29979.2685185185</v>
      </c>
      <c r="K23" s="98">
        <f>SUM('Database '!M54:M56)</f>
        <v>34</v>
      </c>
      <c r="L23" s="100">
        <v>7736.58823529412</v>
      </c>
      <c r="M23" s="98"/>
      <c r="N23" s="100"/>
      <c r="O23" s="101">
        <f>C23+E23+G23+I23+K23+M23</f>
        <v>1085</v>
      </c>
      <c r="P23" s="101">
        <f>IF(O23&gt;0,(C23*D23+E23*F23+G23*H23+I23*J23+K23*L23+M23*N23)/O23,0)</f>
        <v>43045.51612903226</v>
      </c>
    </row>
    <row r="24" spans="1:16" ht="15">
      <c r="A24" s="53"/>
      <c r="B24" s="99" t="s">
        <v>724</v>
      </c>
      <c r="C24" s="98"/>
      <c r="D24" s="100"/>
      <c r="E24" s="98"/>
      <c r="F24" s="100"/>
      <c r="G24" s="98"/>
      <c r="H24" s="100"/>
      <c r="I24" s="98"/>
      <c r="J24" s="100"/>
      <c r="K24" s="98"/>
      <c r="L24" s="100"/>
      <c r="M24" s="98"/>
      <c r="N24" s="100"/>
      <c r="O24" s="101"/>
      <c r="P24" s="101"/>
    </row>
    <row r="25" spans="1:16" ht="15">
      <c r="A25" s="53"/>
      <c r="B25" s="99" t="s">
        <v>725</v>
      </c>
      <c r="C25" s="98">
        <f>SUM('Database '!E57:E59)</f>
        <v>122</v>
      </c>
      <c r="D25" s="100">
        <v>49152.1721311475</v>
      </c>
      <c r="E25" s="98">
        <f>SUM('Database '!G57:G59)</f>
        <v>135</v>
      </c>
      <c r="F25" s="100">
        <v>41356.5111111111</v>
      </c>
      <c r="G25" s="98">
        <f>SUM('Database '!I57:I59)</f>
        <v>111</v>
      </c>
      <c r="H25" s="100">
        <v>36031.2252252252</v>
      </c>
      <c r="I25" s="98">
        <f>SUM('Database '!K57:K59)</f>
        <v>43</v>
      </c>
      <c r="J25" s="100">
        <v>28840.1627906977</v>
      </c>
      <c r="K25" s="98"/>
      <c r="L25" s="100"/>
      <c r="M25" s="98"/>
      <c r="N25" s="100"/>
      <c r="O25" s="101">
        <f>C25+E25+G25+I25+K25+M25</f>
        <v>411</v>
      </c>
      <c r="P25" s="101">
        <f>IF(O25&gt;0,(C25*D25+E25*F25+G25*H25+I25*J25+K25*L25+M25*N25)/O25,0)</f>
        <v>40922.83941605837</v>
      </c>
    </row>
    <row r="26" spans="1:16" ht="15">
      <c r="A26" s="53"/>
      <c r="B26" s="99" t="s">
        <v>726</v>
      </c>
      <c r="C26" s="98">
        <f>SUM('Database '!E60:E61)</f>
        <v>33</v>
      </c>
      <c r="D26" s="100">
        <v>45846.6363636364</v>
      </c>
      <c r="E26" s="98">
        <f>SUM('Database '!G60:G61)</f>
        <v>44</v>
      </c>
      <c r="F26" s="100">
        <v>41975.9090909091</v>
      </c>
      <c r="G26" s="98">
        <f>SUM('Database '!I60:I61)</f>
        <v>73</v>
      </c>
      <c r="H26" s="100">
        <v>35817.6164383562</v>
      </c>
      <c r="I26" s="98">
        <f>SUM('Database '!K60:K61)</f>
        <v>60</v>
      </c>
      <c r="J26" s="100">
        <v>29198.6333333333</v>
      </c>
      <c r="K26" s="98">
        <f>SUM('Database '!M60:M61)</f>
        <v>1</v>
      </c>
      <c r="L26" s="100">
        <v>20331</v>
      </c>
      <c r="M26" s="98"/>
      <c r="N26" s="100"/>
      <c r="O26" s="101">
        <f>C26+E26+G26+I26+K26+M26</f>
        <v>211</v>
      </c>
      <c r="P26" s="101">
        <f>IF(O26&gt;0,(C26*D26+E26*F26+G26*H26+I26*J26+K26*L26+M26*N26)/O26,0)</f>
        <v>36714.75829383887</v>
      </c>
    </row>
    <row r="27" spans="1:16" ht="15">
      <c r="A27" s="53"/>
      <c r="B27" s="99" t="s">
        <v>727</v>
      </c>
      <c r="C27" s="98"/>
      <c r="D27" s="100"/>
      <c r="E27" s="98"/>
      <c r="F27" s="100"/>
      <c r="G27" s="98"/>
      <c r="H27" s="100"/>
      <c r="I27" s="98"/>
      <c r="J27" s="100"/>
      <c r="K27" s="98"/>
      <c r="L27" s="100"/>
      <c r="M27" s="98">
        <f>SUM('Database '!O62:O83)</f>
        <v>761</v>
      </c>
      <c r="N27" s="100">
        <v>33132.1563731932</v>
      </c>
      <c r="O27" s="101">
        <f>C27+E27+G27+I27+K27+M27</f>
        <v>761</v>
      </c>
      <c r="P27" s="101">
        <f>IF(O27&gt;0,(C27*D27+E27*F27+G27*H27+I27*J27+K27*L27+M27*N27)/O27,0)</f>
        <v>33132.1563731932</v>
      </c>
    </row>
    <row r="28" spans="1:16" ht="15">
      <c r="A28" s="102"/>
      <c r="B28" s="103" t="s">
        <v>728</v>
      </c>
      <c r="C28" s="104"/>
      <c r="D28" s="105"/>
      <c r="E28" s="104"/>
      <c r="F28" s="105"/>
      <c r="G28" s="104"/>
      <c r="H28" s="105"/>
      <c r="I28" s="104"/>
      <c r="J28" s="105"/>
      <c r="K28" s="107"/>
      <c r="L28" s="105"/>
      <c r="M28" s="104"/>
      <c r="N28" s="105"/>
      <c r="O28" s="101"/>
      <c r="P28" s="101"/>
    </row>
    <row r="29" spans="1:16" ht="15">
      <c r="A29" s="98" t="s">
        <v>731</v>
      </c>
      <c r="B29" s="99" t="s">
        <v>721</v>
      </c>
      <c r="C29" s="98">
        <f>'Database '!Q53</f>
        <v>149</v>
      </c>
      <c r="D29" s="100">
        <f>'Database '!R53</f>
        <v>79464</v>
      </c>
      <c r="E29" s="98">
        <f>'Database '!S53</f>
        <v>69</v>
      </c>
      <c r="F29" s="100">
        <f>'Database '!T53</f>
        <v>57867</v>
      </c>
      <c r="G29" s="98">
        <f>'Database '!U53</f>
        <v>51</v>
      </c>
      <c r="H29" s="100">
        <f>'Database '!V53</f>
        <v>50121</v>
      </c>
      <c r="I29" s="98">
        <f>'Database '!W53</f>
        <v>24</v>
      </c>
      <c r="J29" s="100">
        <f>'Database '!X53</f>
        <v>32949</v>
      </c>
      <c r="K29" s="98" t="str">
        <f>'Database '!Y53</f>
        <v> </v>
      </c>
      <c r="L29" s="100" t="str">
        <f>'Database '!Z53</f>
        <v> </v>
      </c>
      <c r="M29" s="98"/>
      <c r="N29" s="100"/>
      <c r="O29" s="108">
        <f>C29+E29+G29+I29+K29+M29</f>
        <v>293</v>
      </c>
      <c r="P29" s="108">
        <f>IF(O29&gt;0,(C29*D29+E29*F29+G29*H29+I29*J29+K29*L29+M29*N29)/O29,0)</f>
        <v>65460.43003412969</v>
      </c>
    </row>
    <row r="30" spans="1:16" ht="15">
      <c r="A30" s="53"/>
      <c r="B30" s="99" t="s">
        <v>722</v>
      </c>
      <c r="C30" s="53"/>
      <c r="D30" s="109"/>
      <c r="E30" s="53"/>
      <c r="F30" s="109"/>
      <c r="G30" s="53"/>
      <c r="H30" s="109"/>
      <c r="I30" s="53"/>
      <c r="J30" s="109"/>
      <c r="K30" s="53"/>
      <c r="L30" s="109"/>
      <c r="M30" s="53"/>
      <c r="N30" s="109"/>
      <c r="O30" s="101"/>
      <c r="P30" s="101"/>
    </row>
    <row r="31" spans="1:16" ht="15">
      <c r="A31" s="53"/>
      <c r="B31" s="99" t="s">
        <v>723</v>
      </c>
      <c r="C31" s="98">
        <f>SUM('Database '!Q54:Q56)</f>
        <v>42</v>
      </c>
      <c r="D31" s="100">
        <v>71524.0714285714</v>
      </c>
      <c r="E31" s="98">
        <f>SUM('Database '!S54:S56)</f>
        <v>31</v>
      </c>
      <c r="F31" s="100">
        <v>63952.8387096774</v>
      </c>
      <c r="G31" s="98">
        <f>SUM('Database '!U54:U56)</f>
        <v>16</v>
      </c>
      <c r="H31" s="100">
        <v>49690.375</v>
      </c>
      <c r="I31" s="98">
        <f>SUM('Database '!W54:W56)</f>
        <v>25</v>
      </c>
      <c r="J31" s="100">
        <v>35608.92</v>
      </c>
      <c r="K31" s="98">
        <f>SUM('Database '!Y54:Y56)</f>
        <v>2</v>
      </c>
      <c r="L31" s="100">
        <v>36350</v>
      </c>
      <c r="M31" s="98"/>
      <c r="N31" s="100"/>
      <c r="O31" s="101">
        <f>C31+E31+G31+I31+K31+M31</f>
        <v>116</v>
      </c>
      <c r="P31" s="101">
        <f>IF(O31&gt;0,(C31*D31+E31*F31+G31*H31+I31*J31+K31*L31+M31*N31)/O31,0)</f>
        <v>58142.39655172412</v>
      </c>
    </row>
    <row r="32" spans="1:16" ht="15">
      <c r="A32" s="53"/>
      <c r="B32" s="99" t="s">
        <v>724</v>
      </c>
      <c r="C32" s="98"/>
      <c r="D32" s="100"/>
      <c r="E32" s="98"/>
      <c r="F32" s="100"/>
      <c r="G32" s="98"/>
      <c r="H32" s="100"/>
      <c r="I32" s="98"/>
      <c r="J32" s="100"/>
      <c r="K32" s="98"/>
      <c r="L32" s="100"/>
      <c r="M32" s="98"/>
      <c r="N32" s="100"/>
      <c r="O32" s="101"/>
      <c r="P32" s="101"/>
    </row>
    <row r="33" spans="1:16" ht="15">
      <c r="A33" s="53"/>
      <c r="B33" s="99" t="s">
        <v>725</v>
      </c>
      <c r="C33" s="98">
        <f>SUM('Database '!Q57:Q59)</f>
        <v>19</v>
      </c>
      <c r="D33" s="100">
        <v>63096.1052631579</v>
      </c>
      <c r="E33" s="98">
        <f>SUM('Database '!S57:S59)</f>
        <v>9</v>
      </c>
      <c r="F33" s="100">
        <v>60218</v>
      </c>
      <c r="G33" s="98">
        <f>SUM('Database '!U57:U59)</f>
        <v>3</v>
      </c>
      <c r="H33" s="100">
        <v>51097</v>
      </c>
      <c r="I33" s="98">
        <f>SUM('Database '!W57:W59)</f>
        <v>9</v>
      </c>
      <c r="J33" s="100">
        <v>39069</v>
      </c>
      <c r="K33" s="98"/>
      <c r="L33" s="100"/>
      <c r="M33" s="98"/>
      <c r="N33" s="100"/>
      <c r="O33" s="101">
        <f>C33+E33+G33+I33+K33+M33</f>
        <v>40</v>
      </c>
      <c r="P33" s="101">
        <f>IF(O33&gt;0,(C33*D33+E33*F33+G33*H33+I33*J33+K33*L33+M33*N33)/O33,0)</f>
        <v>56142.5</v>
      </c>
    </row>
    <row r="34" spans="1:16" ht="15">
      <c r="A34" s="53"/>
      <c r="B34" s="99" t="s">
        <v>726</v>
      </c>
      <c r="C34" s="98">
        <f>SUM('Database '!Q60:Q61)</f>
        <v>27</v>
      </c>
      <c r="D34" s="100">
        <v>58677.4444444444</v>
      </c>
      <c r="E34" s="98">
        <f>SUM('Database '!S60:S61)</f>
        <v>17</v>
      </c>
      <c r="F34" s="100">
        <v>49402.2352941177</v>
      </c>
      <c r="G34" s="98">
        <f>SUM('Database '!U60:U61)</f>
        <v>19</v>
      </c>
      <c r="H34" s="100">
        <v>42638.3684210526</v>
      </c>
      <c r="I34" s="98">
        <f>SUM('Database '!W60:W61)</f>
        <v>8</v>
      </c>
      <c r="J34" s="100">
        <v>33194.75</v>
      </c>
      <c r="K34" s="98">
        <f>SUM('Database '!Y60:Y61)</f>
        <v>1</v>
      </c>
      <c r="L34" s="100">
        <v>37116</v>
      </c>
      <c r="M34" s="98"/>
      <c r="N34" s="100"/>
      <c r="O34" s="101">
        <f>C34+E34+G34+I34+K34+M34</f>
        <v>72</v>
      </c>
      <c r="P34" s="101">
        <f>IF(O34&gt;0,(C34*D34+E34*F34+G34*H34+I34*J34+K34*L34+M34*N34)/O34,0)</f>
        <v>49124.05555555554</v>
      </c>
    </row>
    <row r="35" spans="1:16" ht="15">
      <c r="A35" s="53"/>
      <c r="B35" s="99" t="s">
        <v>727</v>
      </c>
      <c r="C35" s="98"/>
      <c r="D35" s="100"/>
      <c r="E35" s="98"/>
      <c r="F35" s="100"/>
      <c r="G35" s="98"/>
      <c r="H35" s="100"/>
      <c r="I35" s="98"/>
      <c r="J35" s="100"/>
      <c r="K35" s="98"/>
      <c r="L35" s="100"/>
      <c r="M35" s="98">
        <f>SUM('Database '!AA62:AA83)</f>
        <v>151</v>
      </c>
      <c r="N35" s="100">
        <v>38632.3311258278</v>
      </c>
      <c r="O35" s="101">
        <f>C35+E35+G35+I35+K35+M35</f>
        <v>151</v>
      </c>
      <c r="P35" s="101">
        <f>IF(O35&gt;0,(C35*D35+E35*F35+G35*H35+I35*J35+K35*L35+M35*N35)/O35,0)</f>
        <v>38632.3311258278</v>
      </c>
    </row>
    <row r="36" spans="1:16" ht="15">
      <c r="A36" s="102"/>
      <c r="B36" s="103" t="s">
        <v>728</v>
      </c>
      <c r="C36" s="104"/>
      <c r="D36" s="105"/>
      <c r="E36" s="104"/>
      <c r="F36" s="105"/>
      <c r="G36" s="104"/>
      <c r="H36" s="105"/>
      <c r="I36" s="104"/>
      <c r="J36" s="105"/>
      <c r="K36" s="107"/>
      <c r="L36" s="105"/>
      <c r="M36" s="104"/>
      <c r="N36" s="105"/>
      <c r="O36" s="106"/>
      <c r="P36" s="106"/>
    </row>
    <row r="37" spans="1:16" ht="15">
      <c r="A37" s="98" t="s">
        <v>732</v>
      </c>
      <c r="B37" s="99" t="s">
        <v>721</v>
      </c>
      <c r="C37" s="98">
        <f>SUM('Database '!E85:E87)</f>
        <v>1395</v>
      </c>
      <c r="D37" s="100">
        <v>68349.3105890717</v>
      </c>
      <c r="E37" s="98">
        <f>SUM('Database '!G85:G87)</f>
        <v>1086</v>
      </c>
      <c r="F37" s="100">
        <v>50160.4657872928</v>
      </c>
      <c r="G37" s="98">
        <f>SUM('Database '!I85:I87)</f>
        <v>724</v>
      </c>
      <c r="H37" s="100">
        <v>44126.2872410221</v>
      </c>
      <c r="I37" s="98">
        <f>SUM('Database '!K85:K87)</f>
        <v>130</v>
      </c>
      <c r="J37" s="100">
        <v>30820.4072115385</v>
      </c>
      <c r="K37" s="98">
        <f>SUM('Database '!M85:M87)</f>
        <v>53</v>
      </c>
      <c r="L37" s="100">
        <v>29898.6556603773</v>
      </c>
      <c r="M37" s="98"/>
      <c r="N37" s="100"/>
      <c r="O37" s="101">
        <f>C37+E37+G37+I37+K37+M37</f>
        <v>3388</v>
      </c>
      <c r="P37" s="101">
        <f>IF(O37&gt;0,(C37*D37+E37*F37+G37*H37+I37*J37+K37*L37+M37*N37)/O37,0)</f>
        <v>55301.141607660866</v>
      </c>
    </row>
    <row r="38" spans="1:16" ht="15">
      <c r="A38" s="53"/>
      <c r="B38" s="99" t="s">
        <v>722</v>
      </c>
      <c r="C38" s="98">
        <f>SUM('Database '!E88:E90)</f>
        <v>1404</v>
      </c>
      <c r="D38" s="100">
        <v>65101.4182799836</v>
      </c>
      <c r="E38" s="98">
        <f>SUM('Database '!G88:G90)</f>
        <v>681</v>
      </c>
      <c r="F38" s="100">
        <v>49201.4599853157</v>
      </c>
      <c r="G38" s="98">
        <f>SUM('Database '!I88:I90)</f>
        <v>562</v>
      </c>
      <c r="H38" s="100">
        <v>42408.7971530249</v>
      </c>
      <c r="I38" s="98">
        <f>SUM('Database '!K88:K90)</f>
        <v>232</v>
      </c>
      <c r="J38" s="100">
        <v>33136.3114224138</v>
      </c>
      <c r="K38" s="98">
        <f>SUM('Database '!M88:M90)</f>
        <v>18</v>
      </c>
      <c r="L38" s="100">
        <v>35060.4027777778</v>
      </c>
      <c r="M38" s="98"/>
      <c r="N38" s="100"/>
      <c r="O38" s="101">
        <f>C38+E38+G38+I38+K38+M38</f>
        <v>2897</v>
      </c>
      <c r="P38" s="101">
        <f>IF(O38&gt;0,(C38*D38+E38*F38+G38*H38+I38*J38+K38*L38+M38*N38)/O38,0)</f>
        <v>54215.064209560565</v>
      </c>
    </row>
    <row r="39" spans="1:16" ht="15">
      <c r="A39" s="53"/>
      <c r="B39" s="99" t="s">
        <v>723</v>
      </c>
      <c r="C39" s="98">
        <f>SUM('Database '!E91:E92)</f>
        <v>588</v>
      </c>
      <c r="D39" s="100">
        <v>58188.9779293415</v>
      </c>
      <c r="E39" s="98">
        <f>SUM('Database '!G91:G92)</f>
        <v>195</v>
      </c>
      <c r="F39" s="100">
        <v>50172.2505128205</v>
      </c>
      <c r="G39" s="98">
        <f>SUM('Database '!I91:I92)</f>
        <v>239</v>
      </c>
      <c r="H39" s="100">
        <v>42727.4353974895</v>
      </c>
      <c r="I39" s="98">
        <f>SUM('Database '!K91:K92)</f>
        <v>105</v>
      </c>
      <c r="J39" s="100">
        <v>32919.5339047619</v>
      </c>
      <c r="K39" s="98">
        <f>SUM('Database '!M91:M92)</f>
        <v>7</v>
      </c>
      <c r="L39" s="100">
        <v>28667.6428571428</v>
      </c>
      <c r="M39" s="98"/>
      <c r="N39" s="100"/>
      <c r="O39" s="101">
        <f>C39+E39+G39+I39+K39+M39</f>
        <v>1134</v>
      </c>
      <c r="P39" s="101">
        <f>IF(O39&gt;0,(C39*D39+E39*F39+G39*H39+I39*J39+K39*L39+M39*N39)/O39,0)</f>
        <v>51029.79673055801</v>
      </c>
    </row>
    <row r="40" spans="1:16" ht="15">
      <c r="A40" s="53"/>
      <c r="B40" s="99" t="s">
        <v>724</v>
      </c>
      <c r="C40" s="98">
        <f>'Database '!E93</f>
        <v>77</v>
      </c>
      <c r="D40" s="100">
        <f>'Database '!F93</f>
        <v>61011.5584415584</v>
      </c>
      <c r="E40" s="98">
        <f>'Database '!G93</f>
        <v>87</v>
      </c>
      <c r="F40" s="100">
        <f>'Database '!H93</f>
        <v>47420.5229885057</v>
      </c>
      <c r="G40" s="98">
        <f>'Database '!I93</f>
        <v>86</v>
      </c>
      <c r="H40" s="100">
        <f>'Database '!J93</f>
        <v>36825.6279069767</v>
      </c>
      <c r="I40" s="98">
        <f>'Database '!K93</f>
        <v>29</v>
      </c>
      <c r="J40" s="100">
        <f>'Database '!L93</f>
        <v>30044.2413793103</v>
      </c>
      <c r="K40" s="98">
        <f>'Database '!M93</f>
        <v>15</v>
      </c>
      <c r="L40" s="100">
        <f>'Database '!N93</f>
        <v>19109.3666666667</v>
      </c>
      <c r="M40" s="98"/>
      <c r="N40" s="100"/>
      <c r="O40" s="101">
        <f>C40+E40+G40+I40+K40+M40</f>
        <v>294</v>
      </c>
      <c r="P40" s="101">
        <f>IF(O40&gt;0,(C40*D40+E40*F40+G40*H40+I40*J40+K40*L40+M40*N40)/O40,0)</f>
        <v>44722.459183673425</v>
      </c>
    </row>
    <row r="41" spans="1:16" ht="15">
      <c r="A41" s="53"/>
      <c r="B41" s="99" t="s">
        <v>725</v>
      </c>
      <c r="C41" s="98"/>
      <c r="D41" s="100"/>
      <c r="E41" s="98"/>
      <c r="F41" s="100"/>
      <c r="G41" s="98"/>
      <c r="H41" s="100"/>
      <c r="I41" s="98"/>
      <c r="J41" s="100"/>
      <c r="K41" s="98"/>
      <c r="L41" s="100"/>
      <c r="M41" s="99"/>
      <c r="N41" s="110"/>
      <c r="O41" s="101"/>
      <c r="P41" s="101"/>
    </row>
    <row r="42" spans="1:16" ht="15">
      <c r="A42" s="53"/>
      <c r="B42" s="99" t="s">
        <v>726</v>
      </c>
      <c r="C42" s="98"/>
      <c r="D42" s="100"/>
      <c r="E42" s="98"/>
      <c r="F42" s="100"/>
      <c r="G42" s="98"/>
      <c r="H42" s="100"/>
      <c r="I42" s="98"/>
      <c r="J42" s="100"/>
      <c r="K42" s="98"/>
      <c r="L42" s="100"/>
      <c r="M42" s="99"/>
      <c r="N42" s="110"/>
      <c r="O42" s="101"/>
      <c r="P42" s="101"/>
    </row>
    <row r="43" spans="1:16" ht="15">
      <c r="A43" s="53"/>
      <c r="B43" s="99" t="s">
        <v>727</v>
      </c>
      <c r="C43" s="98"/>
      <c r="D43" s="100"/>
      <c r="E43" s="98"/>
      <c r="F43" s="100"/>
      <c r="G43" s="98"/>
      <c r="H43" s="100"/>
      <c r="I43" s="98"/>
      <c r="J43" s="100"/>
      <c r="K43" s="98"/>
      <c r="L43" s="100"/>
      <c r="M43" s="98">
        <f>SUM('Database '!O94:O121)</f>
        <v>4570</v>
      </c>
      <c r="N43" s="100">
        <v>39147.9190371991</v>
      </c>
      <c r="O43" s="101">
        <f>C43+E43+G43+I43+K43+M43</f>
        <v>4570</v>
      </c>
      <c r="P43" s="101">
        <f>IF(O43&gt;0,(C43*D43+E43*F43+G43*H43+I43*J43+K43*L43+M43*N43)/O43,0)</f>
        <v>39147.9190371991</v>
      </c>
    </row>
    <row r="44" spans="1:16" ht="15">
      <c r="A44" s="102"/>
      <c r="B44" s="103" t="s">
        <v>728</v>
      </c>
      <c r="C44" s="104"/>
      <c r="D44" s="105"/>
      <c r="E44" s="104"/>
      <c r="F44" s="105"/>
      <c r="G44" s="104"/>
      <c r="H44" s="105"/>
      <c r="I44" s="104"/>
      <c r="J44" s="105"/>
      <c r="K44" s="107"/>
      <c r="L44" s="105"/>
      <c r="M44" s="104"/>
      <c r="N44" s="105"/>
      <c r="O44" s="106"/>
      <c r="P44" s="106"/>
    </row>
    <row r="45" spans="1:16" ht="15">
      <c r="A45" s="98" t="s">
        <v>733</v>
      </c>
      <c r="B45" s="99" t="s">
        <v>721</v>
      </c>
      <c r="C45" s="98"/>
      <c r="D45" s="100"/>
      <c r="E45" s="98"/>
      <c r="F45" s="100"/>
      <c r="G45" s="98"/>
      <c r="H45" s="100"/>
      <c r="I45" s="98"/>
      <c r="J45" s="100"/>
      <c r="K45" s="98"/>
      <c r="L45" s="100"/>
      <c r="M45" s="98"/>
      <c r="N45" s="100"/>
      <c r="O45" s="101"/>
      <c r="P45" s="101"/>
    </row>
    <row r="46" spans="1:16" ht="15">
      <c r="A46" s="53"/>
      <c r="B46" s="99" t="s">
        <v>722</v>
      </c>
      <c r="C46" s="98"/>
      <c r="D46" s="100"/>
      <c r="E46" s="98"/>
      <c r="F46" s="100"/>
      <c r="G46" s="98"/>
      <c r="H46" s="100"/>
      <c r="I46" s="98"/>
      <c r="J46" s="100"/>
      <c r="K46" s="98"/>
      <c r="L46" s="100"/>
      <c r="M46" s="98"/>
      <c r="N46" s="100"/>
      <c r="O46" s="101"/>
      <c r="P46" s="101"/>
    </row>
    <row r="47" spans="1:16" ht="15">
      <c r="A47" s="53"/>
      <c r="B47" s="99" t="s">
        <v>723</v>
      </c>
      <c r="C47" s="98"/>
      <c r="D47" s="100"/>
      <c r="E47" s="98"/>
      <c r="F47" s="100"/>
      <c r="G47" s="98"/>
      <c r="H47" s="100"/>
      <c r="I47" s="98"/>
      <c r="J47" s="100"/>
      <c r="K47" s="98"/>
      <c r="L47" s="100"/>
      <c r="M47" s="98"/>
      <c r="N47" s="100"/>
      <c r="O47" s="101"/>
      <c r="P47" s="101"/>
    </row>
    <row r="48" spans="1:16" ht="15">
      <c r="A48" s="53"/>
      <c r="B48" s="99" t="s">
        <v>724</v>
      </c>
      <c r="C48" s="98"/>
      <c r="D48" s="100"/>
      <c r="E48" s="98"/>
      <c r="F48" s="100"/>
      <c r="G48" s="98"/>
      <c r="H48" s="100"/>
      <c r="I48" s="98"/>
      <c r="J48" s="100"/>
      <c r="K48" s="98"/>
      <c r="L48" s="100"/>
      <c r="M48" s="98"/>
      <c r="N48" s="100"/>
      <c r="O48" s="101"/>
      <c r="P48" s="101"/>
    </row>
    <row r="49" spans="1:16" ht="15">
      <c r="A49" s="53"/>
      <c r="B49" s="99" t="s">
        <v>725</v>
      </c>
      <c r="C49" s="98"/>
      <c r="D49" s="100"/>
      <c r="E49" s="98"/>
      <c r="F49" s="100"/>
      <c r="G49" s="98"/>
      <c r="H49" s="100"/>
      <c r="I49" s="98"/>
      <c r="J49" s="100"/>
      <c r="K49" s="98"/>
      <c r="L49" s="100"/>
      <c r="M49" s="99"/>
      <c r="N49" s="110"/>
      <c r="O49" s="101"/>
      <c r="P49" s="101"/>
    </row>
    <row r="50" spans="1:16" ht="15">
      <c r="A50" s="53"/>
      <c r="B50" s="99" t="s">
        <v>726</v>
      </c>
      <c r="C50" s="98"/>
      <c r="D50" s="100"/>
      <c r="E50" s="98"/>
      <c r="F50" s="100"/>
      <c r="G50" s="98"/>
      <c r="H50" s="100"/>
      <c r="I50" s="98"/>
      <c r="J50" s="100"/>
      <c r="K50" s="98"/>
      <c r="L50" s="100"/>
      <c r="M50" s="99"/>
      <c r="N50" s="110"/>
      <c r="O50" s="101"/>
      <c r="P50" s="101"/>
    </row>
    <row r="51" spans="1:16" ht="15">
      <c r="A51" s="53"/>
      <c r="B51" s="99" t="s">
        <v>727</v>
      </c>
      <c r="C51" s="98"/>
      <c r="D51" s="100"/>
      <c r="E51" s="98"/>
      <c r="F51" s="100"/>
      <c r="G51" s="98"/>
      <c r="H51" s="100"/>
      <c r="I51" s="98"/>
      <c r="J51" s="100"/>
      <c r="K51" s="98"/>
      <c r="L51" s="100"/>
      <c r="M51" s="98"/>
      <c r="N51" s="100"/>
      <c r="O51" s="101"/>
      <c r="P51" s="101"/>
    </row>
    <row r="52" spans="1:16" ht="15">
      <c r="A52" s="102"/>
      <c r="B52" s="103" t="s">
        <v>728</v>
      </c>
      <c r="C52" s="104"/>
      <c r="D52" s="105"/>
      <c r="E52" s="104"/>
      <c r="F52" s="105"/>
      <c r="G52" s="104"/>
      <c r="H52" s="105"/>
      <c r="I52" s="104"/>
      <c r="J52" s="105"/>
      <c r="K52" s="107"/>
      <c r="L52" s="105"/>
      <c r="M52" s="104"/>
      <c r="N52" s="105"/>
      <c r="O52" s="106"/>
      <c r="P52" s="106"/>
    </row>
    <row r="53" spans="1:16" ht="15">
      <c r="A53" s="98" t="s">
        <v>734</v>
      </c>
      <c r="B53" s="99" t="s">
        <v>721</v>
      </c>
      <c r="C53" s="98">
        <f>SUM('Database '!E122:E123)</f>
        <v>887</v>
      </c>
      <c r="D53" s="100">
        <v>78314.9887260428</v>
      </c>
      <c r="E53" s="98">
        <f>SUM('Database '!G122:G123)</f>
        <v>769</v>
      </c>
      <c r="F53" s="100">
        <v>55145.7360208062</v>
      </c>
      <c r="G53" s="98">
        <f>SUM('Database '!I122:I123)</f>
        <v>516</v>
      </c>
      <c r="H53" s="100">
        <v>47337.9302325581</v>
      </c>
      <c r="I53" s="98">
        <f>SUM('Database '!K122:K123)</f>
        <v>80</v>
      </c>
      <c r="J53" s="100">
        <v>39473.7625</v>
      </c>
      <c r="K53" s="98">
        <f>SUM('Database '!M122:M123)</f>
        <v>168</v>
      </c>
      <c r="L53" s="100">
        <v>46062</v>
      </c>
      <c r="M53" s="98"/>
      <c r="N53" s="100"/>
      <c r="O53" s="101">
        <f aca="true" t="shared" si="2" ref="O53:O60">C53+E53+G53+I53+K53+M53</f>
        <v>2420</v>
      </c>
      <c r="P53" s="101">
        <f aca="true" t="shared" si="3" ref="P53:P60">IF(O53&gt;0,(C53*D53+E53*F53+G53*H53+I53*J53+K53*L53+M53*N53)/O53,0)</f>
        <v>60824.444214876</v>
      </c>
    </row>
    <row r="54" spans="1:19" ht="15">
      <c r="A54" s="53"/>
      <c r="B54" s="99" t="s">
        <v>722</v>
      </c>
      <c r="C54" s="98">
        <f>'Database '!E124</f>
        <v>287</v>
      </c>
      <c r="D54" s="100">
        <f>'Database '!F124</f>
        <v>89190</v>
      </c>
      <c r="E54" s="98">
        <f>'Database '!G124</f>
        <v>239</v>
      </c>
      <c r="F54" s="100">
        <f>'Database '!H124</f>
        <v>64908</v>
      </c>
      <c r="G54" s="98">
        <f>'Database '!I124</f>
        <v>168</v>
      </c>
      <c r="H54" s="100">
        <f>'Database '!J124</f>
        <v>56019</v>
      </c>
      <c r="I54" s="98">
        <f>'Database '!K124</f>
        <v>22</v>
      </c>
      <c r="J54" s="100">
        <f>'Database '!L124</f>
        <v>29985</v>
      </c>
      <c r="K54" s="98">
        <f>'Database '!M124</f>
        <v>1</v>
      </c>
      <c r="L54" s="100">
        <f>'Database '!N124</f>
        <v>83203</v>
      </c>
      <c r="M54" s="98"/>
      <c r="N54" s="100"/>
      <c r="O54" s="101">
        <f t="shared" si="2"/>
        <v>717</v>
      </c>
      <c r="P54" s="101">
        <f t="shared" si="3"/>
        <v>71498.75453277545</v>
      </c>
      <c r="Q54" s="111"/>
      <c r="R54" s="111"/>
      <c r="S54" s="111"/>
    </row>
    <row r="55" spans="1:19" ht="15">
      <c r="A55" s="53"/>
      <c r="B55" s="99" t="s">
        <v>723</v>
      </c>
      <c r="C55" s="98">
        <f>'Database '!E125</f>
        <v>31</v>
      </c>
      <c r="D55" s="100">
        <f>'Database '!F125</f>
        <v>54011</v>
      </c>
      <c r="E55" s="98">
        <f>'Database '!G125</f>
        <v>25</v>
      </c>
      <c r="F55" s="100">
        <f>'Database '!H125</f>
        <v>46919</v>
      </c>
      <c r="G55" s="98">
        <f>'Database '!I125</f>
        <v>45</v>
      </c>
      <c r="H55" s="100">
        <f>'Database '!J125</f>
        <v>38306</v>
      </c>
      <c r="I55" s="98">
        <f>'Database '!K125</f>
        <v>3</v>
      </c>
      <c r="J55" s="100">
        <f>'Database '!L125</f>
        <v>34162</v>
      </c>
      <c r="K55" s="98"/>
      <c r="L55" s="100"/>
      <c r="M55" s="98"/>
      <c r="N55" s="100"/>
      <c r="O55" s="101">
        <f t="shared" si="2"/>
        <v>104</v>
      </c>
      <c r="P55" s="101">
        <f t="shared" si="3"/>
        <v>44938.192307692305</v>
      </c>
      <c r="Q55" s="111"/>
      <c r="R55" s="111"/>
      <c r="S55" s="111"/>
    </row>
    <row r="56" spans="1:16" ht="15">
      <c r="A56" s="53"/>
      <c r="B56" s="99" t="s">
        <v>724</v>
      </c>
      <c r="C56" s="98">
        <f>SUM('Database '!E126:E129)</f>
        <v>275</v>
      </c>
      <c r="D56" s="100">
        <v>57145.5163636364</v>
      </c>
      <c r="E56" s="98">
        <f>SUM('Database '!G126:G129)</f>
        <v>240</v>
      </c>
      <c r="F56" s="100">
        <v>48388.7541666667</v>
      </c>
      <c r="G56" s="98">
        <f>SUM('Database '!I126:I129)</f>
        <v>361</v>
      </c>
      <c r="H56" s="100">
        <v>41859.0027700831</v>
      </c>
      <c r="I56" s="98">
        <f>SUM('Database '!K126:K129)</f>
        <v>50</v>
      </c>
      <c r="J56" s="100">
        <v>32244.58</v>
      </c>
      <c r="K56" s="98"/>
      <c r="L56" s="100"/>
      <c r="M56" s="98"/>
      <c r="N56" s="100"/>
      <c r="O56" s="101">
        <f t="shared" si="2"/>
        <v>926</v>
      </c>
      <c r="P56" s="101">
        <f t="shared" si="3"/>
        <v>47571.97300215985</v>
      </c>
    </row>
    <row r="57" spans="1:16" ht="15">
      <c r="A57" s="53"/>
      <c r="B57" s="99" t="s">
        <v>725</v>
      </c>
      <c r="C57" s="98">
        <f>SUM('Database '!E130:E135)</f>
        <v>251</v>
      </c>
      <c r="D57" s="100">
        <v>57867.3027888446</v>
      </c>
      <c r="E57" s="98">
        <f>SUM('Database '!G130:G135)</f>
        <v>309</v>
      </c>
      <c r="F57" s="100">
        <v>50058.5501618123</v>
      </c>
      <c r="G57" s="98">
        <f>SUM('Database '!I130:I135)</f>
        <v>367</v>
      </c>
      <c r="H57" s="100">
        <v>40500.6757493188</v>
      </c>
      <c r="I57" s="98">
        <f>SUM('Database '!K130:K135)</f>
        <v>44</v>
      </c>
      <c r="J57" s="100">
        <v>33874.1590909091</v>
      </c>
      <c r="K57" s="98"/>
      <c r="L57" s="100"/>
      <c r="M57" s="98"/>
      <c r="N57" s="100"/>
      <c r="O57" s="101">
        <f t="shared" si="2"/>
        <v>971</v>
      </c>
      <c r="P57" s="101">
        <f t="shared" si="3"/>
        <v>47731.20082389288</v>
      </c>
    </row>
    <row r="58" spans="1:16" ht="15">
      <c r="A58" s="53"/>
      <c r="B58" s="99" t="s">
        <v>726</v>
      </c>
      <c r="C58" s="98">
        <f>SUM('Database '!E136:E138)</f>
        <v>114</v>
      </c>
      <c r="D58" s="100">
        <v>56479.2631578947</v>
      </c>
      <c r="E58" s="98">
        <f>SUM('Database '!G136:G138)</f>
        <v>134</v>
      </c>
      <c r="F58" s="100">
        <v>46443.4850746269</v>
      </c>
      <c r="G58" s="98">
        <f>SUM('Database '!I136:I138)</f>
        <v>187</v>
      </c>
      <c r="H58" s="100">
        <v>40761.0695187166</v>
      </c>
      <c r="I58" s="98">
        <f>SUM('Database '!K136:K138)</f>
        <v>24</v>
      </c>
      <c r="J58" s="100">
        <v>35008.7916666667</v>
      </c>
      <c r="K58" s="98"/>
      <c r="L58" s="100"/>
      <c r="M58" s="98"/>
      <c r="N58" s="100"/>
      <c r="O58" s="101">
        <f t="shared" si="2"/>
        <v>459</v>
      </c>
      <c r="P58" s="101">
        <f t="shared" si="3"/>
        <v>46023.080610021796</v>
      </c>
    </row>
    <row r="59" spans="1:16" ht="15">
      <c r="A59" s="53"/>
      <c r="B59" s="99" t="s">
        <v>727</v>
      </c>
      <c r="C59" s="98">
        <f>SUM('Database '!E139:E153)</f>
        <v>163</v>
      </c>
      <c r="D59" s="100">
        <v>50808.1472392638</v>
      </c>
      <c r="E59" s="98">
        <f>SUM('Database '!G139:G153)</f>
        <v>281</v>
      </c>
      <c r="F59" s="100">
        <v>44306.2526690391</v>
      </c>
      <c r="G59" s="98">
        <f>SUM('Database '!I139:I153)</f>
        <v>517</v>
      </c>
      <c r="H59" s="100">
        <v>37910.5512572534</v>
      </c>
      <c r="I59" s="98">
        <f>SUM('Database '!K139:K153)</f>
        <v>140</v>
      </c>
      <c r="J59" s="100">
        <v>33468.3142857143</v>
      </c>
      <c r="K59" s="98"/>
      <c r="L59" s="100"/>
      <c r="M59" s="98"/>
      <c r="N59" s="100"/>
      <c r="O59" s="101">
        <f t="shared" si="2"/>
        <v>1101</v>
      </c>
      <c r="P59" s="101">
        <f t="shared" si="3"/>
        <v>40887.46957311534</v>
      </c>
    </row>
    <row r="60" spans="1:16" ht="15">
      <c r="A60" s="102"/>
      <c r="B60" s="103" t="s">
        <v>728</v>
      </c>
      <c r="C60" s="104"/>
      <c r="D60" s="105"/>
      <c r="E60" s="104"/>
      <c r="F60" s="105"/>
      <c r="G60" s="104"/>
      <c r="H60" s="105"/>
      <c r="I60" s="104"/>
      <c r="J60" s="105"/>
      <c r="K60" s="107"/>
      <c r="L60" s="105"/>
      <c r="M60" s="104">
        <f>SUM('Database '!O154:O186)</f>
        <v>116</v>
      </c>
      <c r="N60" s="105">
        <v>35653.3779310345</v>
      </c>
      <c r="O60" s="106">
        <f t="shared" si="2"/>
        <v>116</v>
      </c>
      <c r="P60" s="106">
        <f t="shared" si="3"/>
        <v>35653.3779310345</v>
      </c>
    </row>
    <row r="61" spans="1:16" ht="15">
      <c r="A61" s="98" t="s">
        <v>735</v>
      </c>
      <c r="B61" s="99" t="s">
        <v>721</v>
      </c>
      <c r="C61" s="98"/>
      <c r="D61" s="100"/>
      <c r="E61" s="98"/>
      <c r="F61" s="100"/>
      <c r="G61" s="98"/>
      <c r="H61" s="100"/>
      <c r="I61" s="98"/>
      <c r="J61" s="100"/>
      <c r="K61" s="98"/>
      <c r="L61" s="100"/>
      <c r="M61" s="99"/>
      <c r="N61" s="110"/>
      <c r="O61" s="101"/>
      <c r="P61" s="101"/>
    </row>
    <row r="62" spans="1:16" ht="15">
      <c r="A62" s="53"/>
      <c r="B62" s="99" t="s">
        <v>722</v>
      </c>
      <c r="C62" s="98"/>
      <c r="D62" s="100"/>
      <c r="E62" s="98"/>
      <c r="F62" s="100"/>
      <c r="G62" s="98"/>
      <c r="H62" s="100"/>
      <c r="I62" s="98"/>
      <c r="J62" s="100"/>
      <c r="K62" s="98"/>
      <c r="L62" s="100"/>
      <c r="M62" s="99"/>
      <c r="N62" s="110"/>
      <c r="O62" s="101"/>
      <c r="P62" s="101"/>
    </row>
    <row r="63" spans="1:16" ht="15">
      <c r="A63" s="53"/>
      <c r="B63" s="99" t="s">
        <v>723</v>
      </c>
      <c r="C63" s="98"/>
      <c r="D63" s="100"/>
      <c r="E63" s="98"/>
      <c r="F63" s="100"/>
      <c r="G63" s="98"/>
      <c r="H63" s="100"/>
      <c r="I63" s="98"/>
      <c r="J63" s="100"/>
      <c r="K63" s="98"/>
      <c r="L63" s="100"/>
      <c r="M63" s="99"/>
      <c r="N63" s="110"/>
      <c r="O63" s="101"/>
      <c r="P63" s="101"/>
    </row>
    <row r="64" spans="1:16" ht="15">
      <c r="A64" s="53"/>
      <c r="B64" s="99" t="s">
        <v>724</v>
      </c>
      <c r="C64" s="98"/>
      <c r="D64" s="100"/>
      <c r="E64" s="98"/>
      <c r="F64" s="100"/>
      <c r="G64" s="98"/>
      <c r="H64" s="100"/>
      <c r="I64" s="98"/>
      <c r="J64" s="100"/>
      <c r="K64" s="98"/>
      <c r="L64" s="100"/>
      <c r="M64" s="99"/>
      <c r="N64" s="110"/>
      <c r="O64" s="101"/>
      <c r="P64" s="101"/>
    </row>
    <row r="65" spans="1:16" ht="15">
      <c r="A65" s="53"/>
      <c r="B65" s="99" t="s">
        <v>725</v>
      </c>
      <c r="C65" s="98"/>
      <c r="D65" s="100"/>
      <c r="E65" s="98"/>
      <c r="F65" s="100"/>
      <c r="G65" s="98"/>
      <c r="H65" s="100"/>
      <c r="I65" s="98"/>
      <c r="J65" s="100"/>
      <c r="K65" s="98"/>
      <c r="L65" s="100"/>
      <c r="M65" s="99"/>
      <c r="N65" s="110"/>
      <c r="O65" s="101"/>
      <c r="P65" s="101"/>
    </row>
    <row r="66" spans="1:16" ht="15">
      <c r="A66" s="53"/>
      <c r="B66" s="99" t="s">
        <v>726</v>
      </c>
      <c r="C66" s="98"/>
      <c r="D66" s="100"/>
      <c r="E66" s="98"/>
      <c r="F66" s="100"/>
      <c r="G66" s="98"/>
      <c r="H66" s="100"/>
      <c r="I66" s="98"/>
      <c r="J66" s="100"/>
      <c r="K66" s="98"/>
      <c r="L66" s="100"/>
      <c r="M66" s="99"/>
      <c r="N66" s="110"/>
      <c r="O66" s="101"/>
      <c r="P66" s="101"/>
    </row>
    <row r="67" spans="1:16" ht="15">
      <c r="A67" s="53"/>
      <c r="B67" s="99" t="s">
        <v>727</v>
      </c>
      <c r="C67" s="98"/>
      <c r="D67" s="100"/>
      <c r="E67" s="98"/>
      <c r="F67" s="100"/>
      <c r="G67" s="98"/>
      <c r="H67" s="100"/>
      <c r="I67" s="98"/>
      <c r="J67" s="100"/>
      <c r="K67" s="98"/>
      <c r="L67" s="100"/>
      <c r="M67" s="98"/>
      <c r="N67" s="100"/>
      <c r="O67" s="101"/>
      <c r="P67" s="101"/>
    </row>
    <row r="68" spans="1:16" ht="15">
      <c r="A68" s="102"/>
      <c r="B68" s="103" t="s">
        <v>728</v>
      </c>
      <c r="C68" s="104"/>
      <c r="D68" s="105"/>
      <c r="E68" s="104"/>
      <c r="F68" s="105"/>
      <c r="G68" s="104"/>
      <c r="H68" s="105"/>
      <c r="I68" s="104"/>
      <c r="J68" s="105"/>
      <c r="K68" s="107"/>
      <c r="L68" s="105"/>
      <c r="M68" s="104">
        <f>SUM('Database '!AA154:AA186)</f>
        <v>1470</v>
      </c>
      <c r="N68" s="105">
        <v>47238.0151020408</v>
      </c>
      <c r="O68" s="106">
        <f aca="true" t="shared" si="4" ref="O68:O75">C68+E68+G68+I68+K68+M68</f>
        <v>1470</v>
      </c>
      <c r="P68" s="106">
        <f aca="true" t="shared" si="5" ref="P68:P75">IF(O68&gt;0,(C68*D68+E68*F68+G68*H68+I68*J68+K68*L68+M68*N68)/O68,0)</f>
        <v>47238.0151020408</v>
      </c>
    </row>
    <row r="69" spans="1:16" ht="15">
      <c r="A69" s="98" t="s">
        <v>736</v>
      </c>
      <c r="B69" s="99" t="s">
        <v>721</v>
      </c>
      <c r="C69" s="98">
        <f>'Database '!E187</f>
        <v>307</v>
      </c>
      <c r="D69" s="100">
        <f>'Database '!F187</f>
        <v>72985</v>
      </c>
      <c r="E69" s="98">
        <f>+'Database '!G187</f>
        <v>315</v>
      </c>
      <c r="F69" s="100">
        <f>'Database '!H187</f>
        <v>52437</v>
      </c>
      <c r="G69" s="98">
        <f>'Database '!I187</f>
        <v>185</v>
      </c>
      <c r="H69" s="100">
        <f>'Database '!J187</f>
        <v>44828</v>
      </c>
      <c r="I69" s="98">
        <f>'Database '!K187</f>
        <v>3</v>
      </c>
      <c r="J69" s="100">
        <f>'Database '!L187</f>
        <v>44839</v>
      </c>
      <c r="K69" s="98"/>
      <c r="L69" s="100"/>
      <c r="M69" s="98"/>
      <c r="N69" s="100"/>
      <c r="O69" s="101">
        <f t="shared" si="4"/>
        <v>810</v>
      </c>
      <c r="P69" s="101">
        <f t="shared" si="5"/>
        <v>58458.94691358025</v>
      </c>
    </row>
    <row r="70" spans="1:16" ht="15">
      <c r="A70" s="53"/>
      <c r="B70" s="99" t="s">
        <v>722</v>
      </c>
      <c r="C70" s="98">
        <f>'Database '!E188</f>
        <v>187</v>
      </c>
      <c r="D70" s="100">
        <f>'Database '!F188</f>
        <v>64651</v>
      </c>
      <c r="E70" s="98">
        <f>'Database '!G188</f>
        <v>141</v>
      </c>
      <c r="F70" s="100">
        <f>'Database '!H188</f>
        <v>48560</v>
      </c>
      <c r="G70" s="98">
        <f>'Database '!I188</f>
        <v>134</v>
      </c>
      <c r="H70" s="100">
        <f>'Database '!J188</f>
        <v>40468</v>
      </c>
      <c r="I70" s="98">
        <f>'Database '!K188</f>
        <v>9</v>
      </c>
      <c r="J70" s="100">
        <f>'Database '!L188</f>
        <v>35863</v>
      </c>
      <c r="K70" s="98">
        <f>'Database '!M188</f>
        <v>7</v>
      </c>
      <c r="L70" s="100">
        <f>'Database '!N188</f>
        <v>29810</v>
      </c>
      <c r="M70" s="98"/>
      <c r="N70" s="100"/>
      <c r="O70" s="101">
        <f t="shared" si="4"/>
        <v>478</v>
      </c>
      <c r="P70" s="101">
        <f t="shared" si="5"/>
        <v>52072.89958158996</v>
      </c>
    </row>
    <row r="71" spans="1:16" ht="15">
      <c r="A71" s="53"/>
      <c r="B71" s="99" t="s">
        <v>723</v>
      </c>
      <c r="C71" s="98">
        <f>SUM('Database '!E189:E191)</f>
        <v>420</v>
      </c>
      <c r="D71" s="100">
        <v>58082.2333333333</v>
      </c>
      <c r="E71" s="98">
        <f>SUM('Database '!G189:G191)</f>
        <v>377</v>
      </c>
      <c r="F71" s="100">
        <v>47621.2652519894</v>
      </c>
      <c r="G71" s="98">
        <f>SUM('Database '!I189:I191)</f>
        <v>426</v>
      </c>
      <c r="H71" s="100">
        <v>39403.1549295775</v>
      </c>
      <c r="I71" s="98">
        <f>SUM('Database '!K189:K191)</f>
        <v>82</v>
      </c>
      <c r="J71" s="100">
        <v>31109.4512195122</v>
      </c>
      <c r="K71" s="98">
        <f>SUM('Database '!M189:M191)</f>
        <v>57</v>
      </c>
      <c r="L71" s="100">
        <v>32892.9122807018</v>
      </c>
      <c r="M71" s="98"/>
      <c r="N71" s="100"/>
      <c r="O71" s="101">
        <f t="shared" si="4"/>
        <v>1362</v>
      </c>
      <c r="P71" s="101">
        <f t="shared" si="5"/>
        <v>46666.204111600586</v>
      </c>
    </row>
    <row r="72" spans="1:16" ht="15">
      <c r="A72" s="53"/>
      <c r="B72" s="99" t="s">
        <v>724</v>
      </c>
      <c r="C72" s="98">
        <f>'Database '!E192</f>
        <v>66</v>
      </c>
      <c r="D72" s="100">
        <f>'Database '!F192</f>
        <v>55776</v>
      </c>
      <c r="E72" s="98">
        <f>'Database '!G192</f>
        <v>81</v>
      </c>
      <c r="F72" s="100">
        <f>'Database '!H192</f>
        <v>43274</v>
      </c>
      <c r="G72" s="98">
        <f>'Database '!I192</f>
        <v>148</v>
      </c>
      <c r="H72" s="100">
        <f>'Database '!J192</f>
        <v>36911</v>
      </c>
      <c r="I72" s="98">
        <f>'Database '!K192</f>
        <v>22</v>
      </c>
      <c r="J72" s="100">
        <f>'Database '!L192</f>
        <v>25011</v>
      </c>
      <c r="K72" s="98"/>
      <c r="L72" s="100"/>
      <c r="M72" s="98"/>
      <c r="N72" s="100"/>
      <c r="O72" s="101">
        <f t="shared" si="4"/>
        <v>317</v>
      </c>
      <c r="P72" s="101">
        <f t="shared" si="5"/>
        <v>41638.738170347</v>
      </c>
    </row>
    <row r="73" spans="1:16" ht="15">
      <c r="A73" s="53"/>
      <c r="B73" s="99" t="s">
        <v>725</v>
      </c>
      <c r="C73" s="98">
        <f>'Database '!E193</f>
        <v>96</v>
      </c>
      <c r="D73" s="100">
        <f>'Database '!F193</f>
        <v>61898</v>
      </c>
      <c r="E73" s="98">
        <f>'Database '!G193</f>
        <v>109</v>
      </c>
      <c r="F73" s="100">
        <f>'Database '!H193</f>
        <v>44829</v>
      </c>
      <c r="G73" s="98">
        <f>'Database '!I193</f>
        <v>72</v>
      </c>
      <c r="H73" s="100">
        <f>'Database '!J193</f>
        <v>37981</v>
      </c>
      <c r="I73" s="98">
        <f>'Database '!K193</f>
        <v>6</v>
      </c>
      <c r="J73" s="100">
        <f>'Database '!L193</f>
        <v>27205</v>
      </c>
      <c r="K73" s="98">
        <f>'Database '!M193</f>
        <v>64</v>
      </c>
      <c r="L73" s="100">
        <f>'Database '!N193</f>
        <v>25826</v>
      </c>
      <c r="M73" s="98"/>
      <c r="N73" s="100"/>
      <c r="O73" s="101">
        <f t="shared" si="4"/>
        <v>347</v>
      </c>
      <c r="P73" s="101">
        <f t="shared" si="5"/>
        <v>44320.73487031701</v>
      </c>
    </row>
    <row r="74" spans="1:16" ht="15">
      <c r="A74" s="53"/>
      <c r="B74" s="99" t="s">
        <v>726</v>
      </c>
      <c r="C74" s="98">
        <f>'Database '!E194</f>
        <v>23</v>
      </c>
      <c r="D74" s="100">
        <f>'Database '!F194</f>
        <v>53596</v>
      </c>
      <c r="E74" s="98">
        <f>'Database '!G194</f>
        <v>33</v>
      </c>
      <c r="F74" s="100">
        <f>'Database '!H194</f>
        <v>44515</v>
      </c>
      <c r="G74" s="98">
        <f>'Database '!I194</f>
        <v>45</v>
      </c>
      <c r="H74" s="100">
        <f>'Database '!J194</f>
        <v>37843</v>
      </c>
      <c r="I74" s="98">
        <f>'Database '!K194</f>
        <v>5</v>
      </c>
      <c r="J74" s="100">
        <f>'Database '!L194</f>
        <v>29544</v>
      </c>
      <c r="K74" s="98">
        <f>'Database '!M194</f>
        <v>3</v>
      </c>
      <c r="L74" s="100">
        <f>'Database '!N194</f>
        <v>28730</v>
      </c>
      <c r="M74" s="98"/>
      <c r="N74" s="100"/>
      <c r="O74" s="101">
        <f t="shared" si="4"/>
        <v>109</v>
      </c>
      <c r="P74" s="101">
        <f t="shared" si="5"/>
        <v>42555.48623853211</v>
      </c>
    </row>
    <row r="75" spans="1:16" ht="15">
      <c r="A75" s="53"/>
      <c r="B75" s="99" t="s">
        <v>727</v>
      </c>
      <c r="C75" s="98">
        <f>'Database '!E195</f>
        <v>191</v>
      </c>
      <c r="D75" s="100">
        <f>'Database '!F195</f>
        <v>45959</v>
      </c>
      <c r="E75" s="98">
        <f>'Database '!G195</f>
        <v>444</v>
      </c>
      <c r="F75" s="100">
        <f>'Database '!H195</f>
        <v>35849</v>
      </c>
      <c r="G75" s="98">
        <f>'Database '!I195</f>
        <v>159</v>
      </c>
      <c r="H75" s="100">
        <f>'Database '!J195</f>
        <v>32416</v>
      </c>
      <c r="I75" s="98">
        <f>'Database '!K195</f>
        <v>105</v>
      </c>
      <c r="J75" s="100">
        <f>'Database '!L195</f>
        <v>29269</v>
      </c>
      <c r="K75" s="98"/>
      <c r="L75" s="100"/>
      <c r="M75" s="98"/>
      <c r="N75" s="100"/>
      <c r="O75" s="101">
        <f t="shared" si="4"/>
        <v>899</v>
      </c>
      <c r="P75" s="101">
        <f t="shared" si="5"/>
        <v>36621.26140155728</v>
      </c>
    </row>
    <row r="76" spans="1:16" ht="15">
      <c r="A76" s="102"/>
      <c r="B76" s="103" t="s">
        <v>728</v>
      </c>
      <c r="C76" s="104"/>
      <c r="D76" s="105"/>
      <c r="E76" s="104"/>
      <c r="F76" s="105"/>
      <c r="G76" s="104"/>
      <c r="H76" s="105"/>
      <c r="I76" s="104"/>
      <c r="J76" s="105"/>
      <c r="K76" s="107"/>
      <c r="L76" s="105"/>
      <c r="M76" s="104"/>
      <c r="N76" s="105"/>
      <c r="O76" s="106"/>
      <c r="P76" s="106"/>
    </row>
    <row r="77" spans="1:16" ht="15">
      <c r="A77" s="98" t="s">
        <v>737</v>
      </c>
      <c r="B77" s="99" t="s">
        <v>721</v>
      </c>
      <c r="C77" s="98">
        <f>'Database '!Q187</f>
        <v>181</v>
      </c>
      <c r="D77" s="100">
        <f>'Database '!R187</f>
        <v>83405</v>
      </c>
      <c r="E77" s="98">
        <f>'Database '!S187</f>
        <v>158</v>
      </c>
      <c r="F77" s="100">
        <f>'Database '!T187</f>
        <v>66326</v>
      </c>
      <c r="G77" s="98">
        <f>'Database '!U187</f>
        <v>71</v>
      </c>
      <c r="H77" s="100">
        <f>'Database '!V187</f>
        <v>56979</v>
      </c>
      <c r="I77" s="98">
        <f>'Database '!W187</f>
        <v>2</v>
      </c>
      <c r="J77" s="100">
        <f>'Database '!X187</f>
        <v>57573</v>
      </c>
      <c r="K77" s="98"/>
      <c r="L77" s="100"/>
      <c r="M77" s="98"/>
      <c r="N77" s="100"/>
      <c r="O77" s="101">
        <f>C77+E77+G77+I77+K77+M77</f>
        <v>412</v>
      </c>
      <c r="P77" s="101">
        <f>IF(O77&gt;0,(C77*D77+E77*F77+G77*H77+I77*J77+K77*L77+M77*N77)/O77,0)</f>
        <v>72175.89320388349</v>
      </c>
    </row>
    <row r="78" spans="1:16" ht="15">
      <c r="A78" s="53"/>
      <c r="B78" s="99" t="s">
        <v>722</v>
      </c>
      <c r="C78" s="98">
        <f>'Database '!Q188</f>
        <v>121</v>
      </c>
      <c r="D78" s="100">
        <f>'Database '!R188</f>
        <v>85214</v>
      </c>
      <c r="E78" s="98">
        <f>'Database '!S188</f>
        <v>66</v>
      </c>
      <c r="F78" s="100">
        <f>'Database '!T188</f>
        <v>62260</v>
      </c>
      <c r="G78" s="98">
        <f>'Database '!U188</f>
        <v>22</v>
      </c>
      <c r="H78" s="100">
        <f>'Database '!V188</f>
        <v>57483</v>
      </c>
      <c r="I78" s="98">
        <f>'Database '!W188</f>
        <v>8</v>
      </c>
      <c r="J78" s="100">
        <f>'Database '!X188</f>
        <v>36352</v>
      </c>
      <c r="K78" s="98">
        <f>'Database '!Y188</f>
        <v>9</v>
      </c>
      <c r="L78" s="100">
        <f>'Database '!Z188</f>
        <v>27394</v>
      </c>
      <c r="M78" s="98"/>
      <c r="N78" s="100"/>
      <c r="O78" s="101">
        <f>C78+E78+G78+I78+K78+M78</f>
        <v>226</v>
      </c>
      <c r="P78" s="101">
        <f>IF(O78&gt;0,(C78*D78+E78*F78+G78*H78+I78*J78+K78*L78+M78*N78)/O78,0)</f>
        <v>71778.94690265486</v>
      </c>
    </row>
    <row r="79" spans="1:16" ht="15">
      <c r="A79" s="53"/>
      <c r="B79" s="99" t="s">
        <v>723</v>
      </c>
      <c r="C79" s="98">
        <f>SUM('Database '!Q189:Q191)</f>
        <v>89</v>
      </c>
      <c r="D79" s="100">
        <v>71902.0898876405</v>
      </c>
      <c r="E79" s="98">
        <f>SUM('Database '!S189:S191)</f>
        <v>22</v>
      </c>
      <c r="F79" s="100">
        <v>63336.9090909091</v>
      </c>
      <c r="G79" s="98">
        <f>SUM('Database '!U189:U191)</f>
        <v>7</v>
      </c>
      <c r="H79" s="100">
        <v>51282.2857142857</v>
      </c>
      <c r="I79" s="98">
        <f>'Database '!W190</f>
        <v>1</v>
      </c>
      <c r="J79" s="100">
        <f>'Database '!X190</f>
        <v>20000</v>
      </c>
      <c r="K79" s="98">
        <f>'Database '!Y190</f>
        <v>1</v>
      </c>
      <c r="L79" s="100">
        <f>'Database '!Z190</f>
        <v>43159</v>
      </c>
      <c r="M79" s="98"/>
      <c r="N79" s="100"/>
      <c r="O79" s="101">
        <f>C79+E79+G79+I79+K79+M79</f>
        <v>120</v>
      </c>
      <c r="P79" s="101">
        <f>IF(O79&gt;0,(C79*D79+E79*F79+G79*H79+I79*J79+K79*L79+M79*N79)/O79,0)</f>
        <v>68456.94166666671</v>
      </c>
    </row>
    <row r="80" spans="1:16" ht="15">
      <c r="A80" s="53"/>
      <c r="B80" s="99" t="s">
        <v>724</v>
      </c>
      <c r="C80" s="98"/>
      <c r="D80" s="100"/>
      <c r="E80" s="98"/>
      <c r="F80" s="100"/>
      <c r="G80" s="98"/>
      <c r="H80" s="100"/>
      <c r="I80" s="98"/>
      <c r="J80" s="100"/>
      <c r="K80" s="98"/>
      <c r="L80" s="100"/>
      <c r="M80" s="98"/>
      <c r="N80" s="100"/>
      <c r="O80" s="101"/>
      <c r="P80" s="101"/>
    </row>
    <row r="81" spans="1:16" ht="15">
      <c r="A81" s="53"/>
      <c r="B81" s="99" t="s">
        <v>725</v>
      </c>
      <c r="C81" s="98">
        <f>'Database '!Q193</f>
        <v>16</v>
      </c>
      <c r="D81" s="100">
        <f>'Database '!R193</f>
        <v>73225</v>
      </c>
      <c r="E81" s="98">
        <f>'Database '!S193</f>
        <v>7</v>
      </c>
      <c r="F81" s="100">
        <f>'Database '!T193</f>
        <v>61959</v>
      </c>
      <c r="G81" s="98">
        <f>'Database '!U193</f>
        <v>4</v>
      </c>
      <c r="H81" s="100">
        <f>'Database '!V193</f>
        <v>40625</v>
      </c>
      <c r="I81" s="98"/>
      <c r="J81" s="100"/>
      <c r="K81" s="98">
        <f>'Database '!Y193</f>
        <v>4</v>
      </c>
      <c r="L81" s="100">
        <f>'Database '!Z193</f>
        <v>32810</v>
      </c>
      <c r="M81" s="98"/>
      <c r="N81" s="100"/>
      <c r="O81" s="101">
        <f>C81+E81+G81+I81+K81+M81</f>
        <v>31</v>
      </c>
      <c r="P81" s="101">
        <f>IF(O81&gt;0,(C81*D81+E81*F81+G81*H81+I81*J81+K81*L81+M81*N81)/O81,0)</f>
        <v>61259.77419354839</v>
      </c>
    </row>
    <row r="82" spans="1:16" ht="15">
      <c r="A82" s="53"/>
      <c r="B82" s="99" t="s">
        <v>726</v>
      </c>
      <c r="C82" s="98">
        <f>'Database '!Q194</f>
        <v>6</v>
      </c>
      <c r="D82" s="100">
        <f>'Database '!R194</f>
        <v>57933</v>
      </c>
      <c r="E82" s="98">
        <f>'Database '!S194</f>
        <v>3</v>
      </c>
      <c r="F82" s="100">
        <f>'Database '!T194</f>
        <v>51890</v>
      </c>
      <c r="G82" s="98">
        <f>'Database '!U194</f>
        <v>3</v>
      </c>
      <c r="H82" s="100">
        <f>'Database '!V194</f>
        <v>40339</v>
      </c>
      <c r="I82" s="98"/>
      <c r="J82" s="100"/>
      <c r="K82" s="98"/>
      <c r="L82" s="100"/>
      <c r="M82" s="98"/>
      <c r="N82" s="100"/>
      <c r="O82" s="101">
        <f>C82+E82+G82+I82+K82+M82</f>
        <v>12</v>
      </c>
      <c r="P82" s="101">
        <f>IF(O82&gt;0,(C82*D82+E82*F82+G82*H82+I82*J82+K82*L82+M82*N82)/O82,0)</f>
        <v>52023.75</v>
      </c>
    </row>
    <row r="83" spans="1:16" ht="15">
      <c r="A83" s="53"/>
      <c r="B83" s="99" t="s">
        <v>727</v>
      </c>
      <c r="C83" s="98">
        <f>'Database '!Q195</f>
        <v>14</v>
      </c>
      <c r="D83" s="100">
        <f>'Database '!R195</f>
        <v>54850</v>
      </c>
      <c r="E83" s="98">
        <f>'Database '!S195</f>
        <v>21</v>
      </c>
      <c r="F83" s="100">
        <f>'Database '!T195</f>
        <v>46283</v>
      </c>
      <c r="G83" s="98">
        <f>'Database '!U195</f>
        <v>6</v>
      </c>
      <c r="H83" s="100">
        <f>'Database '!V195</f>
        <v>37573</v>
      </c>
      <c r="I83" s="98">
        <f>'Database '!W195</f>
        <v>3</v>
      </c>
      <c r="J83" s="100">
        <f>'Database '!X195</f>
        <v>35153</v>
      </c>
      <c r="K83" s="98"/>
      <c r="L83" s="100"/>
      <c r="M83" s="98"/>
      <c r="N83" s="100"/>
      <c r="O83" s="101">
        <f>C83+E83+G83+I83+K83+M83</f>
        <v>44</v>
      </c>
      <c r="P83" s="101">
        <f>IF(O83&gt;0,(C83*D83+E83*F83+G83*H83+I83*J83+K83*L83+M83*N83)/O83,0)</f>
        <v>47062.27272727273</v>
      </c>
    </row>
    <row r="84" spans="1:16" ht="15">
      <c r="A84" s="102"/>
      <c r="B84" s="103" t="s">
        <v>728</v>
      </c>
      <c r="C84" s="104"/>
      <c r="D84" s="105"/>
      <c r="E84" s="104"/>
      <c r="F84" s="105"/>
      <c r="G84" s="104"/>
      <c r="H84" s="105"/>
      <c r="I84" s="104"/>
      <c r="J84" s="105"/>
      <c r="K84" s="107"/>
      <c r="L84" s="105"/>
      <c r="M84" s="104"/>
      <c r="N84" s="105"/>
      <c r="O84" s="106"/>
      <c r="P84" s="106"/>
    </row>
    <row r="85" spans="1:16" ht="15">
      <c r="A85" s="98" t="s">
        <v>738</v>
      </c>
      <c r="B85" s="99" t="s">
        <v>721</v>
      </c>
      <c r="C85" s="98">
        <f>'Database '!E196</f>
        <v>470</v>
      </c>
      <c r="D85" s="100">
        <f>'Database '!F196</f>
        <v>68505</v>
      </c>
      <c r="E85" s="98">
        <f>'Database '!G196</f>
        <v>309</v>
      </c>
      <c r="F85" s="100">
        <f>'Database '!H196</f>
        <v>49805</v>
      </c>
      <c r="G85" s="98">
        <f>'Database '!I196</f>
        <v>227</v>
      </c>
      <c r="H85" s="100">
        <f>'Database '!J196</f>
        <v>41701</v>
      </c>
      <c r="I85" s="98">
        <f>'Database '!K196</f>
        <v>295</v>
      </c>
      <c r="J85" s="100">
        <f>'Database '!L195</f>
        <v>29269</v>
      </c>
      <c r="K85" s="98"/>
      <c r="L85" s="100"/>
      <c r="M85" s="98"/>
      <c r="N85" s="100"/>
      <c r="O85" s="101">
        <f>C85+E85+G85+I85+K85+M85</f>
        <v>1301</v>
      </c>
      <c r="P85" s="101">
        <f>IF(O85&gt;0,(C85*D85+E85*F85+G85*H85+I85*J85+K85*L85+M85*N85)/O85,0)</f>
        <v>50490.0668716372</v>
      </c>
    </row>
    <row r="86" spans="1:16" ht="15">
      <c r="A86" s="53"/>
      <c r="B86" s="99" t="s">
        <v>722</v>
      </c>
      <c r="C86" s="98">
        <f>SUM('Database '!E197:E198)</f>
        <v>393</v>
      </c>
      <c r="D86" s="100">
        <v>63238.4427480916</v>
      </c>
      <c r="E86" s="98">
        <f>SUM('Database '!G197:G198)</f>
        <v>289</v>
      </c>
      <c r="F86" s="100">
        <v>46750.1730103806</v>
      </c>
      <c r="G86" s="98">
        <f>SUM('Database '!I197:I198)</f>
        <v>237</v>
      </c>
      <c r="H86" s="100">
        <v>40069.1223628692</v>
      </c>
      <c r="I86" s="98">
        <f>SUM('Database '!K197:K198)</f>
        <v>183</v>
      </c>
      <c r="J86" s="100">
        <v>29508.1202185792</v>
      </c>
      <c r="K86" s="98"/>
      <c r="L86" s="100"/>
      <c r="M86" s="98"/>
      <c r="N86" s="100"/>
      <c r="O86" s="101">
        <f>C86+E86+G86+I86+K86+M86</f>
        <v>1102</v>
      </c>
      <c r="P86" s="101">
        <f>IF(O86&gt;0,(C86*D86+E86*F86+G86*H86+I86*J86+K86*L86+M86*N86)/O86,0)</f>
        <v>48330.19600725952</v>
      </c>
    </row>
    <row r="87" spans="1:16" ht="15">
      <c r="A87" s="53"/>
      <c r="B87" s="99" t="s">
        <v>723</v>
      </c>
      <c r="C87" s="98">
        <f>SUM('Database '!E199:E202)</f>
        <v>435</v>
      </c>
      <c r="D87" s="100">
        <v>57258.767816092</v>
      </c>
      <c r="E87" s="98">
        <f>SUM('Database '!G199:G202)</f>
        <v>377</v>
      </c>
      <c r="F87" s="100">
        <v>45352.6896551724</v>
      </c>
      <c r="G87" s="98">
        <f>SUM('Database '!I199:I202)</f>
        <v>596</v>
      </c>
      <c r="H87" s="100">
        <v>38193.033557047</v>
      </c>
      <c r="I87" s="98">
        <f>SUM('Database '!K199:K202)</f>
        <v>308</v>
      </c>
      <c r="J87" s="100">
        <v>28607.5681818182</v>
      </c>
      <c r="K87" s="98"/>
      <c r="L87" s="100"/>
      <c r="M87" s="98"/>
      <c r="N87" s="100"/>
      <c r="O87" s="101">
        <f>C87+E87+G87+I87+K87+M87</f>
        <v>1716</v>
      </c>
      <c r="P87" s="101">
        <f>IF(O87&gt;0,(C87*D87+E87*F87+G87*H87+I87*J87+K87*L87+M87*N87)/O87,0)</f>
        <v>42878.61713286715</v>
      </c>
    </row>
    <row r="88" spans="1:16" ht="15">
      <c r="A88" s="53"/>
      <c r="B88" s="99" t="s">
        <v>724</v>
      </c>
      <c r="C88" s="98">
        <f>SUM('Database '!E203:E205)</f>
        <v>208</v>
      </c>
      <c r="D88" s="100">
        <v>55057.7115384615</v>
      </c>
      <c r="E88" s="98">
        <f>SUM('Database '!G203:G205)</f>
        <v>223</v>
      </c>
      <c r="F88" s="100">
        <v>45556.4349775785</v>
      </c>
      <c r="G88" s="98">
        <f>SUM('Database '!I203:I205)</f>
        <v>435</v>
      </c>
      <c r="H88" s="100">
        <v>37225.1287356322</v>
      </c>
      <c r="I88" s="98">
        <f>SUM('Database '!K203:K205)</f>
        <v>273</v>
      </c>
      <c r="J88" s="100">
        <v>28563.5384615385</v>
      </c>
      <c r="K88" s="98"/>
      <c r="L88" s="100"/>
      <c r="M88" s="98"/>
      <c r="N88" s="100"/>
      <c r="O88" s="101">
        <f>C88+E88+G88+I88+K88+M88</f>
        <v>1139</v>
      </c>
      <c r="P88" s="101">
        <f>IF(O88&gt;0,(C88*D88+E88*F88+G88*H88+I88*J88+K88*L88+M88*N88)/O88,0)</f>
        <v>40036.75680421424</v>
      </c>
    </row>
    <row r="89" spans="1:16" ht="15">
      <c r="A89" s="53"/>
      <c r="B89" s="99" t="s">
        <v>725</v>
      </c>
      <c r="C89" s="98">
        <f>SUM('Database '!E206:E208)</f>
        <v>148</v>
      </c>
      <c r="D89" s="100">
        <v>53478.222972973</v>
      </c>
      <c r="E89" s="98">
        <f>SUM('Database '!G206:G208)</f>
        <v>129</v>
      </c>
      <c r="F89" s="100">
        <v>43388.3178294574</v>
      </c>
      <c r="G89" s="98">
        <f>SUM('Database '!I206:I208)</f>
        <v>210</v>
      </c>
      <c r="H89" s="100">
        <v>37181.1523809524</v>
      </c>
      <c r="I89" s="98">
        <f>SUM('Database '!K206:K208)</f>
        <v>99</v>
      </c>
      <c r="J89" s="100">
        <v>28576.404040404</v>
      </c>
      <c r="K89" s="98"/>
      <c r="L89" s="100"/>
      <c r="M89" s="98"/>
      <c r="N89" s="100"/>
      <c r="O89" s="101">
        <f>C89+E89+G89+I89+K89+M89</f>
        <v>586</v>
      </c>
      <c r="P89" s="101">
        <f>IF(O89&gt;0,(C89*D89+E89*F89+G89*H89+I89*J89+K89*L89+M89*N89)/O89,0)</f>
        <v>41209.856655290125</v>
      </c>
    </row>
    <row r="90" spans="1:16" ht="15">
      <c r="A90" s="53"/>
      <c r="B90" s="99" t="s">
        <v>726</v>
      </c>
      <c r="C90" s="98"/>
      <c r="D90" s="100"/>
      <c r="E90" s="98"/>
      <c r="F90" s="100"/>
      <c r="G90" s="98"/>
      <c r="H90" s="100"/>
      <c r="I90" s="98"/>
      <c r="J90" s="100"/>
      <c r="K90" s="98"/>
      <c r="L90" s="100"/>
      <c r="M90" s="98"/>
      <c r="N90" s="100"/>
      <c r="O90" s="101"/>
      <c r="P90" s="101"/>
    </row>
    <row r="91" spans="1:16" ht="15">
      <c r="A91" s="53"/>
      <c r="B91" s="99" t="s">
        <v>727</v>
      </c>
      <c r="C91" s="98">
        <f>SUM('Database '!E210:E215)</f>
        <v>76</v>
      </c>
      <c r="D91" s="100">
        <v>47762.25</v>
      </c>
      <c r="E91" s="98">
        <f>SUM('Database '!G210:G215)</f>
        <v>159</v>
      </c>
      <c r="F91" s="100">
        <v>39748.9496855346</v>
      </c>
      <c r="G91" s="98">
        <f>SUM('Database '!I210:I215)</f>
        <v>168</v>
      </c>
      <c r="H91" s="100">
        <v>33555.1726190476</v>
      </c>
      <c r="I91" s="53">
        <f>SUM('Database '!K210:K215)</f>
        <v>194</v>
      </c>
      <c r="J91" s="110">
        <v>28141.5618556701</v>
      </c>
      <c r="K91" s="98"/>
      <c r="L91" s="100"/>
      <c r="M91" s="98"/>
      <c r="N91" s="100"/>
      <c r="O91" s="101">
        <f>C91+E91+G91+I91+K91+M91</f>
        <v>597</v>
      </c>
      <c r="P91" s="101">
        <f>IF(O91&gt;0,(C91*D91+E91*F91+G91*H91+I91*J91+K91*L91+M91*N91)/O91,0)</f>
        <v>35254.18090452261</v>
      </c>
    </row>
    <row r="92" spans="1:16" ht="15">
      <c r="A92" s="102"/>
      <c r="B92" s="103" t="s">
        <v>728</v>
      </c>
      <c r="C92" s="104"/>
      <c r="D92" s="105"/>
      <c r="E92" s="104"/>
      <c r="F92" s="105"/>
      <c r="G92" s="104"/>
      <c r="H92" s="105"/>
      <c r="I92" s="102"/>
      <c r="J92" s="112"/>
      <c r="K92" s="104"/>
      <c r="L92" s="105"/>
      <c r="M92" s="104">
        <f>SUM('Database '!O216:O259)</f>
        <v>793</v>
      </c>
      <c r="N92" s="105">
        <v>33540.3177805801</v>
      </c>
      <c r="O92" s="106">
        <f>C92+E92+G92+I92+K92+M92</f>
        <v>793</v>
      </c>
      <c r="P92" s="106">
        <f>IF(O92&gt;0,(C92*D92+E92*F92+G92*H92+I92*J92+K92*L92+M92*N92)/O92,0)</f>
        <v>33540.3177805801</v>
      </c>
    </row>
    <row r="93" spans="1:16" ht="15">
      <c r="A93" s="98" t="s">
        <v>739</v>
      </c>
      <c r="B93" s="99" t="s">
        <v>721</v>
      </c>
      <c r="C93" s="98"/>
      <c r="D93" s="100"/>
      <c r="E93" s="98"/>
      <c r="F93" s="100"/>
      <c r="G93" s="98"/>
      <c r="H93" s="100"/>
      <c r="I93" s="98"/>
      <c r="J93" s="100"/>
      <c r="K93" s="98"/>
      <c r="L93" s="100"/>
      <c r="M93" s="98"/>
      <c r="N93" s="100"/>
      <c r="O93" s="101"/>
      <c r="P93" s="101"/>
    </row>
    <row r="94" spans="1:16" ht="15">
      <c r="A94" s="53"/>
      <c r="B94" s="99" t="s">
        <v>722</v>
      </c>
      <c r="C94" s="98"/>
      <c r="D94" s="100"/>
      <c r="E94" s="98"/>
      <c r="F94" s="100"/>
      <c r="G94" s="98"/>
      <c r="H94" s="100"/>
      <c r="I94" s="98"/>
      <c r="J94" s="100"/>
      <c r="K94" s="98"/>
      <c r="L94" s="100"/>
      <c r="M94" s="98"/>
      <c r="N94" s="100"/>
      <c r="O94" s="101"/>
      <c r="P94" s="101"/>
    </row>
    <row r="95" spans="1:16" ht="15">
      <c r="A95" s="53"/>
      <c r="B95" s="99" t="s">
        <v>723</v>
      </c>
      <c r="C95" s="98"/>
      <c r="D95" s="100"/>
      <c r="E95" s="98"/>
      <c r="F95" s="100"/>
      <c r="G95" s="98"/>
      <c r="H95" s="100"/>
      <c r="I95" s="98"/>
      <c r="J95" s="100"/>
      <c r="K95" s="98"/>
      <c r="L95" s="100"/>
      <c r="M95" s="98"/>
      <c r="N95" s="100"/>
      <c r="O95" s="101"/>
      <c r="P95" s="101"/>
    </row>
    <row r="96" spans="1:16" ht="15">
      <c r="A96" s="53"/>
      <c r="B96" s="99" t="s">
        <v>724</v>
      </c>
      <c r="C96" s="98"/>
      <c r="D96" s="100"/>
      <c r="E96" s="98"/>
      <c r="F96" s="100"/>
      <c r="G96" s="98"/>
      <c r="H96" s="100"/>
      <c r="I96" s="98"/>
      <c r="J96" s="100"/>
      <c r="K96" s="98"/>
      <c r="L96" s="100"/>
      <c r="M96" s="98"/>
      <c r="N96" s="100"/>
      <c r="O96" s="101"/>
      <c r="P96" s="101"/>
    </row>
    <row r="97" spans="1:16" ht="15">
      <c r="A97" s="53"/>
      <c r="B97" s="99" t="s">
        <v>725</v>
      </c>
      <c r="C97" s="98"/>
      <c r="D97" s="100"/>
      <c r="E97" s="98"/>
      <c r="F97" s="100"/>
      <c r="G97" s="98"/>
      <c r="H97" s="100"/>
      <c r="I97" s="98"/>
      <c r="J97" s="100"/>
      <c r="K97" s="98"/>
      <c r="L97" s="100"/>
      <c r="M97" s="98"/>
      <c r="N97" s="100"/>
      <c r="O97" s="101"/>
      <c r="P97" s="101"/>
    </row>
    <row r="98" spans="1:16" ht="15">
      <c r="A98" s="53"/>
      <c r="B98" s="99" t="s">
        <v>726</v>
      </c>
      <c r="C98" s="98"/>
      <c r="D98" s="100"/>
      <c r="E98" s="98"/>
      <c r="F98" s="100"/>
      <c r="G98" s="98"/>
      <c r="H98" s="100"/>
      <c r="I98" s="98"/>
      <c r="J98" s="100"/>
      <c r="K98" s="98"/>
      <c r="L98" s="100"/>
      <c r="M98" s="99"/>
      <c r="N98" s="100"/>
      <c r="O98" s="101"/>
      <c r="P98" s="101"/>
    </row>
    <row r="99" spans="1:16" ht="15">
      <c r="A99" s="53"/>
      <c r="B99" s="99" t="s">
        <v>727</v>
      </c>
      <c r="C99" s="98"/>
      <c r="D99" s="100"/>
      <c r="E99" s="98"/>
      <c r="F99" s="100"/>
      <c r="G99" s="98"/>
      <c r="H99" s="100"/>
      <c r="I99" s="98"/>
      <c r="J99" s="100"/>
      <c r="K99" s="98"/>
      <c r="L99" s="100"/>
      <c r="M99" s="98"/>
      <c r="N99" s="100"/>
      <c r="O99" s="101"/>
      <c r="P99" s="101"/>
    </row>
    <row r="100" spans="1:16" ht="15">
      <c r="A100" s="102"/>
      <c r="B100" s="103" t="s">
        <v>728</v>
      </c>
      <c r="C100" s="104"/>
      <c r="D100" s="105"/>
      <c r="E100" s="104"/>
      <c r="F100" s="105"/>
      <c r="G100" s="104"/>
      <c r="H100" s="105"/>
      <c r="I100" s="104"/>
      <c r="J100" s="105"/>
      <c r="K100" s="107"/>
      <c r="L100" s="105"/>
      <c r="M100" s="104"/>
      <c r="N100" s="105"/>
      <c r="O100" s="106"/>
      <c r="P100" s="106"/>
    </row>
    <row r="101" spans="1:16" ht="15">
      <c r="A101" s="98" t="s">
        <v>740</v>
      </c>
      <c r="B101" s="99" t="s">
        <v>721</v>
      </c>
      <c r="C101" s="98">
        <f>'Database '!E261</f>
        <v>415</v>
      </c>
      <c r="D101" s="100">
        <f>'Database '!F261</f>
        <v>79161.0506024096</v>
      </c>
      <c r="E101" s="98">
        <f>'Database '!G261</f>
        <v>325</v>
      </c>
      <c r="F101" s="100">
        <f>'Database '!H261</f>
        <v>55494.1261538462</v>
      </c>
      <c r="G101" s="98">
        <f>'Database '!I261</f>
        <v>195</v>
      </c>
      <c r="H101" s="100">
        <f>'Database '!J261</f>
        <v>49397.0153846154</v>
      </c>
      <c r="I101" s="98">
        <f>'Database '!K261</f>
        <v>32</v>
      </c>
      <c r="J101" s="100">
        <f>'Database '!L261</f>
        <v>37817.15625</v>
      </c>
      <c r="K101" s="98">
        <f>'Database '!M261</f>
        <v>90</v>
      </c>
      <c r="L101" s="100">
        <f>'Database '!N261</f>
        <v>32323.1444444444</v>
      </c>
      <c r="M101" s="98"/>
      <c r="N101" s="100"/>
      <c r="O101" s="101">
        <f>C101+E101+G101+I101+K101+M101</f>
        <v>1057</v>
      </c>
      <c r="P101" s="101">
        <f>IF(O101&gt;0,(C101*D101+E101*F101+G101*H101+I101*J101+K101*L101+M101*N101)/O101,0)</f>
        <v>61153.33680227057</v>
      </c>
    </row>
    <row r="102" spans="1:16" ht="15">
      <c r="A102" s="53"/>
      <c r="B102" s="99" t="s">
        <v>722</v>
      </c>
      <c r="C102" s="98">
        <f>'Database '!E262</f>
        <v>88</v>
      </c>
      <c r="D102" s="100">
        <f>'Database '!F262</f>
        <v>70603.1477272727</v>
      </c>
      <c r="E102" s="98">
        <f>'Database '!G262</f>
        <v>115</v>
      </c>
      <c r="F102" s="100">
        <f>'Database '!H262</f>
        <v>50412.0347826087</v>
      </c>
      <c r="G102" s="98">
        <f>'Database '!I262</f>
        <v>85</v>
      </c>
      <c r="H102" s="100">
        <f>'Database '!J262</f>
        <v>45153.9294117647</v>
      </c>
      <c r="I102" s="98">
        <f>'Database '!K262</f>
        <v>19</v>
      </c>
      <c r="J102" s="100">
        <f>'Database '!L262</f>
        <v>31022.0526315789</v>
      </c>
      <c r="K102" s="98">
        <f>'Database '!M262</f>
        <v>18</v>
      </c>
      <c r="L102" s="100">
        <f>'Database '!N262</f>
        <v>32789.4444444444</v>
      </c>
      <c r="M102" s="98"/>
      <c r="N102" s="100"/>
      <c r="O102" s="101">
        <f>C102+E102+G102+I102+K102+M102</f>
        <v>325</v>
      </c>
      <c r="P102" s="101">
        <f>IF(O102&gt;0,(C102*D102+E102*F102+G102*H102+I102*J102+K102*L102+M102*N102)/O102,0)</f>
        <v>52394.38153846154</v>
      </c>
    </row>
    <row r="103" spans="1:16" ht="15">
      <c r="A103" s="53"/>
      <c r="B103" s="99" t="s">
        <v>723</v>
      </c>
      <c r="C103" s="98"/>
      <c r="D103" s="100"/>
      <c r="E103" s="98"/>
      <c r="F103" s="100"/>
      <c r="G103" s="98"/>
      <c r="H103" s="100"/>
      <c r="I103" s="98"/>
      <c r="J103" s="100"/>
      <c r="K103" s="98"/>
      <c r="L103" s="100"/>
      <c r="M103" s="98"/>
      <c r="N103" s="100"/>
      <c r="O103" s="101"/>
      <c r="P103" s="101"/>
    </row>
    <row r="104" spans="1:16" ht="15">
      <c r="A104" s="53"/>
      <c r="B104" s="99" t="s">
        <v>724</v>
      </c>
      <c r="C104" s="98">
        <f>SUM('Database '!E263:E268)</f>
        <v>380</v>
      </c>
      <c r="D104" s="100">
        <v>62451.7684210526</v>
      </c>
      <c r="E104" s="98">
        <f>SUM('Database '!G263:G268)</f>
        <v>395</v>
      </c>
      <c r="F104" s="100">
        <v>50974.8911392405</v>
      </c>
      <c r="G104" s="98">
        <f>SUM('Database '!I263:I268)</f>
        <v>438</v>
      </c>
      <c r="H104" s="100">
        <v>42216.7762557078</v>
      </c>
      <c r="I104" s="98">
        <f>SUM('Database '!K263:K267)</f>
        <v>56</v>
      </c>
      <c r="J104" s="100">
        <v>36431.5</v>
      </c>
      <c r="K104" s="98">
        <f>SUM('Database '!M263:M267)</f>
        <v>100</v>
      </c>
      <c r="L104" s="100">
        <v>35271.75</v>
      </c>
      <c r="M104" s="98"/>
      <c r="N104" s="100"/>
      <c r="O104" s="101">
        <f>C104+E104+G104+I104+K104+M104</f>
        <v>1369</v>
      </c>
      <c r="P104" s="101">
        <f>IF(O104&gt;0,(C104*D104+E104*F104+G104*H104+I104*J104+K104*L104+M104*N104)/O104,0)</f>
        <v>49616.53834915997</v>
      </c>
    </row>
    <row r="105" spans="1:16" ht="15">
      <c r="A105" s="53"/>
      <c r="B105" s="99" t="s">
        <v>725</v>
      </c>
      <c r="C105" s="98">
        <f>SUM('Database '!E269:E270)</f>
        <v>36</v>
      </c>
      <c r="D105" s="100">
        <v>57986.4722222222</v>
      </c>
      <c r="E105" s="98">
        <f>SUM('Database '!G269:G270)</f>
        <v>53</v>
      </c>
      <c r="F105" s="100">
        <v>48236.3773584905</v>
      </c>
      <c r="G105" s="98">
        <f>SUM('Database '!I269:I270)</f>
        <v>68</v>
      </c>
      <c r="H105" s="100">
        <v>42343.1764705882</v>
      </c>
      <c r="I105" s="98">
        <f>SUM('Database '!K269:K270)</f>
        <v>11</v>
      </c>
      <c r="J105" s="100">
        <v>34710.6363636364</v>
      </c>
      <c r="K105" s="98">
        <f>SUM('Database '!M269:M270)</f>
        <v>35</v>
      </c>
      <c r="L105" s="100">
        <v>30472.4</v>
      </c>
      <c r="M105" s="98"/>
      <c r="N105" s="100"/>
      <c r="O105" s="101">
        <f>C105+E105+G105+I105+K105+M105</f>
        <v>203</v>
      </c>
      <c r="P105" s="101">
        <f>IF(O105&gt;0,(C105*D105+E105*F105+G105*H105+I105*J105+K105*L105+M105*N105)/O105,0)</f>
        <v>44195.7044334975</v>
      </c>
    </row>
    <row r="106" spans="1:16" ht="15">
      <c r="A106" s="53"/>
      <c r="B106" s="99" t="s">
        <v>726</v>
      </c>
      <c r="C106" s="98">
        <f>'Database '!E271</f>
        <v>30</v>
      </c>
      <c r="D106" s="100">
        <f>'Database '!F271</f>
        <v>68017.1</v>
      </c>
      <c r="E106" s="98">
        <f>'Database '!G271</f>
        <v>32</v>
      </c>
      <c r="F106" s="100">
        <f>'Database '!H271</f>
        <v>53693.46875</v>
      </c>
      <c r="G106" s="98">
        <f>'Database '!I271</f>
        <v>42</v>
      </c>
      <c r="H106" s="100">
        <f>'Database '!J271</f>
        <v>39203.1428571429</v>
      </c>
      <c r="I106" s="98">
        <f>'Database '!K271</f>
        <v>5</v>
      </c>
      <c r="J106" s="100">
        <f>'Database '!L271</f>
        <v>34938.6</v>
      </c>
      <c r="K106" s="98"/>
      <c r="L106" s="100"/>
      <c r="M106" s="98"/>
      <c r="N106" s="100"/>
      <c r="O106" s="101">
        <f>C106+E106+G106+I106+K106+M106</f>
        <v>109</v>
      </c>
      <c r="P106" s="101">
        <f>IF(O106&gt;0,(C106*D106+E106*F106+G106*H106+I106*J106+K106*L106+M106*N106)/O106,0)</f>
        <v>51192.00917431194</v>
      </c>
    </row>
    <row r="107" spans="1:16" ht="15">
      <c r="A107" s="53"/>
      <c r="B107" s="99" t="s">
        <v>727</v>
      </c>
      <c r="C107" s="98">
        <f>SUM('Database '!E272:E291)</f>
        <v>711</v>
      </c>
      <c r="D107" s="100">
        <v>55944.7665260197</v>
      </c>
      <c r="E107" s="98">
        <f>SUM('Database '!G272:G291)</f>
        <v>520</v>
      </c>
      <c r="F107" s="100">
        <v>45728.0980769231</v>
      </c>
      <c r="G107" s="98">
        <f>SUM('Database '!I272:I291)</f>
        <v>438</v>
      </c>
      <c r="H107" s="100">
        <v>37750.5205479452</v>
      </c>
      <c r="I107" s="98">
        <f>SUM('Database '!K272:K291)</f>
        <v>109</v>
      </c>
      <c r="J107" s="100">
        <v>32139.1926605505</v>
      </c>
      <c r="K107" s="98">
        <f>SUM('Database '!M272:M291)</f>
        <v>11</v>
      </c>
      <c r="L107" s="100">
        <v>34362.1818181819</v>
      </c>
      <c r="M107" s="98"/>
      <c r="N107" s="100"/>
      <c r="O107" s="101">
        <f>C107+E107+G107+I107+K107+M107</f>
        <v>1789</v>
      </c>
      <c r="P107" s="101">
        <f>IF(O107&gt;0,(C107*D107+E107*F107+G107*H107+I107*J107+K107*L107+M107*N107)/O107,0)</f>
        <v>46937.520402459486</v>
      </c>
    </row>
    <row r="108" spans="1:16" ht="15">
      <c r="A108" s="102"/>
      <c r="B108" s="103" t="s">
        <v>728</v>
      </c>
      <c r="C108" s="104"/>
      <c r="D108" s="105"/>
      <c r="E108" s="104"/>
      <c r="F108" s="105"/>
      <c r="G108" s="104"/>
      <c r="H108" s="105"/>
      <c r="I108" s="104"/>
      <c r="J108" s="100"/>
      <c r="K108" s="104"/>
      <c r="L108" s="100"/>
      <c r="M108" s="104"/>
      <c r="N108" s="100"/>
      <c r="O108" s="106"/>
      <c r="P108" s="101"/>
    </row>
    <row r="109" spans="1:16" ht="15">
      <c r="A109" s="98" t="s">
        <v>741</v>
      </c>
      <c r="B109" s="99" t="s">
        <v>721</v>
      </c>
      <c r="C109" s="98">
        <f>'Database '!Q261</f>
        <v>244</v>
      </c>
      <c r="D109" s="100">
        <f>'Database '!R261</f>
        <v>102777.266393443</v>
      </c>
      <c r="E109" s="98">
        <f>'Database '!S261</f>
        <v>87</v>
      </c>
      <c r="F109" s="100">
        <f>'Database '!T261</f>
        <v>71135.4827586207</v>
      </c>
      <c r="G109" s="98">
        <f>'Database '!U261</f>
        <v>25</v>
      </c>
      <c r="H109" s="100">
        <f>'Database '!V261</f>
        <v>59412.6</v>
      </c>
      <c r="I109" s="98">
        <f>'Database '!W261</f>
        <v>13</v>
      </c>
      <c r="J109" s="113">
        <f>'Database '!X261</f>
        <v>46376.2307692308</v>
      </c>
      <c r="K109" s="114">
        <f>'Database '!Y261</f>
        <v>93</v>
      </c>
      <c r="L109" s="113">
        <f>'Database '!Z261</f>
        <v>43049.4408602151</v>
      </c>
      <c r="M109" s="114"/>
      <c r="N109" s="113"/>
      <c r="O109" s="108">
        <f>C109+E109+G109+I109+K109+M109</f>
        <v>462</v>
      </c>
      <c r="P109" s="108">
        <f>IF(O109&gt;0,(C109*D109+E109*F109+G109*H109+I109*J109+K109*L109+M109*N109)/O109,0)</f>
        <v>80862.0000000002</v>
      </c>
    </row>
    <row r="110" spans="1:16" ht="15">
      <c r="A110" s="53"/>
      <c r="B110" s="99" t="s">
        <v>722</v>
      </c>
      <c r="C110" s="98">
        <f>'Database '!Q262</f>
        <v>30</v>
      </c>
      <c r="D110" s="100">
        <f>'Database '!R262</f>
        <v>98822.5333333333</v>
      </c>
      <c r="E110" s="98">
        <f>'Database '!S262</f>
        <v>16</v>
      </c>
      <c r="F110" s="100">
        <f>'Database '!T262</f>
        <v>70142</v>
      </c>
      <c r="G110" s="98">
        <f>'Database '!U262</f>
        <v>7</v>
      </c>
      <c r="H110" s="100">
        <f>'Database '!V262</f>
        <v>54880.2857142857</v>
      </c>
      <c r="I110" s="98">
        <f>'Database '!W262</f>
        <v>2</v>
      </c>
      <c r="J110" s="100">
        <f>'Database '!X262</f>
        <v>48414</v>
      </c>
      <c r="K110" s="98">
        <f>'Database '!Y262</f>
        <v>4</v>
      </c>
      <c r="L110" s="100">
        <f>'Database '!Z262</f>
        <v>45459.5</v>
      </c>
      <c r="M110" s="98"/>
      <c r="N110" s="100"/>
      <c r="O110" s="101">
        <f>C110+E110+G110+I110+K110+M110</f>
        <v>59</v>
      </c>
      <c r="P110" s="101">
        <f>IF(O110&gt;0,(C110*D110+E110*F110+G110*H110+I110*J110+K110*L110+M110*N110)/O110,0)</f>
        <v>80504.67796610168</v>
      </c>
    </row>
    <row r="111" spans="1:16" ht="15">
      <c r="A111" s="53"/>
      <c r="B111" s="99" t="s">
        <v>723</v>
      </c>
      <c r="C111" s="98"/>
      <c r="D111" s="100"/>
      <c r="E111" s="98"/>
      <c r="F111" s="100"/>
      <c r="G111" s="98"/>
      <c r="H111" s="100"/>
      <c r="I111" s="98"/>
      <c r="J111" s="100"/>
      <c r="K111" s="98"/>
      <c r="L111" s="100"/>
      <c r="M111" s="98"/>
      <c r="N111" s="100"/>
      <c r="O111" s="101"/>
      <c r="P111" s="101"/>
    </row>
    <row r="112" spans="1:16" ht="15">
      <c r="A112" s="53"/>
      <c r="B112" s="99" t="s">
        <v>724</v>
      </c>
      <c r="C112" s="98">
        <f>SUM('Database '!Q263:Q268)</f>
        <v>37</v>
      </c>
      <c r="D112" s="100">
        <v>78823.8378378379</v>
      </c>
      <c r="E112" s="98">
        <f>SUM('Database '!S263:S268)</f>
        <v>18</v>
      </c>
      <c r="F112" s="100">
        <v>60684.8333333333</v>
      </c>
      <c r="G112" s="98">
        <f>SUM('Database '!U263:U268)</f>
        <v>12</v>
      </c>
      <c r="H112" s="100">
        <v>52219.3333333333</v>
      </c>
      <c r="I112" s="98">
        <f>'Database '!W265</f>
        <v>1</v>
      </c>
      <c r="J112" s="100">
        <f>'Database '!X265</f>
        <v>36317</v>
      </c>
      <c r="K112" s="98">
        <f>'Database '!Y265</f>
        <v>18</v>
      </c>
      <c r="L112" s="100">
        <f>'Database '!Z265</f>
        <v>36290.8333333333</v>
      </c>
      <c r="M112" s="98"/>
      <c r="N112" s="100"/>
      <c r="O112" s="101">
        <f>C112+E112+G112+I112+K112+M112</f>
        <v>86</v>
      </c>
      <c r="P112" s="101">
        <f>IF(O112&gt;0,(C112*D112+E112*F112+G112*H112+I112*J112+K112*L112+M112*N112)/O112,0)</f>
        <v>61918.52325581396</v>
      </c>
    </row>
    <row r="113" spans="1:16" ht="15">
      <c r="A113" s="53"/>
      <c r="B113" s="99" t="s">
        <v>725</v>
      </c>
      <c r="C113" s="98">
        <f>SUM('Database '!Q269:Q270)</f>
        <v>8</v>
      </c>
      <c r="D113" s="100">
        <v>59828</v>
      </c>
      <c r="E113" s="98">
        <f>SUM('Database '!S269:S270)</f>
        <v>22</v>
      </c>
      <c r="F113" s="100">
        <v>64277.3181818182</v>
      </c>
      <c r="G113" s="98">
        <f>'Database '!U270</f>
        <v>7</v>
      </c>
      <c r="H113" s="100">
        <f>'Database '!V270</f>
        <v>53978</v>
      </c>
      <c r="I113" s="98">
        <f>SUM('Database '!W269:W270)</f>
        <v>3</v>
      </c>
      <c r="J113" s="100">
        <v>45323.6666666667</v>
      </c>
      <c r="K113" s="98">
        <f>SUM('Database '!Y269:Y270)</f>
        <v>11</v>
      </c>
      <c r="L113" s="100">
        <f>'Database '!Z270</f>
        <v>43301.5454545455</v>
      </c>
      <c r="M113" s="98"/>
      <c r="N113" s="100"/>
      <c r="O113" s="101">
        <f>C113+E113+G113+I113+K113+M113</f>
        <v>51</v>
      </c>
      <c r="P113" s="101">
        <f>IF(O113&gt;0,(C113*D113+E113*F113+G113*H113+I113*J113+K113*L113+M113*N113)/O113,0)</f>
        <v>56526.647058823546</v>
      </c>
    </row>
    <row r="114" spans="1:16" ht="15">
      <c r="A114" s="53"/>
      <c r="B114" s="99" t="s">
        <v>726</v>
      </c>
      <c r="C114" s="98"/>
      <c r="D114" s="100"/>
      <c r="E114" s="98"/>
      <c r="F114" s="100"/>
      <c r="G114" s="98"/>
      <c r="H114" s="100"/>
      <c r="I114" s="98"/>
      <c r="J114" s="100"/>
      <c r="K114" s="98"/>
      <c r="L114" s="100"/>
      <c r="M114" s="98"/>
      <c r="N114" s="100"/>
      <c r="O114" s="101"/>
      <c r="P114" s="101"/>
    </row>
    <row r="115" spans="1:16" ht="15">
      <c r="A115" s="53"/>
      <c r="B115" s="99" t="s">
        <v>727</v>
      </c>
      <c r="C115" s="98">
        <f>SUM('Database '!Q272:Q291)</f>
        <v>31</v>
      </c>
      <c r="D115" s="100">
        <v>67096.3225806452</v>
      </c>
      <c r="E115" s="98">
        <f>SUM('Database '!S272:S291)</f>
        <v>23</v>
      </c>
      <c r="F115" s="100">
        <v>54443.4782608696</v>
      </c>
      <c r="G115" s="98">
        <f>SUM('Database '!U272:U291)</f>
        <v>36</v>
      </c>
      <c r="H115" s="100">
        <v>44846.7777777778</v>
      </c>
      <c r="I115" s="98">
        <f>SUM('Database '!W272:W291)</f>
        <v>18</v>
      </c>
      <c r="J115" s="100">
        <v>37238.2777777778</v>
      </c>
      <c r="K115" s="98">
        <f>'Database '!Y279</f>
        <v>1</v>
      </c>
      <c r="L115" s="100">
        <f>'Database '!Z279</f>
        <v>39602</v>
      </c>
      <c r="M115" s="98"/>
      <c r="N115" s="100"/>
      <c r="O115" s="101">
        <f>C115+E115+G115+I115+K115+M115</f>
        <v>109</v>
      </c>
      <c r="P115" s="101">
        <f>IF(O115&gt;0,(C115*D115+E115*F115+G115*H115+I115*J115+K115*L115+M115*N115)/O115,0)</f>
        <v>51895.055045871595</v>
      </c>
    </row>
    <row r="116" spans="1:16" ht="15">
      <c r="A116" s="102"/>
      <c r="B116" s="103" t="s">
        <v>728</v>
      </c>
      <c r="C116" s="104"/>
      <c r="D116" s="105"/>
      <c r="E116" s="104"/>
      <c r="F116" s="105"/>
      <c r="G116" s="104"/>
      <c r="H116" s="105"/>
      <c r="I116" s="104"/>
      <c r="J116" s="105"/>
      <c r="K116" s="107"/>
      <c r="L116" s="105"/>
      <c r="M116" s="104"/>
      <c r="N116" s="105"/>
      <c r="O116" s="106"/>
      <c r="P116" s="106"/>
    </row>
    <row r="117" spans="1:16" ht="15">
      <c r="A117" s="98" t="s">
        <v>742</v>
      </c>
      <c r="B117" s="99" t="s">
        <v>721</v>
      </c>
      <c r="C117" s="98">
        <f>'Database '!E292</f>
        <v>151</v>
      </c>
      <c r="D117" s="100">
        <f>'Database '!F292</f>
        <v>59506.84105960265</v>
      </c>
      <c r="E117" s="98">
        <f>'Database '!G292</f>
        <v>140</v>
      </c>
      <c r="F117" s="100">
        <f>'Database '!H292</f>
        <v>48484.28571428572</v>
      </c>
      <c r="G117" s="98">
        <f>'Database '!I292</f>
        <v>147</v>
      </c>
      <c r="H117" s="100">
        <f>'Database '!J292</f>
        <v>42207.87755102041</v>
      </c>
      <c r="I117" s="98">
        <f>'Database '!K292</f>
        <v>43</v>
      </c>
      <c r="J117" s="100">
        <f>'Database '!L292</f>
        <v>26993.093023255813</v>
      </c>
      <c r="K117" s="98">
        <f>'Database '!M292</f>
        <v>60</v>
      </c>
      <c r="L117" s="100">
        <f>'Database '!N292</f>
        <v>23127.583333333332</v>
      </c>
      <c r="M117" s="98"/>
      <c r="N117" s="100"/>
      <c r="O117" s="101">
        <f>C117+E117+G117+I117+K117+M117</f>
        <v>541</v>
      </c>
      <c r="P117" s="101">
        <f>IF(O117&gt;0,(C117*D117+E117*F117+G117*H117+I117*J117+K117*L117+M117*N117)/O117,0)</f>
        <v>45335.0258780037</v>
      </c>
    </row>
    <row r="118" spans="1:16" ht="15">
      <c r="A118" s="53"/>
      <c r="B118" s="99" t="s">
        <v>722</v>
      </c>
      <c r="C118" s="98">
        <f>SUM('Database '!E293:E294)</f>
        <v>270</v>
      </c>
      <c r="D118" s="100">
        <v>63267.5666666667</v>
      </c>
      <c r="E118" s="98">
        <f>SUM('Database '!G293:G294)</f>
        <v>268</v>
      </c>
      <c r="F118" s="100">
        <v>49205.6865671642</v>
      </c>
      <c r="G118" s="98">
        <f>SUM('Database '!I293:I294)</f>
        <v>273</v>
      </c>
      <c r="H118" s="100">
        <v>40167.4395604396</v>
      </c>
      <c r="I118" s="98">
        <f>SUM('Database '!K293:K294)</f>
        <v>104</v>
      </c>
      <c r="J118" s="100">
        <v>30772.9230769231</v>
      </c>
      <c r="K118" s="98">
        <f>'Database '!M293</f>
        <v>2</v>
      </c>
      <c r="L118" s="100">
        <f>'Database '!N293</f>
        <v>21760.5</v>
      </c>
      <c r="M118" s="98"/>
      <c r="N118" s="100"/>
      <c r="O118" s="101">
        <f>C118+E118+G118+I118+K118+M118</f>
        <v>917</v>
      </c>
      <c r="P118" s="101">
        <f>IF(O118&gt;0,(C118*D118+E118*F118+G118*H118+I118*J118+K118*L118+M118*N118)/O118,0)</f>
        <v>48504.888767720855</v>
      </c>
    </row>
    <row r="119" spans="1:16" ht="15">
      <c r="A119" s="53"/>
      <c r="B119" s="99" t="s">
        <v>723</v>
      </c>
      <c r="C119" s="98">
        <f>'Database '!E295</f>
        <v>50</v>
      </c>
      <c r="D119" s="100">
        <f>'Database '!F295</f>
        <v>50152.12</v>
      </c>
      <c r="E119" s="98">
        <f>'Database '!G295</f>
        <v>63</v>
      </c>
      <c r="F119" s="100">
        <f>'Database '!H295</f>
        <v>44933.60317460317</v>
      </c>
      <c r="G119" s="98">
        <f>'Database '!I295</f>
        <v>105</v>
      </c>
      <c r="H119" s="100">
        <f>'Database '!J295</f>
        <v>38627.94285714286</v>
      </c>
      <c r="I119" s="98">
        <f>'Database '!K295</f>
        <v>43</v>
      </c>
      <c r="J119" s="100">
        <f>'Database '!L295</f>
        <v>29431.46511627907</v>
      </c>
      <c r="K119" s="98"/>
      <c r="L119" s="100"/>
      <c r="M119" s="98"/>
      <c r="N119" s="100"/>
      <c r="O119" s="101">
        <f>C119+E119+G119+I119+K119+M119</f>
        <v>261</v>
      </c>
      <c r="P119" s="101">
        <f>IF(O119&gt;0,(C119*D119+E119*F119+G119*H119+I119*J119+K119*L119+M119*N119)/O119,0)</f>
        <v>40842.56704980843</v>
      </c>
    </row>
    <row r="120" spans="1:16" ht="15">
      <c r="A120" s="53"/>
      <c r="B120" s="99" t="s">
        <v>724</v>
      </c>
      <c r="C120" s="98"/>
      <c r="D120" s="100"/>
      <c r="E120" s="98"/>
      <c r="F120" s="100"/>
      <c r="G120" s="98"/>
      <c r="H120" s="100"/>
      <c r="I120" s="98"/>
      <c r="J120" s="100"/>
      <c r="K120" s="98"/>
      <c r="L120" s="100"/>
      <c r="M120" s="98"/>
      <c r="N120" s="100"/>
      <c r="O120" s="101"/>
      <c r="P120" s="101"/>
    </row>
    <row r="121" spans="1:16" ht="15">
      <c r="A121" s="53"/>
      <c r="B121" s="99" t="s">
        <v>725</v>
      </c>
      <c r="C121" s="98">
        <f>SUM('Database '!E296:E297)</f>
        <v>91</v>
      </c>
      <c r="D121" s="100">
        <v>47757.1098901099</v>
      </c>
      <c r="E121" s="98">
        <f>SUM('Database '!G296:G297)</f>
        <v>48</v>
      </c>
      <c r="F121" s="100">
        <v>41373.75</v>
      </c>
      <c r="G121" s="98">
        <f>SUM('Database '!I296:I297)</f>
        <v>93</v>
      </c>
      <c r="H121" s="100">
        <v>38598.4838709677</v>
      </c>
      <c r="I121" s="98">
        <f>SUM('Database '!K296:K297)</f>
        <v>64</v>
      </c>
      <c r="J121" s="100">
        <v>28983.3125</v>
      </c>
      <c r="K121" s="98"/>
      <c r="L121" s="100"/>
      <c r="M121" s="98"/>
      <c r="N121" s="100"/>
      <c r="O121" s="101">
        <f>C121+E121+G121+I121+K121+M121</f>
        <v>296</v>
      </c>
      <c r="P121" s="101">
        <f>IF(O121&gt;0,(C121*D121+E121*F121+G121*H121+I121*J121+K121*L121+M121*N121)/O121,0)</f>
        <v>39785.22972972972</v>
      </c>
    </row>
    <row r="122" spans="1:16" ht="15">
      <c r="A122" s="53"/>
      <c r="B122" s="99" t="s">
        <v>726</v>
      </c>
      <c r="C122" s="98">
        <f>SUM('Database '!E298:E299)</f>
        <v>41</v>
      </c>
      <c r="D122" s="100">
        <v>45540.1219512195</v>
      </c>
      <c r="E122" s="98">
        <f>SUM('Database '!G298:G299)</f>
        <v>27</v>
      </c>
      <c r="F122" s="100">
        <v>41290.6666666667</v>
      </c>
      <c r="G122" s="98">
        <f>SUM('Database '!I298:I299)</f>
        <v>115</v>
      </c>
      <c r="H122" s="100">
        <v>33638.1913043478</v>
      </c>
      <c r="I122" s="98">
        <f>SUM('Database '!K298:K299)</f>
        <v>40</v>
      </c>
      <c r="J122" s="100">
        <v>31477.95</v>
      </c>
      <c r="K122" s="98"/>
      <c r="L122" s="100"/>
      <c r="M122" s="98"/>
      <c r="N122" s="100"/>
      <c r="O122" s="101">
        <f>C122+E122+G122+I122+K122+M122</f>
        <v>223</v>
      </c>
      <c r="P122" s="101">
        <f>IF(O122&gt;0,(C122*D122+E122*F122+G122*H122+I122*J122+K122*L122+M122*N122)/O122,0)</f>
        <v>36365.484304932725</v>
      </c>
    </row>
    <row r="123" spans="1:16" ht="15">
      <c r="A123" s="53"/>
      <c r="B123" s="99" t="s">
        <v>727</v>
      </c>
      <c r="C123" s="98"/>
      <c r="D123" s="100"/>
      <c r="E123" s="98"/>
      <c r="F123" s="100"/>
      <c r="G123" s="98"/>
      <c r="H123" s="100"/>
      <c r="I123" s="98"/>
      <c r="J123" s="100"/>
      <c r="K123" s="98"/>
      <c r="L123" s="100"/>
      <c r="M123" s="98">
        <f>SUM('Database '!O300:O314)</f>
        <v>1662.8</v>
      </c>
      <c r="N123" s="100">
        <v>38187.2916766899</v>
      </c>
      <c r="O123" s="101">
        <f>C123+E123+G123+I123+K123+M123</f>
        <v>1662.8</v>
      </c>
      <c r="P123" s="101">
        <f>IF(O123&gt;0,(C123*D123+E123*F123+G123*H123+I123*J123+K123*L123+M123*N123)/O123,0)</f>
        <v>38187.2916766899</v>
      </c>
    </row>
    <row r="124" spans="1:16" ht="15">
      <c r="A124" s="102"/>
      <c r="B124" s="103" t="s">
        <v>728</v>
      </c>
      <c r="C124" s="104"/>
      <c r="D124" s="105"/>
      <c r="E124" s="104"/>
      <c r="F124" s="105"/>
      <c r="G124" s="104"/>
      <c r="H124" s="105"/>
      <c r="I124" s="104"/>
      <c r="J124" s="105"/>
      <c r="K124" s="104"/>
      <c r="L124" s="105"/>
      <c r="M124" s="104"/>
      <c r="N124" s="105"/>
      <c r="O124" s="106"/>
      <c r="P124" s="106"/>
    </row>
    <row r="125" spans="1:16" ht="15">
      <c r="A125" s="98" t="s">
        <v>743</v>
      </c>
      <c r="B125" s="99" t="s">
        <v>721</v>
      </c>
      <c r="C125" s="98">
        <f>'Database '!Q292</f>
        <v>138</v>
      </c>
      <c r="D125" s="100">
        <f>'Database '!R292</f>
        <v>77424.15217391304</v>
      </c>
      <c r="E125" s="98">
        <f>'Database '!S292</f>
        <v>69</v>
      </c>
      <c r="F125" s="100">
        <f>'Database '!T292</f>
        <v>61035.49275362319</v>
      </c>
      <c r="G125" s="98">
        <f>'Database '!U292</f>
        <v>57</v>
      </c>
      <c r="H125" s="100">
        <f>'Database '!V292</f>
        <v>50882.94736842105</v>
      </c>
      <c r="I125" s="98">
        <f>'Database '!W292</f>
        <v>17</v>
      </c>
      <c r="J125" s="100">
        <f>'Database '!X292</f>
        <v>39207.294117647056</v>
      </c>
      <c r="K125" s="98"/>
      <c r="L125" s="100"/>
      <c r="M125" s="98"/>
      <c r="N125" s="100"/>
      <c r="O125" s="101">
        <f>C125+E125+G125+I125+K125+M125</f>
        <v>281</v>
      </c>
      <c r="P125" s="101">
        <f>IF(O125&gt;0,(C125*D125+E125*F125+G125*H125+I125*J125+K125*L125+M125*N125)/O125,0)</f>
        <v>65704.03558718861</v>
      </c>
    </row>
    <row r="126" spans="1:16" ht="15">
      <c r="A126" s="53"/>
      <c r="B126" s="99" t="s">
        <v>722</v>
      </c>
      <c r="C126" s="98">
        <f>SUM('Database '!Q293:Q294)</f>
        <v>62</v>
      </c>
      <c r="D126" s="100">
        <v>81722.2419354839</v>
      </c>
      <c r="E126" s="98">
        <f>SUM('Database '!S293:S294)</f>
        <v>51</v>
      </c>
      <c r="F126" s="100">
        <v>60727.9607843137</v>
      </c>
      <c r="G126" s="98">
        <f>SUM('Database '!U293:U294)</f>
        <v>31</v>
      </c>
      <c r="H126" s="100">
        <v>52644.9032258065</v>
      </c>
      <c r="I126" s="98">
        <f>SUM('Database '!W293:W294)</f>
        <v>6</v>
      </c>
      <c r="J126" s="100">
        <v>40094</v>
      </c>
      <c r="K126" s="98"/>
      <c r="L126" s="100"/>
      <c r="M126" s="98"/>
      <c r="N126" s="100"/>
      <c r="O126" s="101">
        <f>C126+E126+G126+I126+K126+M126</f>
        <v>150</v>
      </c>
      <c r="P126" s="101">
        <f>IF(O126&gt;0,(C126*D126+E126*F126+G126*H126+I126*J126+K126*L126+M126*N126)/O126,0)</f>
        <v>66909.74</v>
      </c>
    </row>
    <row r="127" spans="1:16" ht="15">
      <c r="A127" s="53"/>
      <c r="B127" s="99" t="s">
        <v>723</v>
      </c>
      <c r="C127" s="98">
        <f>'Database '!Q295</f>
        <v>17</v>
      </c>
      <c r="D127" s="100">
        <f>'Database '!R295</f>
        <v>68941.88235294117</v>
      </c>
      <c r="E127" s="98">
        <f>'Database '!S295</f>
        <v>17</v>
      </c>
      <c r="F127" s="100">
        <f>'Database '!T295</f>
        <v>63348.529411764706</v>
      </c>
      <c r="G127" s="98">
        <f>'Database '!U295</f>
        <v>9</v>
      </c>
      <c r="H127" s="100">
        <f>'Database '!V295</f>
        <v>53305.88888888889</v>
      </c>
      <c r="I127" s="98">
        <f>'Database '!W295</f>
        <v>11</v>
      </c>
      <c r="J127" s="100">
        <f>'Database '!X295</f>
        <v>43749.181818181816</v>
      </c>
      <c r="K127" s="98"/>
      <c r="L127" s="100"/>
      <c r="M127" s="98"/>
      <c r="N127" s="100"/>
      <c r="O127" s="101">
        <f>C127+E127+G127+I127+K127+M127</f>
        <v>54</v>
      </c>
      <c r="P127" s="101">
        <f>IF(O127&gt;0,(C127*D127+E127*F127+G127*H127+I127*J127+K127*L127+M127*N127)/O127,0)</f>
        <v>59443.166666666664</v>
      </c>
    </row>
    <row r="128" spans="1:16" ht="15">
      <c r="A128" s="53"/>
      <c r="B128" s="99" t="s">
        <v>724</v>
      </c>
      <c r="C128" s="98"/>
      <c r="D128" s="100"/>
      <c r="E128" s="98"/>
      <c r="F128" s="100"/>
      <c r="G128" s="98"/>
      <c r="H128" s="100"/>
      <c r="I128" s="98"/>
      <c r="J128" s="100"/>
      <c r="K128" s="98"/>
      <c r="L128" s="100"/>
      <c r="M128" s="98"/>
      <c r="N128" s="100"/>
      <c r="O128" s="101"/>
      <c r="P128" s="101"/>
    </row>
    <row r="129" spans="1:16" ht="15">
      <c r="A129" s="53"/>
      <c r="B129" s="99" t="s">
        <v>725</v>
      </c>
      <c r="C129" s="98">
        <f>SUM('Database '!Q296:Q297)</f>
        <v>23</v>
      </c>
      <c r="D129" s="100">
        <v>62417.2608695652</v>
      </c>
      <c r="E129" s="98">
        <f>SUM('Database '!S296:S297)</f>
        <v>9</v>
      </c>
      <c r="F129" s="100">
        <v>53356.3333333333</v>
      </c>
      <c r="G129" s="98">
        <f>SUM('Database '!U296:U297)</f>
        <v>10</v>
      </c>
      <c r="H129" s="100">
        <v>48281.7</v>
      </c>
      <c r="I129" s="98">
        <f>SUM('Database '!W296:W297)</f>
        <v>8</v>
      </c>
      <c r="J129" s="100">
        <v>38211.875</v>
      </c>
      <c r="K129" s="98"/>
      <c r="L129" s="100"/>
      <c r="M129" s="98"/>
      <c r="N129" s="100"/>
      <c r="O129" s="101">
        <f>C129+E129+G129+I129+K129+M129</f>
        <v>50</v>
      </c>
      <c r="P129" s="101">
        <f>IF(O129&gt;0,(C129*D129+E129*F129+G129*H129+I129*J129+K129*L129+M129*N129)/O129,0)</f>
        <v>54086.31999999998</v>
      </c>
    </row>
    <row r="130" spans="1:16" ht="15">
      <c r="A130" s="53"/>
      <c r="B130" s="99" t="s">
        <v>726</v>
      </c>
      <c r="C130" s="98">
        <f>'Database '!Q298</f>
        <v>9</v>
      </c>
      <c r="D130" s="100">
        <f>'Database '!R298</f>
        <v>61881.666666666664</v>
      </c>
      <c r="E130" s="98">
        <f>'Database '!S298</f>
        <v>7</v>
      </c>
      <c r="F130" s="100">
        <f>'Database '!T298</f>
        <v>45994.142857142855</v>
      </c>
      <c r="G130" s="98">
        <f>SUM('Database '!U298:U299)</f>
        <v>9</v>
      </c>
      <c r="H130" s="100">
        <v>46143.8888888889</v>
      </c>
      <c r="I130" s="98">
        <f>'Database '!W298</f>
        <v>1</v>
      </c>
      <c r="J130" s="100">
        <f>'Database '!X298</f>
        <v>51929</v>
      </c>
      <c r="K130" s="98"/>
      <c r="L130" s="100"/>
      <c r="M130" s="98"/>
      <c r="N130" s="100"/>
      <c r="O130" s="101">
        <f>C130+E130+G130+I130+K130+M130</f>
        <v>26</v>
      </c>
      <c r="P130" s="101">
        <f>IF(O130&gt;0,(C130*D130+E130*F130+G130*H130+I130*J130+K130*L130+M130*N130)/O130,0)</f>
        <v>51773.769230769234</v>
      </c>
    </row>
    <row r="131" spans="1:16" ht="15">
      <c r="A131" s="53"/>
      <c r="B131" s="99" t="s">
        <v>727</v>
      </c>
      <c r="C131" s="98"/>
      <c r="D131" s="100"/>
      <c r="E131" s="98"/>
      <c r="F131" s="100"/>
      <c r="G131" s="98"/>
      <c r="H131" s="100"/>
      <c r="I131" s="98"/>
      <c r="J131" s="100"/>
      <c r="K131" s="98"/>
      <c r="L131" s="100"/>
      <c r="M131" s="98">
        <f>SUM('Database '!AA300:AA314)</f>
        <v>539.5</v>
      </c>
      <c r="N131" s="100">
        <v>40152.4257645968</v>
      </c>
      <c r="O131" s="101">
        <f>C131+E131+G131+I131+K131+M131</f>
        <v>539.5</v>
      </c>
      <c r="P131" s="101">
        <f>IF(O131&gt;0,(C131*D131+E131*F131+G131*H131+I131*J131+K131*L131+M131*N131)/O131,0)</f>
        <v>40152.4257645968</v>
      </c>
    </row>
    <row r="132" spans="1:16" ht="15">
      <c r="A132" s="102"/>
      <c r="B132" s="103" t="s">
        <v>728</v>
      </c>
      <c r="C132" s="104"/>
      <c r="D132" s="105"/>
      <c r="E132" s="104"/>
      <c r="F132" s="105"/>
      <c r="G132" s="104"/>
      <c r="H132" s="105"/>
      <c r="I132" s="104"/>
      <c r="J132" s="105"/>
      <c r="K132" s="107"/>
      <c r="L132" s="105"/>
      <c r="M132" s="104"/>
      <c r="N132" s="105"/>
      <c r="O132" s="106"/>
      <c r="P132" s="106"/>
    </row>
    <row r="133" spans="1:16" ht="15">
      <c r="A133" s="115" t="s">
        <v>744</v>
      </c>
      <c r="B133" s="99" t="s">
        <v>721</v>
      </c>
      <c r="C133" s="98">
        <f>SUM('Database '!E315:E316)</f>
        <v>763</v>
      </c>
      <c r="D133" s="100">
        <v>82481.3538663172</v>
      </c>
      <c r="E133" s="98">
        <f>SUM('Database '!G315:G316)</f>
        <v>480</v>
      </c>
      <c r="F133" s="100">
        <v>57802.7916666667</v>
      </c>
      <c r="G133" s="98">
        <f>SUM('Database '!I315:I316)</f>
        <v>295</v>
      </c>
      <c r="H133" s="100">
        <v>49917.9186440678</v>
      </c>
      <c r="I133" s="98">
        <f>SUM('Database '!K315:K316)</f>
        <v>12</v>
      </c>
      <c r="J133" s="100">
        <v>38941.6666666667</v>
      </c>
      <c r="K133" s="98">
        <f>SUM('Database '!M315:M316)</f>
        <v>233</v>
      </c>
      <c r="L133" s="100">
        <v>37693.3733905579</v>
      </c>
      <c r="M133" s="98"/>
      <c r="N133" s="100"/>
      <c r="O133" s="101">
        <f aca="true" t="shared" si="6" ref="O133:O139">C133+E133+G133+I133+K133+M133</f>
        <v>1783</v>
      </c>
      <c r="P133" s="101">
        <f aca="true" t="shared" si="7" ref="P133:P139">IF(O133&gt;0,(C133*D133+E133*F133+G133*H133+I133*J133+K133*L133+M133*N133)/O133,0)</f>
        <v>64304.12507010657</v>
      </c>
    </row>
    <row r="134" spans="1:16" ht="15">
      <c r="A134" s="53"/>
      <c r="B134" s="99" t="s">
        <v>722</v>
      </c>
      <c r="C134" s="98">
        <f>'Database '!E317</f>
        <v>129</v>
      </c>
      <c r="D134" s="100">
        <f>'Database '!F317</f>
        <v>71911</v>
      </c>
      <c r="E134" s="98">
        <f>'Database '!G317</f>
        <v>166</v>
      </c>
      <c r="F134" s="100">
        <f>'Database '!H317</f>
        <v>52035</v>
      </c>
      <c r="G134" s="98">
        <f>'Database '!I317</f>
        <v>126</v>
      </c>
      <c r="H134" s="100">
        <f>'Database '!J317</f>
        <v>41238</v>
      </c>
      <c r="I134" s="98">
        <f>'Database '!K317</f>
        <v>9</v>
      </c>
      <c r="J134" s="100">
        <f>'Database '!L317</f>
        <v>46343</v>
      </c>
      <c r="K134" s="98">
        <f>'Database '!M317</f>
        <v>105</v>
      </c>
      <c r="L134" s="100">
        <f>'Database '!N317</f>
        <v>33258</v>
      </c>
      <c r="M134" s="98"/>
      <c r="N134" s="100"/>
      <c r="O134" s="101">
        <f t="shared" si="6"/>
        <v>535</v>
      </c>
      <c r="P134" s="101">
        <f t="shared" si="7"/>
        <v>50503.727102803736</v>
      </c>
    </row>
    <row r="135" spans="1:16" ht="15">
      <c r="A135" s="53"/>
      <c r="B135" s="99" t="s">
        <v>723</v>
      </c>
      <c r="C135" s="98">
        <f>SUM('Database '!E318:E323)</f>
        <v>712</v>
      </c>
      <c r="D135" s="100">
        <v>63130.6713483146</v>
      </c>
      <c r="E135" s="98">
        <f>SUM('Database '!G318:G323)</f>
        <v>824</v>
      </c>
      <c r="F135" s="100">
        <v>50498.2402912621</v>
      </c>
      <c r="G135" s="98">
        <f>SUM('Database '!I318:I323)</f>
        <v>750</v>
      </c>
      <c r="H135" s="100">
        <v>43500.344</v>
      </c>
      <c r="I135" s="98">
        <f>SUM('Database '!K318:K323)</f>
        <v>35</v>
      </c>
      <c r="J135" s="100">
        <v>38026.1142857143</v>
      </c>
      <c r="K135" s="98">
        <f>SUM('Database '!M318:M323)</f>
        <v>356</v>
      </c>
      <c r="L135" s="100">
        <v>34948.8511235955</v>
      </c>
      <c r="M135" s="98"/>
      <c r="N135" s="100"/>
      <c r="O135" s="101">
        <f t="shared" si="6"/>
        <v>2677</v>
      </c>
      <c r="P135" s="101">
        <f t="shared" si="7"/>
        <v>49666.623459095994</v>
      </c>
    </row>
    <row r="136" spans="1:16" ht="15">
      <c r="A136" s="53"/>
      <c r="B136" s="99" t="s">
        <v>724</v>
      </c>
      <c r="C136" s="98">
        <f>SUM('Database '!E324:E325)</f>
        <v>121</v>
      </c>
      <c r="D136" s="100">
        <v>62293.1900826446</v>
      </c>
      <c r="E136" s="98">
        <f>SUM('Database '!G324:G325)</f>
        <v>177</v>
      </c>
      <c r="F136" s="100">
        <v>49052.4576271186</v>
      </c>
      <c r="G136" s="98">
        <f>SUM('Database '!I324:I325)</f>
        <v>154</v>
      </c>
      <c r="H136" s="100">
        <v>42878.5714285714</v>
      </c>
      <c r="I136" s="98">
        <f>SUM('Database '!K324:K325)</f>
        <v>2</v>
      </c>
      <c r="J136" s="100">
        <v>37250</v>
      </c>
      <c r="K136" s="98">
        <f>SUM('Database '!M324:M325)</f>
        <v>63</v>
      </c>
      <c r="L136" s="100">
        <v>35241.6984126984</v>
      </c>
      <c r="M136" s="98"/>
      <c r="N136" s="100"/>
      <c r="O136" s="101">
        <f t="shared" si="6"/>
        <v>517</v>
      </c>
      <c r="P136" s="101">
        <f t="shared" si="7"/>
        <v>48583.729206963224</v>
      </c>
    </row>
    <row r="137" spans="1:16" ht="15">
      <c r="A137" s="53"/>
      <c r="B137" s="99" t="s">
        <v>725</v>
      </c>
      <c r="C137" s="98">
        <f>'Database '!E326</f>
        <v>43</v>
      </c>
      <c r="D137" s="100">
        <f>'Database '!F326</f>
        <v>64498</v>
      </c>
      <c r="E137" s="98">
        <f>'Database '!G326</f>
        <v>31</v>
      </c>
      <c r="F137" s="100">
        <f>'Database '!H326</f>
        <v>49128</v>
      </c>
      <c r="G137" s="98">
        <f>'Database '!I326</f>
        <v>42</v>
      </c>
      <c r="H137" s="100">
        <f>'Database '!J326</f>
        <v>40118</v>
      </c>
      <c r="I137" s="98">
        <f>'Database '!K326</f>
        <v>2</v>
      </c>
      <c r="J137" s="100">
        <f>'Database '!L326</f>
        <v>36410</v>
      </c>
      <c r="K137" s="98">
        <f>'Database '!M326</f>
        <v>21</v>
      </c>
      <c r="L137" s="100">
        <f>'Database '!N326</f>
        <v>36396</v>
      </c>
      <c r="M137" s="98"/>
      <c r="N137" s="100"/>
      <c r="O137" s="101">
        <f t="shared" si="6"/>
        <v>139</v>
      </c>
      <c r="P137" s="101">
        <f t="shared" si="7"/>
        <v>49053.76978417266</v>
      </c>
    </row>
    <row r="138" spans="1:16" ht="15">
      <c r="A138" s="53"/>
      <c r="B138" s="99" t="s">
        <v>726</v>
      </c>
      <c r="C138" s="98">
        <f>SUM('Database '!E327:E329)</f>
        <v>112</v>
      </c>
      <c r="D138" s="100">
        <v>57204.2321428571</v>
      </c>
      <c r="E138" s="98">
        <f>SUM('Database '!G327:G329)</f>
        <v>108</v>
      </c>
      <c r="F138" s="100">
        <v>48641.5</v>
      </c>
      <c r="G138" s="98">
        <f>SUM('Database '!I327:I329)</f>
        <v>85</v>
      </c>
      <c r="H138" s="100">
        <v>39141.4705882353</v>
      </c>
      <c r="I138" s="98">
        <f>SUM('Database '!K327:K329)</f>
        <v>9</v>
      </c>
      <c r="J138" s="100">
        <v>37201.3333333333</v>
      </c>
      <c r="K138" s="98">
        <f>SUM('Database '!M327:M329)</f>
        <v>49</v>
      </c>
      <c r="L138" s="100">
        <v>38959.387755102</v>
      </c>
      <c r="M138" s="98"/>
      <c r="N138" s="100"/>
      <c r="O138" s="101">
        <f t="shared" si="6"/>
        <v>363</v>
      </c>
      <c r="P138" s="101">
        <f t="shared" si="7"/>
        <v>47468.32782369144</v>
      </c>
    </row>
    <row r="139" spans="1:16" ht="15">
      <c r="A139" s="53"/>
      <c r="B139" s="99" t="s">
        <v>727</v>
      </c>
      <c r="C139" s="98"/>
      <c r="D139" s="100"/>
      <c r="E139" s="98"/>
      <c r="F139" s="100"/>
      <c r="G139" s="98"/>
      <c r="H139" s="100"/>
      <c r="I139" s="98"/>
      <c r="J139" s="100"/>
      <c r="K139" s="98"/>
      <c r="L139" s="100"/>
      <c r="M139" s="98">
        <f>SUM('Database '!O330:O387)</f>
        <v>4026</v>
      </c>
      <c r="N139" s="100">
        <v>32205.7891207154</v>
      </c>
      <c r="O139" s="101">
        <f t="shared" si="6"/>
        <v>4026</v>
      </c>
      <c r="P139" s="101">
        <f t="shared" si="7"/>
        <v>32205.7891207154</v>
      </c>
    </row>
    <row r="140" spans="1:16" ht="15">
      <c r="A140" s="102"/>
      <c r="B140" s="103" t="s">
        <v>728</v>
      </c>
      <c r="C140" s="104"/>
      <c r="D140" s="105"/>
      <c r="E140" s="104"/>
      <c r="F140" s="105"/>
      <c r="G140" s="104"/>
      <c r="H140" s="105"/>
      <c r="I140" s="104"/>
      <c r="J140" s="105"/>
      <c r="K140" s="107"/>
      <c r="L140" s="105"/>
      <c r="M140" s="104"/>
      <c r="N140" s="105"/>
      <c r="O140" s="106"/>
      <c r="P140" s="106"/>
    </row>
    <row r="141" spans="1:16" ht="15">
      <c r="A141" s="115" t="s">
        <v>745</v>
      </c>
      <c r="B141" s="99" t="s">
        <v>721</v>
      </c>
      <c r="C141" s="98">
        <f>SUM('Database '!Q315:Q316)</f>
        <v>275</v>
      </c>
      <c r="D141" s="100">
        <v>104489.978181818</v>
      </c>
      <c r="E141" s="98">
        <f>SUM('Database '!S315:S316)</f>
        <v>156</v>
      </c>
      <c r="F141" s="100">
        <v>78129.8333333333</v>
      </c>
      <c r="G141" s="98">
        <f>SUM('Database '!U315:U316)</f>
        <v>130</v>
      </c>
      <c r="H141" s="100">
        <v>60570.2</v>
      </c>
      <c r="I141" s="98">
        <f>SUM('Database '!W315:W316)</f>
        <v>9</v>
      </c>
      <c r="J141" s="100">
        <v>48032</v>
      </c>
      <c r="K141" s="98">
        <f>SUM('Database '!Y315:Y316)</f>
        <v>84</v>
      </c>
      <c r="L141" s="100">
        <v>60844.9047619048</v>
      </c>
      <c r="M141" s="98"/>
      <c r="N141" s="100"/>
      <c r="O141" s="101">
        <f aca="true" t="shared" si="8" ref="O141:O146">C141+E141+G141+I141+K141+M141</f>
        <v>654</v>
      </c>
      <c r="P141" s="101">
        <f aca="true" t="shared" si="9" ref="P141:P146">IF(O141&gt;0,(C141*D141+E141*F141+G141*H141+I141*J141+K141*L141+M141*N141)/O141,0)</f>
        <v>83089.27217125375</v>
      </c>
    </row>
    <row r="142" spans="1:16" ht="15">
      <c r="A142" s="53"/>
      <c r="B142" s="99" t="s">
        <v>722</v>
      </c>
      <c r="C142" s="98">
        <f>'Database '!Q317</f>
        <v>9</v>
      </c>
      <c r="D142" s="100">
        <f>'Database '!R317</f>
        <v>84428</v>
      </c>
      <c r="E142" s="98">
        <f>'Database '!S317</f>
        <v>4</v>
      </c>
      <c r="F142" s="100">
        <f>'Database '!T317</f>
        <v>63471</v>
      </c>
      <c r="G142" s="98">
        <f>'Database '!U317</f>
        <v>3</v>
      </c>
      <c r="H142" s="100">
        <f>'Database '!V317</f>
        <v>48627</v>
      </c>
      <c r="I142" s="98"/>
      <c r="J142" s="100"/>
      <c r="K142" s="98">
        <f>'Database '!Y317</f>
        <v>14</v>
      </c>
      <c r="L142" s="100">
        <f>'Database '!Z317</f>
        <v>41127</v>
      </c>
      <c r="M142" s="98"/>
      <c r="N142" s="100"/>
      <c r="O142" s="101">
        <f t="shared" si="8"/>
        <v>30</v>
      </c>
      <c r="P142" s="101">
        <f t="shared" si="9"/>
        <v>57846.5</v>
      </c>
    </row>
    <row r="143" spans="1:16" ht="15">
      <c r="A143" s="53"/>
      <c r="B143" s="99" t="s">
        <v>723</v>
      </c>
      <c r="C143" s="98">
        <f>SUM('Database '!Q318:Q323)</f>
        <v>113</v>
      </c>
      <c r="D143" s="100">
        <v>77598.9203539823</v>
      </c>
      <c r="E143" s="98">
        <f>SUM('Database '!S318:S323)</f>
        <v>93</v>
      </c>
      <c r="F143" s="100">
        <v>63614.6559139785</v>
      </c>
      <c r="G143" s="98">
        <f>SUM('Database '!U318:U323)</f>
        <v>39</v>
      </c>
      <c r="H143" s="100">
        <v>54765.3846153846</v>
      </c>
      <c r="I143" s="98">
        <f>SUM('Database '!W318:W323)</f>
        <v>4</v>
      </c>
      <c r="J143" s="100">
        <v>47804.75</v>
      </c>
      <c r="K143" s="98">
        <f>SUM('Database '!Y318:Y323)</f>
        <v>89</v>
      </c>
      <c r="L143" s="100">
        <v>43490.7303370787</v>
      </c>
      <c r="M143" s="98"/>
      <c r="N143" s="100"/>
      <c r="O143" s="101">
        <f t="shared" si="8"/>
        <v>338</v>
      </c>
      <c r="P143" s="101">
        <f t="shared" si="9"/>
        <v>61782.795857988174</v>
      </c>
    </row>
    <row r="144" spans="1:16" ht="15">
      <c r="A144" s="53"/>
      <c r="B144" s="99" t="s">
        <v>724</v>
      </c>
      <c r="C144" s="98">
        <f>SUM('Database '!Q324:Q325)</f>
        <v>32</v>
      </c>
      <c r="D144" s="100">
        <v>77186.46875</v>
      </c>
      <c r="E144" s="98">
        <f>SUM('Database '!S324:S325)</f>
        <v>22</v>
      </c>
      <c r="F144" s="100">
        <v>65862.0909090909</v>
      </c>
      <c r="G144" s="98">
        <f>SUM('Database '!U324:U325)</f>
        <v>4</v>
      </c>
      <c r="H144" s="100">
        <v>57860</v>
      </c>
      <c r="I144" s="98">
        <f>'Database '!W324</f>
        <v>2</v>
      </c>
      <c r="J144" s="100">
        <f>'Database '!X324</f>
        <v>29420</v>
      </c>
      <c r="K144" s="98">
        <f>SUM('Database '!Y324:Y325)</f>
        <v>13</v>
      </c>
      <c r="L144" s="100">
        <v>45434</v>
      </c>
      <c r="M144" s="98"/>
      <c r="N144" s="100"/>
      <c r="O144" s="101">
        <f t="shared" si="8"/>
        <v>73</v>
      </c>
      <c r="P144" s="101">
        <f t="shared" si="9"/>
        <v>65751.43835616438</v>
      </c>
    </row>
    <row r="145" spans="1:16" ht="15">
      <c r="A145" s="53"/>
      <c r="B145" s="99" t="s">
        <v>725</v>
      </c>
      <c r="C145" s="98">
        <f>'Database '!Q326</f>
        <v>1</v>
      </c>
      <c r="D145" s="100">
        <f>'Database '!R326</f>
        <v>80882</v>
      </c>
      <c r="E145" s="98">
        <f>'Database '!S326</f>
        <v>1</v>
      </c>
      <c r="F145" s="100">
        <f>'Database '!T326</f>
        <v>55000</v>
      </c>
      <c r="G145" s="98">
        <f>'Database '!U326</f>
        <v>1</v>
      </c>
      <c r="H145" s="100">
        <f>'Database '!V326</f>
        <v>63601</v>
      </c>
      <c r="I145" s="98"/>
      <c r="J145" s="100"/>
      <c r="K145" s="98">
        <f>'Database '!Y326</f>
        <v>1</v>
      </c>
      <c r="L145" s="100">
        <f>'Database '!Z326</f>
        <v>44000</v>
      </c>
      <c r="M145" s="98"/>
      <c r="N145" s="100"/>
      <c r="O145" s="101">
        <f t="shared" si="8"/>
        <v>4</v>
      </c>
      <c r="P145" s="101">
        <f t="shared" si="9"/>
        <v>60870.75</v>
      </c>
    </row>
    <row r="146" spans="1:16" ht="15">
      <c r="A146" s="53"/>
      <c r="B146" s="99" t="s">
        <v>726</v>
      </c>
      <c r="C146" s="98">
        <f>SUM('Database '!Q327:Q329)</f>
        <v>10</v>
      </c>
      <c r="D146" s="100">
        <v>76186</v>
      </c>
      <c r="E146" s="98">
        <f>SUM('Database '!S327:S329)</f>
        <v>8</v>
      </c>
      <c r="F146" s="100">
        <v>65765.625</v>
      </c>
      <c r="G146" s="98">
        <f>'Database '!U329</f>
        <v>8</v>
      </c>
      <c r="H146" s="100">
        <f>'Database '!V329</f>
        <v>52169</v>
      </c>
      <c r="I146" s="98"/>
      <c r="J146" s="100"/>
      <c r="K146" s="98">
        <f>SUM('Database '!Y327:Y329)</f>
        <v>10</v>
      </c>
      <c r="L146" s="100">
        <v>49579.4</v>
      </c>
      <c r="M146" s="98"/>
      <c r="N146" s="100"/>
      <c r="O146" s="101">
        <f t="shared" si="8"/>
        <v>36</v>
      </c>
      <c r="P146" s="101">
        <f t="shared" si="9"/>
        <v>61142.52777777778</v>
      </c>
    </row>
    <row r="147" spans="1:16" ht="15">
      <c r="A147" s="53"/>
      <c r="B147" s="99" t="s">
        <v>727</v>
      </c>
      <c r="C147" s="98"/>
      <c r="D147" s="100"/>
      <c r="E147" s="98"/>
      <c r="F147" s="100"/>
      <c r="G147" s="98"/>
      <c r="H147" s="100"/>
      <c r="I147" s="98"/>
      <c r="J147" s="100"/>
      <c r="K147" s="98"/>
      <c r="L147" s="100"/>
      <c r="M147" s="98"/>
      <c r="N147" s="100"/>
      <c r="O147" s="101"/>
      <c r="P147" s="101"/>
    </row>
    <row r="148" spans="1:16" ht="15">
      <c r="A148" s="102"/>
      <c r="B148" s="103" t="s">
        <v>728</v>
      </c>
      <c r="C148" s="104"/>
      <c r="D148" s="105"/>
      <c r="E148" s="104"/>
      <c r="F148" s="105"/>
      <c r="G148" s="104"/>
      <c r="H148" s="105"/>
      <c r="I148" s="104"/>
      <c r="J148" s="105"/>
      <c r="K148" s="107"/>
      <c r="L148" s="105"/>
      <c r="M148" s="104"/>
      <c r="N148" s="105"/>
      <c r="O148" s="106"/>
      <c r="P148" s="106"/>
    </row>
    <row r="149" spans="1:16" ht="15">
      <c r="A149" s="115" t="s">
        <v>746</v>
      </c>
      <c r="B149" s="99" t="s">
        <v>721</v>
      </c>
      <c r="C149" s="98">
        <f>SUM('Database '!E390:E391)</f>
        <v>440</v>
      </c>
      <c r="D149" s="100">
        <v>70322.4659090909</v>
      </c>
      <c r="E149" s="98">
        <f>SUM('Database '!G390:G391)</f>
        <v>459</v>
      </c>
      <c r="F149" s="100">
        <v>48334.8954248366</v>
      </c>
      <c r="G149" s="98">
        <f>SUM('Database '!I390:I391)</f>
        <v>346</v>
      </c>
      <c r="H149" s="100">
        <v>40804.9306358382</v>
      </c>
      <c r="I149" s="98">
        <f>SUM('Database '!K390:K391)</f>
        <v>59</v>
      </c>
      <c r="J149" s="100">
        <v>25505.8305084746</v>
      </c>
      <c r="K149" s="98"/>
      <c r="L149" s="100"/>
      <c r="M149" s="98"/>
      <c r="N149" s="100"/>
      <c r="O149" s="101">
        <f>C149+E149+G149+I149+K149+M149</f>
        <v>1304</v>
      </c>
      <c r="P149" s="101">
        <f>IF(O149&gt;0,(C149*D149+E149*F149+G149*H149+I149*J149+K149*L149+M149*N149)/O149,0)</f>
        <v>52723.12269938651</v>
      </c>
    </row>
    <row r="150" spans="1:16" ht="15">
      <c r="A150" s="53"/>
      <c r="B150" s="99" t="s">
        <v>722</v>
      </c>
      <c r="C150" s="98"/>
      <c r="D150" s="100"/>
      <c r="E150" s="98"/>
      <c r="F150" s="100"/>
      <c r="G150" s="98"/>
      <c r="H150" s="100"/>
      <c r="I150" s="98"/>
      <c r="J150" s="100"/>
      <c r="K150" s="98"/>
      <c r="L150" s="100"/>
      <c r="M150" s="98"/>
      <c r="N150" s="100"/>
      <c r="O150" s="101"/>
      <c r="P150" s="101"/>
    </row>
    <row r="151" spans="1:16" ht="15">
      <c r="A151" s="53"/>
      <c r="B151" s="99" t="s">
        <v>723</v>
      </c>
      <c r="C151" s="98">
        <f>'Database '!E392</f>
        <v>115</v>
      </c>
      <c r="D151" s="100">
        <f>'Database '!F392</f>
        <v>55667</v>
      </c>
      <c r="E151" s="98">
        <f>'Database '!G392</f>
        <v>86</v>
      </c>
      <c r="F151" s="100">
        <f>'Database '!H392</f>
        <v>48973</v>
      </c>
      <c r="G151" s="98">
        <f>'Database '!I392</f>
        <v>133</v>
      </c>
      <c r="H151" s="100">
        <f>'Database '!J392</f>
        <v>43610</v>
      </c>
      <c r="I151" s="98">
        <f>'Database '!K392</f>
        <v>45</v>
      </c>
      <c r="J151" s="100">
        <f>'Database '!L392</f>
        <v>35392</v>
      </c>
      <c r="K151" s="98"/>
      <c r="L151" s="100"/>
      <c r="M151" s="98"/>
      <c r="N151" s="100"/>
      <c r="O151" s="101">
        <f>C151+E151+G151+I151+K151+M151</f>
        <v>379</v>
      </c>
      <c r="P151" s="101">
        <f>IF(O151&gt;0,(C151*D151+E151*F151+G151*H151+I151*J151+K151*L151+M151*N151)/O151,0)</f>
        <v>47509.63852242744</v>
      </c>
    </row>
    <row r="152" spans="1:16" ht="15">
      <c r="A152" s="53"/>
      <c r="B152" s="99" t="s">
        <v>724</v>
      </c>
      <c r="C152" s="98">
        <f>SUM('Database '!E393:E394)</f>
        <v>113</v>
      </c>
      <c r="D152" s="100">
        <v>51211.3451327434</v>
      </c>
      <c r="E152" s="98">
        <f>SUM('Database '!G393:G394)</f>
        <v>85</v>
      </c>
      <c r="F152" s="100">
        <v>44030.4117647059</v>
      </c>
      <c r="G152" s="98">
        <f>SUM('Database '!I393:I394)</f>
        <v>147</v>
      </c>
      <c r="H152" s="100">
        <v>38974.8299319728</v>
      </c>
      <c r="I152" s="98">
        <f>SUM('Database '!K393:K394)</f>
        <v>103</v>
      </c>
      <c r="J152" s="100">
        <v>32453.6990291262</v>
      </c>
      <c r="K152" s="98"/>
      <c r="L152" s="100"/>
      <c r="M152" s="98"/>
      <c r="N152" s="100"/>
      <c r="O152" s="101">
        <f>C152+E152+G152+I152+K152+M152</f>
        <v>448</v>
      </c>
      <c r="P152" s="101">
        <f>IF(O152&gt;0,(C152*D152+E152*F152+G152*H152+I152*J152+K152*L152+M152*N152)/O152,0)</f>
        <v>41521.20089285716</v>
      </c>
    </row>
    <row r="153" spans="1:16" ht="15">
      <c r="A153" s="53"/>
      <c r="B153" s="99" t="s">
        <v>725</v>
      </c>
      <c r="C153" s="98">
        <f>SUM('Database '!E395:E398)</f>
        <v>125</v>
      </c>
      <c r="D153" s="100">
        <v>50031.568</v>
      </c>
      <c r="E153" s="98">
        <f>SUM('Database '!G395:G398)</f>
        <v>108</v>
      </c>
      <c r="F153" s="100">
        <v>43136.5555555556</v>
      </c>
      <c r="G153" s="98">
        <f>SUM('Database '!I395:I398)</f>
        <v>206</v>
      </c>
      <c r="H153" s="100">
        <v>37853.1844660194</v>
      </c>
      <c r="I153" s="98">
        <f>SUM('Database '!K395:K398)</f>
        <v>99</v>
      </c>
      <c r="J153" s="100">
        <v>31721.3838383838</v>
      </c>
      <c r="K153" s="98"/>
      <c r="L153" s="100"/>
      <c r="M153" s="98"/>
      <c r="N153" s="100"/>
      <c r="O153" s="101">
        <f>C153+E153+G153+I153+K153+M153</f>
        <v>538</v>
      </c>
      <c r="P153" s="101">
        <f>IF(O153&gt;0,(C153*D153+E153*F153+G153*H153+I153*J153+K153*L153+M153*N153)/O153,0)</f>
        <v>40614.99442379182</v>
      </c>
    </row>
    <row r="154" spans="1:16" ht="15">
      <c r="A154" s="53"/>
      <c r="B154" s="99" t="s">
        <v>726</v>
      </c>
      <c r="C154" s="98">
        <f>SUM('Database '!E399:E401)</f>
        <v>19</v>
      </c>
      <c r="D154" s="100">
        <v>46131.7368421053</v>
      </c>
      <c r="E154" s="98">
        <f>SUM('Database '!G399:G401)</f>
        <v>49</v>
      </c>
      <c r="F154" s="100">
        <v>41154.1224489796</v>
      </c>
      <c r="G154" s="98">
        <f>SUM('Database '!I399:I401)</f>
        <v>66</v>
      </c>
      <c r="H154" s="100">
        <v>34931.3333333333</v>
      </c>
      <c r="I154" s="98">
        <f>SUM('Database '!K399:K401)</f>
        <v>48</v>
      </c>
      <c r="J154" s="100">
        <v>30922.2083333333</v>
      </c>
      <c r="K154" s="98"/>
      <c r="L154" s="100"/>
      <c r="M154" s="98"/>
      <c r="N154" s="100"/>
      <c r="O154" s="101">
        <f>C154+E154+G154+I154+K154+M154</f>
        <v>182</v>
      </c>
      <c r="P154" s="101">
        <f>IF(O154&gt;0,(C154*D154+E154*F154+G154*H154+I154*J154+K154*L154+M154*N154)/O154,0)</f>
        <v>36718.62087912086</v>
      </c>
    </row>
    <row r="155" spans="1:16" ht="15">
      <c r="A155" s="53"/>
      <c r="B155" s="99" t="s">
        <v>727</v>
      </c>
      <c r="C155" s="98"/>
      <c r="D155" s="100"/>
      <c r="E155" s="98"/>
      <c r="F155" s="100"/>
      <c r="G155" s="98"/>
      <c r="H155" s="100"/>
      <c r="I155" s="98"/>
      <c r="J155" s="100"/>
      <c r="K155" s="98"/>
      <c r="L155" s="100"/>
      <c r="M155" s="98">
        <f>SUM('Database '!O402:O416)</f>
        <v>991</v>
      </c>
      <c r="N155" s="100">
        <v>36423.9909182644</v>
      </c>
      <c r="O155" s="101">
        <f>C155+E155+G155+I155+K155+M155</f>
        <v>991</v>
      </c>
      <c r="P155" s="101">
        <f>IF(O155&gt;0,(C155*D155+E155*F155+G155*H155+I155*J155+K155*L155+M155*N155)/O155,0)</f>
        <v>36423.9909182644</v>
      </c>
    </row>
    <row r="156" spans="1:16" ht="15">
      <c r="A156" s="102"/>
      <c r="B156" s="103" t="s">
        <v>728</v>
      </c>
      <c r="C156" s="104"/>
      <c r="D156" s="105"/>
      <c r="E156" s="104"/>
      <c r="F156" s="105"/>
      <c r="G156" s="104"/>
      <c r="H156" s="105"/>
      <c r="I156" s="104"/>
      <c r="J156" s="105"/>
      <c r="K156" s="107"/>
      <c r="L156" s="105"/>
      <c r="M156" s="104"/>
      <c r="N156" s="105"/>
      <c r="O156" s="106"/>
      <c r="P156" s="106"/>
    </row>
    <row r="157" spans="1:16" ht="15">
      <c r="A157" s="115" t="s">
        <v>747</v>
      </c>
      <c r="B157" s="99" t="s">
        <v>721</v>
      </c>
      <c r="C157" s="98">
        <f>SUM('Database '!Q390:Q391)</f>
        <v>130</v>
      </c>
      <c r="D157" s="100">
        <v>88292</v>
      </c>
      <c r="E157" s="98">
        <f>SUM('Database '!S390:S391)</f>
        <v>48</v>
      </c>
      <c r="F157" s="100">
        <v>60943.375</v>
      </c>
      <c r="G157" s="98">
        <f>SUM('Database '!U390:U391)</f>
        <v>21</v>
      </c>
      <c r="H157" s="100">
        <v>40323.2380952381</v>
      </c>
      <c r="I157" s="98">
        <f>SUM('Database '!W390:W391)</f>
        <v>22</v>
      </c>
      <c r="J157" s="100">
        <v>29520.9090909091</v>
      </c>
      <c r="K157" s="98"/>
      <c r="L157" s="100"/>
      <c r="M157" s="98"/>
      <c r="N157" s="100"/>
      <c r="O157" s="101">
        <f>C157+E157+G157+I157+K157+M157</f>
        <v>221</v>
      </c>
      <c r="P157" s="101">
        <f>IF(O157&gt;0,(C157*D157+E157*F157+G157*H157+I157*J157+K157*L157+M157*N157)/O157,0)</f>
        <v>71943.39366515836</v>
      </c>
    </row>
    <row r="158" spans="1:16" ht="15">
      <c r="A158" s="53"/>
      <c r="B158" s="99" t="s">
        <v>722</v>
      </c>
      <c r="C158" s="98"/>
      <c r="D158" s="100"/>
      <c r="E158" s="98"/>
      <c r="F158" s="100"/>
      <c r="G158" s="98"/>
      <c r="H158" s="100"/>
      <c r="I158" s="98"/>
      <c r="J158" s="100"/>
      <c r="K158" s="98"/>
      <c r="L158" s="100"/>
      <c r="M158" s="98"/>
      <c r="N158" s="100"/>
      <c r="O158" s="101"/>
      <c r="P158" s="101"/>
    </row>
    <row r="159" spans="1:16" ht="15">
      <c r="A159" s="53"/>
      <c r="B159" s="99" t="s">
        <v>723</v>
      </c>
      <c r="C159" s="98"/>
      <c r="D159" s="100"/>
      <c r="E159" s="98"/>
      <c r="F159" s="100"/>
      <c r="G159" s="98"/>
      <c r="H159" s="100"/>
      <c r="I159" s="98"/>
      <c r="J159" s="100"/>
      <c r="K159" s="98"/>
      <c r="L159" s="100"/>
      <c r="M159" s="98"/>
      <c r="N159" s="100"/>
      <c r="O159" s="101"/>
      <c r="P159" s="101"/>
    </row>
    <row r="160" spans="1:16" ht="15">
      <c r="A160" s="53"/>
      <c r="B160" s="99" t="s">
        <v>724</v>
      </c>
      <c r="C160" s="98">
        <f>SUM('Database '!Q393:Q394)</f>
        <v>13</v>
      </c>
      <c r="D160" s="100">
        <v>69489</v>
      </c>
      <c r="E160" s="98">
        <f>SUM('Database '!S393:S394)</f>
        <v>7</v>
      </c>
      <c r="F160" s="100">
        <v>57289.7142857143</v>
      </c>
      <c r="G160" s="98">
        <f>SUM('Database '!U393:U394)</f>
        <v>13</v>
      </c>
      <c r="H160" s="100">
        <v>52082.4615384615</v>
      </c>
      <c r="I160" s="98">
        <f>SUM('Database '!W393:W394)</f>
        <v>3</v>
      </c>
      <c r="J160" s="100">
        <v>45200</v>
      </c>
      <c r="K160" s="98"/>
      <c r="L160" s="100"/>
      <c r="M160" s="98"/>
      <c r="N160" s="100"/>
      <c r="O160" s="101">
        <f>C160+E160+G160+I160+K160+M160</f>
        <v>36</v>
      </c>
      <c r="P160" s="101">
        <f>IF(O160&gt;0,(C160*D160+E160*F160+G160*H160+I160*J160+K160*L160+M160*N160)/O160,0)</f>
        <v>58807.138888888876</v>
      </c>
    </row>
    <row r="161" spans="1:16" ht="15">
      <c r="A161" s="53"/>
      <c r="B161" s="99" t="s">
        <v>725</v>
      </c>
      <c r="C161" s="98">
        <f>'Database '!Q396</f>
        <v>1</v>
      </c>
      <c r="D161" s="100">
        <f>'Database '!R396</f>
        <v>69480</v>
      </c>
      <c r="E161" s="98"/>
      <c r="F161" s="100"/>
      <c r="G161" s="98"/>
      <c r="H161" s="100"/>
      <c r="I161" s="98">
        <f>SUM('Database '!W395:W398)</f>
        <v>14</v>
      </c>
      <c r="J161" s="100">
        <v>38242.2857142857</v>
      </c>
      <c r="K161" s="98"/>
      <c r="L161" s="100"/>
      <c r="M161" s="98"/>
      <c r="N161" s="100"/>
      <c r="O161" s="101">
        <f>C161+E161+G161+I161+K161+M161</f>
        <v>15</v>
      </c>
      <c r="P161" s="101">
        <f>IF(O161&gt;0,(C161*D161+E161*F161+G161*H161+I161*J161+K161*L161+M161*N161)/O161,0)</f>
        <v>40324.799999999996</v>
      </c>
    </row>
    <row r="162" spans="1:16" ht="15">
      <c r="A162" s="53"/>
      <c r="B162" s="99" t="s">
        <v>726</v>
      </c>
      <c r="C162" s="98">
        <f>SUM('Database '!Q399:Q401)</f>
        <v>7</v>
      </c>
      <c r="D162" s="100">
        <v>54605.7142857143</v>
      </c>
      <c r="E162" s="98">
        <f>SUM('Database '!S399:S401)</f>
        <v>10</v>
      </c>
      <c r="F162" s="100">
        <v>53347</v>
      </c>
      <c r="G162" s="98">
        <f>SUM('Database '!U399:U401)</f>
        <v>11</v>
      </c>
      <c r="H162" s="100">
        <v>44585.4545454545</v>
      </c>
      <c r="I162" s="98">
        <f>SUM('Database '!W399:W401)</f>
        <v>14</v>
      </c>
      <c r="J162" s="100">
        <v>36572.1428571429</v>
      </c>
      <c r="K162" s="98"/>
      <c r="L162" s="100"/>
      <c r="M162" s="98"/>
      <c r="N162" s="100"/>
      <c r="O162" s="101">
        <f>C162+E162+G162+I162+K162+M162</f>
        <v>42</v>
      </c>
      <c r="P162" s="101">
        <f>IF(O162&gt;0,(C162*D162+E162*F162+G162*H162+I162*J162+K162*L162+M162*N162)/O162,0)</f>
        <v>45670.47619047619</v>
      </c>
    </row>
    <row r="163" spans="1:16" ht="15">
      <c r="A163" s="53"/>
      <c r="B163" s="99" t="s">
        <v>727</v>
      </c>
      <c r="C163" s="98"/>
      <c r="D163" s="100"/>
      <c r="E163" s="98"/>
      <c r="F163" s="100"/>
      <c r="G163" s="98"/>
      <c r="H163" s="100"/>
      <c r="I163" s="98"/>
      <c r="J163" s="100"/>
      <c r="K163" s="98"/>
      <c r="L163" s="100"/>
      <c r="M163" s="98">
        <f>SUM('Database '!AA402:AA416)</f>
        <v>173</v>
      </c>
      <c r="N163" s="100">
        <v>46234.8034682081</v>
      </c>
      <c r="O163" s="101">
        <f>C163+E163+G163+I163+K163+M163</f>
        <v>173</v>
      </c>
      <c r="P163" s="101">
        <f>IF(O163&gt;0,(C163*D163+E163*F163+G163*H163+I163*J163+K163*L163+M163*N163)/O163,0)</f>
        <v>46234.8034682081</v>
      </c>
    </row>
    <row r="164" spans="1:16" ht="15">
      <c r="A164" s="102"/>
      <c r="B164" s="103" t="s">
        <v>728</v>
      </c>
      <c r="C164" s="104"/>
      <c r="D164" s="105"/>
      <c r="E164" s="104"/>
      <c r="F164" s="105"/>
      <c r="G164" s="104"/>
      <c r="H164" s="105"/>
      <c r="I164" s="104"/>
      <c r="J164" s="105"/>
      <c r="K164" s="104"/>
      <c r="L164" s="105"/>
      <c r="M164" s="104"/>
      <c r="N164" s="105"/>
      <c r="O164" s="106"/>
      <c r="P164" s="106"/>
    </row>
    <row r="165" spans="1:16" ht="15">
      <c r="A165" s="98" t="s">
        <v>748</v>
      </c>
      <c r="B165" s="99" t="s">
        <v>721</v>
      </c>
      <c r="C165" s="98">
        <f>'Database '!E417</f>
        <v>349</v>
      </c>
      <c r="D165" s="100">
        <f>'Database '!F417</f>
        <v>70733.4613180516</v>
      </c>
      <c r="E165" s="98">
        <f>'Database '!G417</f>
        <v>313</v>
      </c>
      <c r="F165" s="100">
        <f>'Database '!H417</f>
        <v>52369.1853035144</v>
      </c>
      <c r="G165" s="98">
        <f>'Database '!I417</f>
        <v>184</v>
      </c>
      <c r="H165" s="100">
        <f>'Database '!J417</f>
        <v>43509.847826087</v>
      </c>
      <c r="I165" s="98">
        <f>'Database '!K417</f>
        <v>49</v>
      </c>
      <c r="J165" s="100">
        <f>'Database '!L417</f>
        <v>32213.1632653061</v>
      </c>
      <c r="K165" s="98">
        <f>'Database '!M417</f>
        <v>16</v>
      </c>
      <c r="L165" s="100">
        <f>'Database '!N417</f>
        <v>34019.875</v>
      </c>
      <c r="M165" s="98"/>
      <c r="N165" s="100"/>
      <c r="O165" s="101">
        <f aca="true" t="shared" si="10" ref="O165:O171">C165+E165+G165+I165+K165+M165</f>
        <v>911</v>
      </c>
      <c r="P165" s="101">
        <f aca="true" t="shared" si="11" ref="P165:P171">IF(O165&gt;0,(C165*D165+E165*F165+G165*H165+I165*J165+K165*L165+M165*N165)/O165,0)</f>
        <v>56208.68057080134</v>
      </c>
    </row>
    <row r="166" spans="1:16" ht="15">
      <c r="A166" s="53"/>
      <c r="B166" s="99" t="s">
        <v>722</v>
      </c>
      <c r="C166" s="98">
        <f>'Database '!E418</f>
        <v>320</v>
      </c>
      <c r="D166" s="100">
        <f>'Database '!F418</f>
        <v>69888.6375</v>
      </c>
      <c r="E166" s="98">
        <f>'Database '!G418</f>
        <v>228</v>
      </c>
      <c r="F166" s="100">
        <f>'Database '!H418</f>
        <v>51783.9385964912</v>
      </c>
      <c r="G166" s="98">
        <f>'Database '!I418</f>
        <v>142</v>
      </c>
      <c r="H166" s="100">
        <f>'Database '!J418</f>
        <v>42226.1549295775</v>
      </c>
      <c r="I166" s="98">
        <f>'Database '!K418</f>
        <v>48</v>
      </c>
      <c r="J166" s="100">
        <f>'Database '!L418</f>
        <v>24921</v>
      </c>
      <c r="K166" s="98">
        <f>'Database '!M418</f>
        <v>53</v>
      </c>
      <c r="L166" s="100">
        <f>'Database '!N418</f>
        <v>34260.358490566</v>
      </c>
      <c r="M166" s="98"/>
      <c r="N166" s="100"/>
      <c r="O166" s="101">
        <f t="shared" si="10"/>
        <v>791</v>
      </c>
      <c r="P166" s="101">
        <f t="shared" si="11"/>
        <v>54588.145385587864</v>
      </c>
    </row>
    <row r="167" spans="1:16" ht="15">
      <c r="A167" s="53"/>
      <c r="B167" s="99" t="s">
        <v>723</v>
      </c>
      <c r="C167" s="98">
        <f>'Database '!E419</f>
        <v>72</v>
      </c>
      <c r="D167" s="100">
        <f>'Database '!F419</f>
        <v>52314.6666666667</v>
      </c>
      <c r="E167" s="98">
        <f>'Database '!G419</f>
        <v>82</v>
      </c>
      <c r="F167" s="100">
        <f>'Database '!H419</f>
        <v>43003.3658536585</v>
      </c>
      <c r="G167" s="98">
        <f>'Database '!I419</f>
        <v>63</v>
      </c>
      <c r="H167" s="100">
        <f>'Database '!J419</f>
        <v>37497.9682539683</v>
      </c>
      <c r="I167" s="98">
        <f>'Database '!K419</f>
        <v>22</v>
      </c>
      <c r="J167" s="100">
        <f>'Database '!L419</f>
        <v>29295.0454545455</v>
      </c>
      <c r="K167" s="98"/>
      <c r="L167" s="100"/>
      <c r="M167" s="98"/>
      <c r="N167" s="100"/>
      <c r="O167" s="101">
        <f t="shared" si="10"/>
        <v>239</v>
      </c>
      <c r="P167" s="101">
        <f t="shared" si="11"/>
        <v>43095.376569037675</v>
      </c>
    </row>
    <row r="168" spans="1:18" ht="15">
      <c r="A168" s="53"/>
      <c r="B168" s="99" t="s">
        <v>724</v>
      </c>
      <c r="C168" s="98">
        <f>SUM('Database '!E420:E421)</f>
        <v>131</v>
      </c>
      <c r="D168" s="100">
        <v>56014.0381679389</v>
      </c>
      <c r="E168" s="98">
        <f>SUM('Database '!G420:G421)</f>
        <v>146</v>
      </c>
      <c r="F168" s="100">
        <v>46232.4863013698</v>
      </c>
      <c r="G168" s="98">
        <f>SUM('Database '!I420:I421)</f>
        <v>162</v>
      </c>
      <c r="H168" s="100">
        <v>37240.1234567901</v>
      </c>
      <c r="I168" s="98">
        <f>SUM('Database '!K420:K421)</f>
        <v>54</v>
      </c>
      <c r="J168" s="100">
        <v>20264.1851851852</v>
      </c>
      <c r="K168" s="98"/>
      <c r="L168" s="100"/>
      <c r="M168" s="98"/>
      <c r="N168" s="100"/>
      <c r="O168" s="101">
        <f t="shared" si="10"/>
        <v>493</v>
      </c>
      <c r="P168" s="101">
        <f t="shared" si="11"/>
        <v>43032.3488843813</v>
      </c>
      <c r="Q168" s="111"/>
      <c r="R168" s="111"/>
    </row>
    <row r="169" spans="1:16" ht="15">
      <c r="A169" s="53"/>
      <c r="B169" s="99" t="s">
        <v>725</v>
      </c>
      <c r="C169" s="98">
        <f>SUM('Database '!E422:E423)</f>
        <v>109</v>
      </c>
      <c r="D169" s="100">
        <v>52796.4587155963</v>
      </c>
      <c r="E169" s="98">
        <f>SUM('Database '!G422:G423)</f>
        <v>93</v>
      </c>
      <c r="F169" s="100">
        <v>44635.3548387097</v>
      </c>
      <c r="G169" s="98">
        <f>SUM('Database '!I422:I423)</f>
        <v>109</v>
      </c>
      <c r="H169" s="100">
        <v>38194.0366972477</v>
      </c>
      <c r="I169" s="98">
        <f>SUM('Database '!K422:K423)</f>
        <v>36</v>
      </c>
      <c r="J169" s="100">
        <v>30270.3333333333</v>
      </c>
      <c r="K169" s="98"/>
      <c r="L169" s="100"/>
      <c r="M169" s="98"/>
      <c r="N169" s="100"/>
      <c r="O169" s="101">
        <f t="shared" si="10"/>
        <v>347</v>
      </c>
      <c r="P169" s="101">
        <f t="shared" si="11"/>
        <v>43685.25648414985</v>
      </c>
    </row>
    <row r="170" spans="1:16" ht="15">
      <c r="A170" s="53"/>
      <c r="B170" s="99" t="s">
        <v>726</v>
      </c>
      <c r="C170" s="98">
        <f>SUM('Database '!E424:E427)</f>
        <v>141</v>
      </c>
      <c r="D170" s="100">
        <v>52173.3475177305</v>
      </c>
      <c r="E170" s="98">
        <f>SUM('Database '!G424:G427)</f>
        <v>153</v>
      </c>
      <c r="F170" s="100">
        <v>42974.6209150327</v>
      </c>
      <c r="G170" s="98">
        <f>SUM('Database '!I424:I427)</f>
        <v>134</v>
      </c>
      <c r="H170" s="100">
        <v>38321.328358209</v>
      </c>
      <c r="I170" s="98">
        <f>SUM('Database '!K424:K427)</f>
        <v>66</v>
      </c>
      <c r="J170" s="100">
        <v>30320.1515151515</v>
      </c>
      <c r="K170" s="98">
        <f>SUM('Database '!M424:M427)</f>
        <v>6</v>
      </c>
      <c r="L170" s="100">
        <v>33111.8333333333</v>
      </c>
      <c r="M170" s="98"/>
      <c r="N170" s="100"/>
      <c r="O170" s="101">
        <f t="shared" si="10"/>
        <v>500</v>
      </c>
      <c r="P170" s="101">
        <f t="shared" si="11"/>
        <v>42532.836000000025</v>
      </c>
    </row>
    <row r="171" spans="1:16" ht="15">
      <c r="A171" s="53"/>
      <c r="B171" s="99" t="s">
        <v>727</v>
      </c>
      <c r="C171" s="98">
        <f>SUM('Database '!E428:E448)</f>
        <v>41</v>
      </c>
      <c r="D171" s="100">
        <v>48323.6829268293</v>
      </c>
      <c r="E171" s="98">
        <f>SUM('Database '!G428:G448)</f>
        <v>33</v>
      </c>
      <c r="F171" s="100">
        <v>39693.3636363636</v>
      </c>
      <c r="G171" s="98">
        <f>SUM('Database '!I428:I448)</f>
        <v>22</v>
      </c>
      <c r="H171" s="100">
        <v>33211.0454545455</v>
      </c>
      <c r="I171" s="98">
        <f>SUM('Database '!K428:K448)</f>
        <v>554</v>
      </c>
      <c r="J171" s="100">
        <v>32028.0722021661</v>
      </c>
      <c r="K171" s="98">
        <f>SUM('Database '!M428:M448)</f>
        <v>914</v>
      </c>
      <c r="L171" s="100">
        <v>33798.9179431072</v>
      </c>
      <c r="M171" s="98"/>
      <c r="N171" s="100"/>
      <c r="O171" s="101">
        <f t="shared" si="10"/>
        <v>1564</v>
      </c>
      <c r="P171" s="101">
        <f t="shared" si="11"/>
        <v>33668.51534526854</v>
      </c>
    </row>
    <row r="172" spans="1:16" ht="15">
      <c r="A172" s="102"/>
      <c r="B172" s="103" t="s">
        <v>728</v>
      </c>
      <c r="C172" s="104"/>
      <c r="D172" s="105"/>
      <c r="E172" s="104"/>
      <c r="F172" s="105"/>
      <c r="G172" s="104"/>
      <c r="H172" s="105"/>
      <c r="I172" s="104"/>
      <c r="J172" s="105"/>
      <c r="K172" s="107"/>
      <c r="L172" s="105"/>
      <c r="M172" s="104"/>
      <c r="N172" s="105"/>
      <c r="O172" s="106"/>
      <c r="P172" s="106"/>
    </row>
    <row r="173" spans="1:16" ht="15">
      <c r="A173" s="98" t="s">
        <v>749</v>
      </c>
      <c r="B173" s="99" t="s">
        <v>721</v>
      </c>
      <c r="C173" s="98">
        <f>'Database '!Q417</f>
        <v>50</v>
      </c>
      <c r="D173" s="100">
        <f>'Database '!R417</f>
        <v>86284.46</v>
      </c>
      <c r="E173" s="98">
        <f>'Database '!S417</f>
        <v>27</v>
      </c>
      <c r="F173" s="100">
        <f>'Database '!T417</f>
        <v>70464.3703703704</v>
      </c>
      <c r="G173" s="98">
        <f>'Database '!U417</f>
        <v>8</v>
      </c>
      <c r="H173" s="100">
        <f>'Database '!V417</f>
        <v>49530.75</v>
      </c>
      <c r="I173" s="98">
        <f>'Database '!W417</f>
        <v>16</v>
      </c>
      <c r="J173" s="100">
        <f>'Database '!X417</f>
        <v>41599.5</v>
      </c>
      <c r="K173" s="98">
        <f>'Database '!Y417</f>
        <v>20</v>
      </c>
      <c r="L173" s="100">
        <f>'Database '!Z417</f>
        <v>56736.8</v>
      </c>
      <c r="M173" s="98"/>
      <c r="N173" s="100"/>
      <c r="O173" s="101">
        <f aca="true" t="shared" si="12" ref="O173:O179">C173+E173+G173+I173+K173+M173</f>
        <v>121</v>
      </c>
      <c r="P173" s="101">
        <f aca="true" t="shared" si="13" ref="P173:P179">IF(O173&gt;0,(C173*D173+E173*F173+G173*H173+I173*J173+K173*L173+M173*N173)/O173,0)</f>
        <v>69531.69421487603</v>
      </c>
    </row>
    <row r="174" spans="1:16" ht="15">
      <c r="A174" s="53"/>
      <c r="B174" s="99" t="s">
        <v>722</v>
      </c>
      <c r="C174" s="98">
        <f>'Database '!Q418</f>
        <v>48</v>
      </c>
      <c r="D174" s="100">
        <f>'Database '!R418</f>
        <v>75635.1666666667</v>
      </c>
      <c r="E174" s="98">
        <f>'Database '!S418</f>
        <v>9</v>
      </c>
      <c r="F174" s="100">
        <f>'Database '!T418</f>
        <v>53816</v>
      </c>
      <c r="G174" s="98">
        <f>'Database '!U418</f>
        <v>5</v>
      </c>
      <c r="H174" s="100">
        <f>'Database '!V418</f>
        <v>43352.2</v>
      </c>
      <c r="I174" s="98"/>
      <c r="J174" s="100"/>
      <c r="K174" s="98">
        <f>'Database '!Y418</f>
        <v>12</v>
      </c>
      <c r="L174" s="100">
        <f>'Database '!Z418</f>
        <v>51169.9166666667</v>
      </c>
      <c r="M174" s="98"/>
      <c r="N174" s="100"/>
      <c r="O174" s="101">
        <f t="shared" si="12"/>
        <v>74</v>
      </c>
      <c r="P174" s="101">
        <f t="shared" si="13"/>
        <v>66832.8648648649</v>
      </c>
    </row>
    <row r="175" spans="1:16" ht="15">
      <c r="A175" s="53"/>
      <c r="B175" s="99" t="s">
        <v>723</v>
      </c>
      <c r="C175" s="98">
        <f>'Database '!Q419</f>
        <v>3</v>
      </c>
      <c r="D175" s="100">
        <f>'Database '!R419</f>
        <v>56415</v>
      </c>
      <c r="E175" s="98">
        <f>'Database '!S419</f>
        <v>1</v>
      </c>
      <c r="F175" s="100">
        <f>'Database '!T419</f>
        <v>39796</v>
      </c>
      <c r="G175" s="98">
        <f>'Database '!U419</f>
        <v>1</v>
      </c>
      <c r="H175" s="100">
        <f>'Database '!V419</f>
        <v>52666</v>
      </c>
      <c r="I175" s="98"/>
      <c r="J175" s="100"/>
      <c r="K175" s="98"/>
      <c r="L175" s="100"/>
      <c r="M175" s="98"/>
      <c r="N175" s="100"/>
      <c r="O175" s="101">
        <f t="shared" si="12"/>
        <v>5</v>
      </c>
      <c r="P175" s="101">
        <f t="shared" si="13"/>
        <v>52341.4</v>
      </c>
    </row>
    <row r="176" spans="1:16" ht="15">
      <c r="A176" s="53"/>
      <c r="B176" s="99" t="s">
        <v>724</v>
      </c>
      <c r="C176" s="98">
        <f>SUM('Database '!Q420:Q421)</f>
        <v>25</v>
      </c>
      <c r="D176" s="100">
        <v>70325.4</v>
      </c>
      <c r="E176" s="98">
        <f>SUM('Database '!S420:S421)</f>
        <v>9</v>
      </c>
      <c r="F176" s="100">
        <v>59244.3333333333</v>
      </c>
      <c r="G176" s="98">
        <f>SUM('Database '!U420:U421)</f>
        <v>1</v>
      </c>
      <c r="H176" s="100">
        <v>46691</v>
      </c>
      <c r="I176" s="98"/>
      <c r="J176" s="100"/>
      <c r="K176" s="98"/>
      <c r="L176" s="100"/>
      <c r="M176" s="98"/>
      <c r="N176" s="100"/>
      <c r="O176" s="101">
        <f t="shared" si="12"/>
        <v>35</v>
      </c>
      <c r="P176" s="101">
        <f t="shared" si="13"/>
        <v>66800.71428571428</v>
      </c>
    </row>
    <row r="177" spans="1:16" ht="15">
      <c r="A177" s="53"/>
      <c r="B177" s="99" t="s">
        <v>725</v>
      </c>
      <c r="C177" s="98">
        <f>SUM('Database '!Q422:Q423)</f>
        <v>20</v>
      </c>
      <c r="D177" s="100">
        <v>69014.25</v>
      </c>
      <c r="E177" s="98">
        <f>SUM('Database '!S422:S423)</f>
        <v>13</v>
      </c>
      <c r="F177" s="100">
        <v>59681.6153846154</v>
      </c>
      <c r="G177" s="98">
        <f>SUM('Database '!U422:U423)</f>
        <v>6</v>
      </c>
      <c r="H177" s="100">
        <v>49771.5</v>
      </c>
      <c r="I177" s="98">
        <f>SUM('Database '!W422:W423)</f>
        <v>10</v>
      </c>
      <c r="J177" s="100">
        <v>37369.3</v>
      </c>
      <c r="K177" s="98"/>
      <c r="L177" s="100"/>
      <c r="M177" s="98"/>
      <c r="N177" s="100"/>
      <c r="O177" s="101">
        <f t="shared" si="12"/>
        <v>49</v>
      </c>
      <c r="P177" s="101">
        <f t="shared" si="13"/>
        <v>57723.836734693876</v>
      </c>
    </row>
    <row r="178" spans="1:16" ht="15">
      <c r="A178" s="53"/>
      <c r="B178" s="99" t="s">
        <v>726</v>
      </c>
      <c r="C178" s="98">
        <f>SUM('Database '!Q424:Q427)</f>
        <v>25</v>
      </c>
      <c r="D178" s="100">
        <v>71311.12</v>
      </c>
      <c r="E178" s="98">
        <f>SUM('Database '!S424:S427)</f>
        <v>15</v>
      </c>
      <c r="F178" s="100">
        <v>57598.3333333333</v>
      </c>
      <c r="G178" s="98">
        <f>SUM('Database '!U424:U427)</f>
        <v>5</v>
      </c>
      <c r="H178" s="100">
        <v>51264.4</v>
      </c>
      <c r="I178" s="98">
        <f>SUM('Database '!W424:W427)</f>
        <v>3</v>
      </c>
      <c r="J178" s="100">
        <v>30190.6666666667</v>
      </c>
      <c r="K178" s="98">
        <f>SUM('Database '!Y424:Y427)</f>
        <v>2</v>
      </c>
      <c r="L178" s="100">
        <v>37307</v>
      </c>
      <c r="M178" s="98"/>
      <c r="N178" s="100"/>
      <c r="O178" s="101">
        <f t="shared" si="12"/>
        <v>50</v>
      </c>
      <c r="P178" s="101">
        <f t="shared" si="13"/>
        <v>61365.219999999994</v>
      </c>
    </row>
    <row r="179" spans="1:16" ht="15">
      <c r="A179" s="53"/>
      <c r="B179" s="99" t="s">
        <v>727</v>
      </c>
      <c r="C179" s="98">
        <f>SUM('Database '!Q428:Q448)</f>
        <v>4</v>
      </c>
      <c r="D179" s="100">
        <v>68978.5</v>
      </c>
      <c r="E179" s="98">
        <f>SUM('Database '!S428:S448)</f>
        <v>7</v>
      </c>
      <c r="F179" s="100">
        <v>52157.1428571429</v>
      </c>
      <c r="G179" s="98">
        <f>SUM('Database '!U428:U448)</f>
        <v>3</v>
      </c>
      <c r="H179" s="100">
        <v>50306</v>
      </c>
      <c r="I179" s="98">
        <f>SUM('Database '!W428:W448)</f>
        <v>8</v>
      </c>
      <c r="J179" s="100">
        <v>34730.5</v>
      </c>
      <c r="K179" s="98">
        <f>SUM('Database '!Y428:Y448)</f>
        <v>1</v>
      </c>
      <c r="L179" s="100">
        <v>37391</v>
      </c>
      <c r="M179" s="98"/>
      <c r="N179" s="100"/>
      <c r="O179" s="101">
        <f t="shared" si="12"/>
        <v>23</v>
      </c>
      <c r="P179" s="101">
        <f t="shared" si="13"/>
        <v>48137.69565217393</v>
      </c>
    </row>
    <row r="180" spans="1:16" ht="15">
      <c r="A180" s="102"/>
      <c r="B180" s="103" t="s">
        <v>728</v>
      </c>
      <c r="C180" s="104"/>
      <c r="D180" s="105"/>
      <c r="E180" s="104"/>
      <c r="F180" s="105"/>
      <c r="G180" s="104"/>
      <c r="H180" s="105"/>
      <c r="I180" s="104"/>
      <c r="J180" s="105"/>
      <c r="K180" s="107"/>
      <c r="L180" s="105"/>
      <c r="M180" s="104"/>
      <c r="N180" s="105"/>
      <c r="O180" s="106"/>
      <c r="P180" s="106"/>
    </row>
    <row r="181" spans="1:16" ht="15">
      <c r="A181" s="98" t="s">
        <v>750</v>
      </c>
      <c r="B181" s="99" t="s">
        <v>721</v>
      </c>
      <c r="C181" s="98">
        <f>'Database '!E449</f>
        <v>500</v>
      </c>
      <c r="D181" s="100">
        <f>'Database '!F449</f>
        <v>66824</v>
      </c>
      <c r="E181" s="98">
        <f>'Database '!G449</f>
        <v>282</v>
      </c>
      <c r="F181" s="100">
        <f>'Database '!H449</f>
        <v>52582</v>
      </c>
      <c r="G181" s="98">
        <f>'Database '!I449</f>
        <v>171</v>
      </c>
      <c r="H181" s="100">
        <f>'Database '!J449</f>
        <v>42827</v>
      </c>
      <c r="I181" s="98">
        <f>'Database '!K449</f>
        <v>47</v>
      </c>
      <c r="J181" s="100">
        <f>'Database '!L449</f>
        <v>28098</v>
      </c>
      <c r="K181" s="98">
        <f>'Database '!M449</f>
        <v>6</v>
      </c>
      <c r="L181" s="100">
        <f>'Database '!N449</f>
        <v>39788</v>
      </c>
      <c r="M181" s="98"/>
      <c r="N181" s="100"/>
      <c r="O181" s="101">
        <f>C181+E181+G181+I181+K181+M181</f>
        <v>1006</v>
      </c>
      <c r="P181" s="101">
        <f>IF(O181&gt;0,(C181*D181+E181*F181+G181*H181+I181*J181+K181*L181+M181*N181)/O181,0)</f>
        <v>56782.18190854871</v>
      </c>
    </row>
    <row r="182" spans="1:16" ht="15">
      <c r="A182" s="53"/>
      <c r="B182" s="99" t="s">
        <v>722</v>
      </c>
      <c r="C182" s="98">
        <f>'Database '!E450</f>
        <v>253</v>
      </c>
      <c r="D182" s="100">
        <f>'Database '!F450</f>
        <v>63188</v>
      </c>
      <c r="E182" s="98">
        <f>'Database '!G450</f>
        <v>207</v>
      </c>
      <c r="F182" s="100">
        <f>'Database '!H450</f>
        <v>47547</v>
      </c>
      <c r="G182" s="98">
        <f>'Database '!I450</f>
        <v>150</v>
      </c>
      <c r="H182" s="100">
        <f>'Database '!J450</f>
        <v>40269</v>
      </c>
      <c r="I182" s="98">
        <f>'Database '!K450</f>
        <v>46</v>
      </c>
      <c r="J182" s="100">
        <f>'Database '!L450</f>
        <v>26257</v>
      </c>
      <c r="K182" s="98">
        <f>'Database '!M450</f>
        <v>3</v>
      </c>
      <c r="L182" s="100">
        <f>'Database '!N450</f>
        <v>19342</v>
      </c>
      <c r="M182" s="98"/>
      <c r="N182" s="100"/>
      <c r="O182" s="101">
        <f>C182+E182+G182+I182+K182+M182</f>
        <v>659</v>
      </c>
      <c r="P182" s="101">
        <f>IF(O182&gt;0,(C182*D182+E182*F182+G182*H182+I182*J182+K182*L182+M182*N182)/O182,0)</f>
        <v>50280.71471927162</v>
      </c>
    </row>
    <row r="183" spans="1:16" ht="15">
      <c r="A183" s="53"/>
      <c r="B183" s="99" t="s">
        <v>723</v>
      </c>
      <c r="C183" s="98">
        <f>SUM('Database '!E451:E453)</f>
        <v>434</v>
      </c>
      <c r="D183" s="100">
        <v>58768.9723502304</v>
      </c>
      <c r="E183" s="98">
        <f>SUM('Database '!G451:G453)</f>
        <v>351</v>
      </c>
      <c r="F183" s="100">
        <v>47454.3874643875</v>
      </c>
      <c r="G183" s="98">
        <f>SUM('Database '!I451:I453)</f>
        <v>415</v>
      </c>
      <c r="H183" s="100">
        <v>38985.0024096386</v>
      </c>
      <c r="I183" s="98">
        <f>SUM('Database '!K451:K453)</f>
        <v>126</v>
      </c>
      <c r="J183" s="100">
        <v>31749.6666666667</v>
      </c>
      <c r="K183" s="98"/>
      <c r="L183" s="100"/>
      <c r="M183" s="98"/>
      <c r="N183" s="100"/>
      <c r="O183" s="101">
        <f>C183+E183+G183+I183+K183+M183</f>
        <v>1326</v>
      </c>
      <c r="P183" s="101">
        <f>IF(O183&gt;0,(C183*D183+E183*F183+G183*H183+I183*J183+K183*L183+M183*N183)/O183,0)</f>
        <v>47014.674208144825</v>
      </c>
    </row>
    <row r="184" spans="1:16" ht="15">
      <c r="A184" s="53"/>
      <c r="B184" s="99" t="s">
        <v>724</v>
      </c>
      <c r="C184" s="98">
        <f>SUM('Database '!E454:E456)</f>
        <v>365</v>
      </c>
      <c r="D184" s="100">
        <v>57484.0082191781</v>
      </c>
      <c r="E184" s="98">
        <f>SUM('Database '!G454:G456)</f>
        <v>232</v>
      </c>
      <c r="F184" s="100">
        <v>44088.9827586207</v>
      </c>
      <c r="G184" s="98">
        <f>SUM('Database '!I454:I456)</f>
        <v>245</v>
      </c>
      <c r="H184" s="100">
        <v>34213.4693877551</v>
      </c>
      <c r="I184" s="98">
        <f>SUM('Database '!K454:K456)</f>
        <v>43</v>
      </c>
      <c r="J184" s="100">
        <v>28303.976744186</v>
      </c>
      <c r="K184" s="98"/>
      <c r="L184" s="100"/>
      <c r="M184" s="98"/>
      <c r="N184" s="100"/>
      <c r="O184" s="101">
        <f>C184+E184+G184+I184+K184+M184</f>
        <v>885</v>
      </c>
      <c r="P184" s="101">
        <f>IF(O184&gt;0,(C184*D184+E184*F184+G184*H184+I184*J184+K184*L184+M184*N184)/O184,0)</f>
        <v>46112.63050847458</v>
      </c>
    </row>
    <row r="185" spans="1:16" ht="15">
      <c r="A185" s="53"/>
      <c r="B185" s="99" t="s">
        <v>725</v>
      </c>
      <c r="C185" s="98">
        <f>'Database '!E457</f>
        <v>88</v>
      </c>
      <c r="D185" s="100">
        <f>'Database '!F457</f>
        <v>53625</v>
      </c>
      <c r="E185" s="98">
        <f>'Database '!G457</f>
        <v>48</v>
      </c>
      <c r="F185" s="100">
        <f>'Database '!H457</f>
        <v>42947</v>
      </c>
      <c r="G185" s="98">
        <f>'Database '!I457</f>
        <v>51</v>
      </c>
      <c r="H185" s="100">
        <f>'Database '!J457</f>
        <v>36258</v>
      </c>
      <c r="I185" s="98">
        <f>'Database '!K457</f>
        <v>23</v>
      </c>
      <c r="J185" s="100">
        <f>'Database '!L457</f>
        <v>31356</v>
      </c>
      <c r="K185" s="98"/>
      <c r="L185" s="100"/>
      <c r="M185" s="98"/>
      <c r="N185" s="100"/>
      <c r="O185" s="101">
        <f>C185+E185+G185+I185+K185+M185</f>
        <v>210</v>
      </c>
      <c r="P185" s="101">
        <f>IF(O185&gt;0,(C185*D185+E185*F185+G185*H185+I185*J185+K185*L185+M185*N185)/O185,0)</f>
        <v>44527.62857142857</v>
      </c>
    </row>
    <row r="186" spans="1:16" ht="15">
      <c r="A186" s="53"/>
      <c r="B186" s="99" t="s">
        <v>726</v>
      </c>
      <c r="C186" s="98"/>
      <c r="D186" s="100"/>
      <c r="E186" s="98"/>
      <c r="F186" s="100"/>
      <c r="G186" s="98"/>
      <c r="H186" s="100"/>
      <c r="I186" s="98"/>
      <c r="J186" s="100"/>
      <c r="K186" s="98"/>
      <c r="L186" s="100"/>
      <c r="M186" s="98"/>
      <c r="N186" s="100"/>
      <c r="O186" s="101"/>
      <c r="P186" s="101"/>
    </row>
    <row r="187" spans="1:16" ht="15">
      <c r="A187" s="53"/>
      <c r="B187" s="99" t="s">
        <v>727</v>
      </c>
      <c r="C187" s="98">
        <f>SUM('Database '!E458:E471)</f>
        <v>129</v>
      </c>
      <c r="D187" s="100">
        <v>47042.8372093023</v>
      </c>
      <c r="E187" s="98">
        <f>SUM('Database '!G458:G471)</f>
        <v>579</v>
      </c>
      <c r="F187" s="100">
        <v>39179.0051813472</v>
      </c>
      <c r="G187" s="98">
        <f>SUM('Database '!I458:I471)</f>
        <v>308</v>
      </c>
      <c r="H187" s="100">
        <v>32366.9025974026</v>
      </c>
      <c r="I187" s="98">
        <f>SUM('Database '!K458:K471)</f>
        <v>246</v>
      </c>
      <c r="J187" s="100">
        <v>29006.2926829268</v>
      </c>
      <c r="K187" s="98"/>
      <c r="L187" s="100"/>
      <c r="M187" s="98">
        <f>SUM('Database '!O458:O471)</f>
        <v>71</v>
      </c>
      <c r="N187" s="100">
        <v>38054</v>
      </c>
      <c r="O187" s="101">
        <f>C187+E187+G187+I187+K187+M187</f>
        <v>1333</v>
      </c>
      <c r="P187" s="101">
        <f>IF(O187&gt;0,(C187*D187+E187*F187+G187*H187+I187*J187+K187*L187+M187*N187)/O187,0)</f>
        <v>36428.7756939235</v>
      </c>
    </row>
    <row r="188" spans="1:16" ht="15">
      <c r="A188" s="102"/>
      <c r="B188" s="103" t="s">
        <v>728</v>
      </c>
      <c r="C188" s="104"/>
      <c r="D188" s="105"/>
      <c r="E188" s="104"/>
      <c r="F188" s="105"/>
      <c r="G188" s="104"/>
      <c r="H188" s="105"/>
      <c r="I188" s="104"/>
      <c r="J188" s="105"/>
      <c r="K188" s="104"/>
      <c r="L188" s="105"/>
      <c r="M188" s="104"/>
      <c r="N188" s="105"/>
      <c r="O188" s="106"/>
      <c r="P188" s="106"/>
    </row>
    <row r="189" spans="1:16" ht="15">
      <c r="A189" s="98" t="s">
        <v>751</v>
      </c>
      <c r="B189" s="99" t="s">
        <v>721</v>
      </c>
      <c r="C189" s="98">
        <f>'Database '!Q449</f>
        <v>36</v>
      </c>
      <c r="D189" s="100">
        <f>'Database '!R449</f>
        <v>103247</v>
      </c>
      <c r="E189" s="98">
        <f>'Database '!S449</f>
        <v>22</v>
      </c>
      <c r="F189" s="100">
        <f>'Database '!T449</f>
        <v>58870</v>
      </c>
      <c r="G189" s="98">
        <f>'Database '!U449</f>
        <v>6</v>
      </c>
      <c r="H189" s="100">
        <f>'Database '!V449</f>
        <v>49207</v>
      </c>
      <c r="I189" s="98">
        <f>'Database '!W449</f>
        <v>8</v>
      </c>
      <c r="J189" s="100">
        <f>'Database '!X449</f>
        <v>35550</v>
      </c>
      <c r="K189" s="98">
        <f>'Database '!Y449</f>
        <v>1</v>
      </c>
      <c r="L189" s="100">
        <f>'Database '!Z449</f>
        <v>39048</v>
      </c>
      <c r="M189" s="98"/>
      <c r="N189" s="100"/>
      <c r="O189" s="101">
        <f>C189+E189+G189+I189+K189+M189</f>
        <v>73</v>
      </c>
      <c r="P189" s="101">
        <f>IF(O189&gt;0,(C189*D189+E189*F189+G189*H189+I189*J189+K189*L189+M189*N189)/O189,0)</f>
        <v>77133.17808219178</v>
      </c>
    </row>
    <row r="190" spans="1:16" ht="15">
      <c r="A190" s="53"/>
      <c r="B190" s="99" t="s">
        <v>722</v>
      </c>
      <c r="C190" s="98">
        <f>'Database '!Q450</f>
        <v>17</v>
      </c>
      <c r="D190" s="100">
        <f>'Database '!R450</f>
        <v>93669</v>
      </c>
      <c r="E190" s="98">
        <f>'Database '!S450</f>
        <v>9</v>
      </c>
      <c r="F190" s="100">
        <f>'Database '!T450</f>
        <v>56697</v>
      </c>
      <c r="G190" s="98">
        <f>'Database '!U450</f>
        <v>7</v>
      </c>
      <c r="H190" s="100">
        <f>'Database '!V450</f>
        <v>40602</v>
      </c>
      <c r="I190" s="98">
        <f>'Database '!W450</f>
        <v>9</v>
      </c>
      <c r="J190" s="100">
        <f>'Database '!X450</f>
        <v>39331</v>
      </c>
      <c r="K190" s="98">
        <f>'Database '!Y450</f>
        <v>1</v>
      </c>
      <c r="L190" s="100">
        <f>'Database '!Z450</f>
        <v>63060</v>
      </c>
      <c r="M190" s="98"/>
      <c r="N190" s="100"/>
      <c r="O190" s="101">
        <f>C190+E190+G190+I190+K190+M190</f>
        <v>43</v>
      </c>
      <c r="P190" s="101">
        <f>IF(O190&gt;0,(C190*D190+E190*F190+G190*H190+I190*J190+K190*L190+M190*N190)/O190,0)</f>
        <v>65206.95348837209</v>
      </c>
    </row>
    <row r="191" spans="1:16" ht="15">
      <c r="A191" s="53"/>
      <c r="B191" s="99" t="s">
        <v>723</v>
      </c>
      <c r="C191" s="98">
        <f>SUM('Database '!Q451:Q453)</f>
        <v>27</v>
      </c>
      <c r="D191" s="100">
        <v>72112.5925925926</v>
      </c>
      <c r="E191" s="98">
        <f>SUM('Database '!S451:S453)</f>
        <v>30</v>
      </c>
      <c r="F191" s="100">
        <v>54426.2333333333</v>
      </c>
      <c r="G191" s="98">
        <f>SUM('Database '!U451:U453)</f>
        <v>73</v>
      </c>
      <c r="H191" s="100">
        <v>44985.1232876712</v>
      </c>
      <c r="I191" s="98">
        <f>SUM('Database '!W451:W453)</f>
        <v>32</v>
      </c>
      <c r="J191" s="100">
        <v>34396.59375</v>
      </c>
      <c r="K191" s="98"/>
      <c r="L191" s="100"/>
      <c r="M191" s="98"/>
      <c r="N191" s="100"/>
      <c r="O191" s="101">
        <f>C191+E191+G191+I191+K191+M191</f>
        <v>162</v>
      </c>
      <c r="P191" s="101">
        <f>IF(O191&gt;0,(C191*D191+E191*F191+G191*H191+I191*J191+K191*L191+M191*N191)/O191,0)</f>
        <v>49163.160493827134</v>
      </c>
    </row>
    <row r="192" spans="1:16" ht="15">
      <c r="A192" s="53"/>
      <c r="B192" s="99" t="s">
        <v>724</v>
      </c>
      <c r="C192" s="98">
        <f>SUM('Database '!Q454:Q456)</f>
        <v>9</v>
      </c>
      <c r="D192" s="100">
        <v>59651.6666666667</v>
      </c>
      <c r="E192" s="98">
        <f>SUM('Database '!S454:S456)</f>
        <v>9</v>
      </c>
      <c r="F192" s="100">
        <v>53066</v>
      </c>
      <c r="G192" s="98">
        <f>SUM('Database '!U454:U456)</f>
        <v>2</v>
      </c>
      <c r="H192" s="100">
        <v>45194</v>
      </c>
      <c r="I192" s="98">
        <f>SUM('Database '!W454:W456)</f>
        <v>5</v>
      </c>
      <c r="J192" s="100">
        <v>33453.6</v>
      </c>
      <c r="K192" s="98"/>
      <c r="L192" s="100"/>
      <c r="M192" s="98"/>
      <c r="N192" s="100"/>
      <c r="O192" s="101">
        <f>C192+E192+G192+I192+K192+M192</f>
        <v>25</v>
      </c>
      <c r="P192" s="101">
        <f>IF(O192&gt;0,(C192*D192+E192*F192+G192*H192+I192*J192+K192*L192+M192*N192)/O192,0)</f>
        <v>50884.60000000002</v>
      </c>
    </row>
    <row r="193" spans="1:16" ht="15">
      <c r="A193" s="53"/>
      <c r="B193" s="99" t="s">
        <v>725</v>
      </c>
      <c r="C193" s="98">
        <f>'Database '!Q457</f>
        <v>14</v>
      </c>
      <c r="D193" s="100">
        <f>'Database '!R457</f>
        <v>66251</v>
      </c>
      <c r="E193" s="98">
        <f>'Database '!S457</f>
        <v>4</v>
      </c>
      <c r="F193" s="100">
        <f>'Database '!T457</f>
        <v>54717</v>
      </c>
      <c r="G193" s="98">
        <f>'Database '!U457</f>
        <v>3</v>
      </c>
      <c r="H193" s="100">
        <f>'Database '!V457</f>
        <v>45730</v>
      </c>
      <c r="I193" s="98">
        <f>'Database '!W457</f>
        <v>1</v>
      </c>
      <c r="J193" s="100">
        <f>'Database '!X457</f>
        <v>37470</v>
      </c>
      <c r="K193" s="98"/>
      <c r="L193" s="100"/>
      <c r="M193" s="98"/>
      <c r="N193" s="100"/>
      <c r="O193" s="101">
        <f>C193+E193+G193+I193+K193+M193</f>
        <v>22</v>
      </c>
      <c r="P193" s="101">
        <f>IF(O193&gt;0,(C193*D193+E193*F193+G193*H193+I193*J193+K193*L193+M193*N193)/O193,0)</f>
        <v>60047.36363636364</v>
      </c>
    </row>
    <row r="194" spans="1:16" ht="15">
      <c r="A194" s="53"/>
      <c r="B194" s="99" t="s">
        <v>726</v>
      </c>
      <c r="C194" s="98"/>
      <c r="D194" s="100"/>
      <c r="E194" s="98"/>
      <c r="F194" s="100"/>
      <c r="G194" s="98"/>
      <c r="H194" s="100"/>
      <c r="I194" s="98"/>
      <c r="J194" s="100"/>
      <c r="K194" s="98"/>
      <c r="L194" s="100"/>
      <c r="M194" s="98"/>
      <c r="N194" s="100"/>
      <c r="O194" s="101"/>
      <c r="P194" s="101"/>
    </row>
    <row r="195" spans="1:16" ht="15">
      <c r="A195" s="53"/>
      <c r="B195" s="99" t="s">
        <v>727</v>
      </c>
      <c r="C195" s="98">
        <f>SUM('Database '!Q458:Q471)</f>
        <v>37</v>
      </c>
      <c r="D195" s="100">
        <v>58902.027027027</v>
      </c>
      <c r="E195" s="98">
        <f>SUM('Database '!S458:S471)</f>
        <v>101</v>
      </c>
      <c r="F195" s="100">
        <v>48862.3564356436</v>
      </c>
      <c r="G195" s="98">
        <f>SUM('Database '!U458:U471)</f>
        <v>57</v>
      </c>
      <c r="H195" s="100">
        <v>43861.9298245614</v>
      </c>
      <c r="I195" s="98">
        <f>SUM('Database '!W458:W471)</f>
        <v>56</v>
      </c>
      <c r="J195" s="100">
        <v>36193.75</v>
      </c>
      <c r="K195" s="98"/>
      <c r="L195" s="100"/>
      <c r="M195" s="98"/>
      <c r="N195" s="100"/>
      <c r="O195" s="101">
        <f aca="true" t="shared" si="14" ref="O195:O203">C195+E195+G195+I195+K195+M195</f>
        <v>251</v>
      </c>
      <c r="P195" s="101">
        <f aca="true" t="shared" si="15" ref="P195:P203">IF(O195&gt;0,(C195*D195+E195*F195+G195*H195+I195*J195+K195*L195+M195*N195)/O195,0)</f>
        <v>46380.290836653396</v>
      </c>
    </row>
    <row r="196" spans="1:16" ht="15">
      <c r="A196" s="102"/>
      <c r="B196" s="103" t="s">
        <v>728</v>
      </c>
      <c r="C196" s="104"/>
      <c r="D196" s="105"/>
      <c r="E196" s="104"/>
      <c r="F196" s="105"/>
      <c r="G196" s="104"/>
      <c r="H196" s="105"/>
      <c r="I196" s="104"/>
      <c r="J196" s="105"/>
      <c r="K196" s="104"/>
      <c r="L196" s="105"/>
      <c r="M196" s="104">
        <f>SUM('Database '!AA472:AA498)</f>
        <v>286</v>
      </c>
      <c r="N196" s="105">
        <v>31224.3041958042</v>
      </c>
      <c r="O196" s="106">
        <f t="shared" si="14"/>
        <v>286</v>
      </c>
      <c r="P196" s="106">
        <f t="shared" si="15"/>
        <v>31224.3041958042</v>
      </c>
    </row>
    <row r="197" spans="1:16" ht="15">
      <c r="A197" s="98" t="s">
        <v>752</v>
      </c>
      <c r="B197" s="99" t="s">
        <v>721</v>
      </c>
      <c r="C197" s="98">
        <f>SUM('Database '!E499:E503)</f>
        <v>2506</v>
      </c>
      <c r="D197" s="100">
        <v>76634.9776536313</v>
      </c>
      <c r="E197" s="98">
        <f>SUM('Database '!G499:G503)</f>
        <v>1651</v>
      </c>
      <c r="F197" s="100">
        <v>52288.0557238038</v>
      </c>
      <c r="G197" s="98">
        <f>SUM('Database '!I499:I503)</f>
        <v>1249</v>
      </c>
      <c r="H197" s="100">
        <v>45524.7870296237</v>
      </c>
      <c r="I197" s="98">
        <f>SUM('Database '!K499:K503)</f>
        <v>56</v>
      </c>
      <c r="J197" s="100">
        <v>36040.7321428571</v>
      </c>
      <c r="K197" s="98">
        <f>SUM('Database '!M499:M503)</f>
        <v>714</v>
      </c>
      <c r="L197" s="100">
        <v>36326.8795518207</v>
      </c>
      <c r="M197" s="98"/>
      <c r="N197" s="100"/>
      <c r="O197" s="101">
        <f t="shared" si="14"/>
        <v>6176</v>
      </c>
      <c r="P197" s="101">
        <f t="shared" si="15"/>
        <v>58806.827396373075</v>
      </c>
    </row>
    <row r="198" spans="1:16" ht="15">
      <c r="A198" s="53"/>
      <c r="B198" s="99" t="s">
        <v>722</v>
      </c>
      <c r="C198" s="98">
        <f>SUM('Database '!E504:E506)</f>
        <v>410</v>
      </c>
      <c r="D198" s="100">
        <v>67057.7878048781</v>
      </c>
      <c r="E198" s="98">
        <f>SUM('Database '!G504:G506)</f>
        <v>374</v>
      </c>
      <c r="F198" s="100">
        <v>49887.2673796791</v>
      </c>
      <c r="G198" s="98">
        <f>SUM('Database '!I504:I506)</f>
        <v>340</v>
      </c>
      <c r="H198" s="100">
        <v>42600.7205882353</v>
      </c>
      <c r="I198" s="98">
        <f>SUM('Database '!K504:K506)</f>
        <v>38</v>
      </c>
      <c r="J198" s="100">
        <v>32276.0263157895</v>
      </c>
      <c r="K198" s="98">
        <f>SUM('Database '!M504:M506)</f>
        <v>85</v>
      </c>
      <c r="L198" s="100">
        <v>32082.7411764706</v>
      </c>
      <c r="M198" s="98"/>
      <c r="N198" s="100"/>
      <c r="O198" s="101">
        <f t="shared" si="14"/>
        <v>1247</v>
      </c>
      <c r="P198" s="101">
        <f t="shared" si="15"/>
        <v>51795.74819566961</v>
      </c>
    </row>
    <row r="199" spans="1:16" ht="15">
      <c r="A199" s="53"/>
      <c r="B199" s="99" t="s">
        <v>723</v>
      </c>
      <c r="C199" s="98">
        <f>SUM('Database '!E507:E522)</f>
        <v>1395</v>
      </c>
      <c r="D199" s="100">
        <v>55772.3498207885</v>
      </c>
      <c r="E199" s="98">
        <f>SUM('Database '!G507:G522)</f>
        <v>1307</v>
      </c>
      <c r="F199" s="100">
        <v>46644.6296863045</v>
      </c>
      <c r="G199" s="98">
        <f>SUM('Database '!I507:I522)</f>
        <v>1332</v>
      </c>
      <c r="H199" s="100">
        <v>38575.8220720721</v>
      </c>
      <c r="I199" s="98">
        <f>SUM('Database '!K507:K522)</f>
        <v>434</v>
      </c>
      <c r="J199" s="100">
        <v>32054.7695852535</v>
      </c>
      <c r="K199" s="98">
        <f>SUM('Database '!M507:M522)</f>
        <v>476</v>
      </c>
      <c r="L199" s="100">
        <v>27863.6869747899</v>
      </c>
      <c r="M199" s="98"/>
      <c r="N199" s="100"/>
      <c r="O199" s="101">
        <f t="shared" si="14"/>
        <v>4944</v>
      </c>
      <c r="P199" s="101">
        <f t="shared" si="15"/>
        <v>43957.289441747576</v>
      </c>
    </row>
    <row r="200" spans="1:16" ht="15">
      <c r="A200" s="53"/>
      <c r="B200" s="99" t="s">
        <v>724</v>
      </c>
      <c r="C200" s="98">
        <f>SUM('Database '!E523:E527)</f>
        <v>182</v>
      </c>
      <c r="D200" s="100">
        <v>53145.8681318681</v>
      </c>
      <c r="E200" s="98">
        <f>SUM('Database '!G523:G527)</f>
        <v>180</v>
      </c>
      <c r="F200" s="100">
        <v>46246.4555555556</v>
      </c>
      <c r="G200" s="98">
        <f>SUM('Database '!I523:I527)</f>
        <v>254</v>
      </c>
      <c r="H200" s="100">
        <v>39155.4173228346</v>
      </c>
      <c r="I200" s="98">
        <f>SUM('Database '!K523:K527)</f>
        <v>129</v>
      </c>
      <c r="J200" s="100">
        <v>31043.007751938</v>
      </c>
      <c r="K200" s="98">
        <f>SUM('Database '!M523:M527)</f>
        <v>50</v>
      </c>
      <c r="L200" s="100">
        <v>28532.8</v>
      </c>
      <c r="M200" s="98"/>
      <c r="N200" s="100"/>
      <c r="O200" s="101">
        <f t="shared" si="14"/>
        <v>795</v>
      </c>
      <c r="P200" s="101">
        <f t="shared" si="15"/>
        <v>41979.33836477986</v>
      </c>
    </row>
    <row r="201" spans="1:16" ht="15">
      <c r="A201" s="53"/>
      <c r="B201" s="99" t="s">
        <v>725</v>
      </c>
      <c r="C201" s="98">
        <f>SUM('Database '!E528:E531)</f>
        <v>58</v>
      </c>
      <c r="D201" s="100">
        <v>52823.0172413793</v>
      </c>
      <c r="E201" s="98">
        <f>SUM('Database '!G528:G531)</f>
        <v>72</v>
      </c>
      <c r="F201" s="100">
        <v>46830.3888888889</v>
      </c>
      <c r="G201" s="98">
        <f>SUM('Database '!I528:I531)</f>
        <v>100</v>
      </c>
      <c r="H201" s="100">
        <v>40242.94</v>
      </c>
      <c r="I201" s="98">
        <f>SUM('Database '!K528:K531)</f>
        <v>4</v>
      </c>
      <c r="J201" s="100">
        <v>34532</v>
      </c>
      <c r="K201" s="98">
        <f>SUM('Database '!M528:M531)</f>
        <v>61</v>
      </c>
      <c r="L201" s="100">
        <v>34887</v>
      </c>
      <c r="M201" s="98"/>
      <c r="N201" s="100"/>
      <c r="O201" s="101">
        <f t="shared" si="14"/>
        <v>295</v>
      </c>
      <c r="P201" s="101">
        <f t="shared" si="15"/>
        <v>43139.1593220339</v>
      </c>
    </row>
    <row r="202" spans="1:16" ht="15">
      <c r="A202" s="53"/>
      <c r="B202" s="99" t="s">
        <v>726</v>
      </c>
      <c r="C202" s="98">
        <f>SUM('Database '!E532:E533)</f>
        <v>31</v>
      </c>
      <c r="D202" s="100">
        <v>58191.2258064516</v>
      </c>
      <c r="E202" s="98">
        <f>SUM('Database '!G532:G533)</f>
        <v>72</v>
      </c>
      <c r="F202" s="100">
        <v>45435.7222222222</v>
      </c>
      <c r="G202" s="98">
        <f>SUM('Database '!I532:I533)</f>
        <v>63</v>
      </c>
      <c r="H202" s="100">
        <v>38275.5873015873</v>
      </c>
      <c r="I202" s="98">
        <f>SUM('Database '!K532:K533)</f>
        <v>1</v>
      </c>
      <c r="J202" s="100">
        <v>32371</v>
      </c>
      <c r="K202" s="98">
        <f>SUM('Database '!M532:M533)</f>
        <v>63</v>
      </c>
      <c r="L202" s="100">
        <v>31883.8095238095</v>
      </c>
      <c r="M202" s="98"/>
      <c r="N202" s="100"/>
      <c r="O202" s="101">
        <f t="shared" si="14"/>
        <v>230</v>
      </c>
      <c r="P202" s="101">
        <f t="shared" si="15"/>
        <v>41424.83913043477</v>
      </c>
    </row>
    <row r="203" spans="1:16" ht="15">
      <c r="A203" s="53"/>
      <c r="B203" s="99" t="s">
        <v>727</v>
      </c>
      <c r="C203" s="98"/>
      <c r="D203" s="100"/>
      <c r="E203" s="98"/>
      <c r="F203" s="100"/>
      <c r="G203" s="98"/>
      <c r="H203" s="100"/>
      <c r="I203" s="116"/>
      <c r="J203" s="116"/>
      <c r="K203" s="98"/>
      <c r="L203" s="100"/>
      <c r="M203" s="98">
        <f>SUM('Database '!O534:O601)</f>
        <v>8147</v>
      </c>
      <c r="N203" s="100">
        <v>38275.6404811587</v>
      </c>
      <c r="O203" s="101">
        <f t="shared" si="14"/>
        <v>8147</v>
      </c>
      <c r="P203" s="101">
        <f t="shared" si="15"/>
        <v>38275.6404811587</v>
      </c>
    </row>
    <row r="204" spans="1:16" ht="15">
      <c r="A204" s="102"/>
      <c r="B204" s="103" t="s">
        <v>728</v>
      </c>
      <c r="C204" s="104"/>
      <c r="D204" s="105"/>
      <c r="E204" s="104"/>
      <c r="F204" s="105"/>
      <c r="G204" s="104"/>
      <c r="H204" s="105"/>
      <c r="I204" s="104"/>
      <c r="J204" s="105"/>
      <c r="K204" s="104"/>
      <c r="L204" s="105"/>
      <c r="M204" s="104"/>
      <c r="N204" s="105"/>
      <c r="O204" s="106"/>
      <c r="P204" s="106"/>
    </row>
    <row r="205" spans="1:16" ht="15">
      <c r="A205" s="98" t="s">
        <v>753</v>
      </c>
      <c r="B205" s="99" t="s">
        <v>721</v>
      </c>
      <c r="C205" s="98"/>
      <c r="D205" s="100"/>
      <c r="E205" s="98"/>
      <c r="F205" s="100"/>
      <c r="G205" s="98"/>
      <c r="H205" s="100"/>
      <c r="I205" s="98"/>
      <c r="J205" s="100"/>
      <c r="K205" s="98"/>
      <c r="L205" s="100"/>
      <c r="M205" s="98"/>
      <c r="N205" s="100"/>
      <c r="O205" s="101"/>
      <c r="P205" s="101"/>
    </row>
    <row r="206" spans="1:16" ht="15">
      <c r="A206" s="53"/>
      <c r="B206" s="99" t="s">
        <v>722</v>
      </c>
      <c r="C206" s="98"/>
      <c r="D206" s="100"/>
      <c r="E206" s="98"/>
      <c r="F206" s="100"/>
      <c r="G206" s="98"/>
      <c r="H206" s="100"/>
      <c r="I206" s="98"/>
      <c r="J206" s="100"/>
      <c r="K206" s="98"/>
      <c r="L206" s="100"/>
      <c r="M206" s="98"/>
      <c r="N206" s="100"/>
      <c r="O206" s="101"/>
      <c r="P206" s="101"/>
    </row>
    <row r="207" spans="1:16" ht="15">
      <c r="A207" s="53"/>
      <c r="B207" s="99" t="s">
        <v>723</v>
      </c>
      <c r="C207" s="98"/>
      <c r="D207" s="100"/>
      <c r="E207" s="98"/>
      <c r="F207" s="100"/>
      <c r="G207" s="98"/>
      <c r="H207" s="100"/>
      <c r="I207" s="98"/>
      <c r="J207" s="100"/>
      <c r="K207" s="98"/>
      <c r="L207" s="100"/>
      <c r="M207" s="98"/>
      <c r="N207" s="100"/>
      <c r="O207" s="101"/>
      <c r="P207" s="101"/>
    </row>
    <row r="208" spans="1:16" ht="15">
      <c r="A208" s="53"/>
      <c r="B208" s="99" t="s">
        <v>724</v>
      </c>
      <c r="C208" s="98"/>
      <c r="D208" s="100"/>
      <c r="E208" s="98"/>
      <c r="F208" s="100"/>
      <c r="G208" s="98"/>
      <c r="H208" s="100"/>
      <c r="I208" s="98"/>
      <c r="J208" s="100"/>
      <c r="K208" s="98"/>
      <c r="L208" s="100"/>
      <c r="M208" s="98"/>
      <c r="N208" s="100"/>
      <c r="O208" s="101"/>
      <c r="P208" s="101"/>
    </row>
    <row r="209" spans="1:16" ht="15">
      <c r="A209" s="53"/>
      <c r="B209" s="99" t="s">
        <v>725</v>
      </c>
      <c r="C209" s="98"/>
      <c r="D209" s="100"/>
      <c r="E209" s="98"/>
      <c r="F209" s="100"/>
      <c r="G209" s="98"/>
      <c r="H209" s="100"/>
      <c r="I209" s="98"/>
      <c r="J209" s="100"/>
      <c r="K209" s="98"/>
      <c r="L209" s="100"/>
      <c r="M209" s="98"/>
      <c r="N209" s="100"/>
      <c r="O209" s="101"/>
      <c r="P209" s="101"/>
    </row>
    <row r="210" spans="1:16" ht="15">
      <c r="A210" s="53"/>
      <c r="B210" s="99" t="s">
        <v>726</v>
      </c>
      <c r="C210" s="98"/>
      <c r="D210" s="100"/>
      <c r="E210" s="98"/>
      <c r="F210" s="100"/>
      <c r="G210" s="98"/>
      <c r="H210" s="100"/>
      <c r="I210" s="98"/>
      <c r="J210" s="100"/>
      <c r="K210" s="98"/>
      <c r="L210" s="100"/>
      <c r="M210" s="98"/>
      <c r="N210" s="100"/>
      <c r="O210" s="101"/>
      <c r="P210" s="101"/>
    </row>
    <row r="211" spans="1:16" ht="15">
      <c r="A211" s="53"/>
      <c r="B211" s="99" t="s">
        <v>727</v>
      </c>
      <c r="C211" s="98"/>
      <c r="D211" s="100"/>
      <c r="E211" s="98"/>
      <c r="F211" s="100"/>
      <c r="G211" s="98"/>
      <c r="H211" s="100"/>
      <c r="I211" s="98"/>
      <c r="J211" s="100"/>
      <c r="K211" s="98"/>
      <c r="L211" s="100"/>
      <c r="M211" s="98"/>
      <c r="N211" s="100"/>
      <c r="O211" s="101"/>
      <c r="P211" s="101"/>
    </row>
    <row r="212" spans="1:16" ht="15">
      <c r="A212" s="102"/>
      <c r="B212" s="103" t="s">
        <v>728</v>
      </c>
      <c r="C212" s="104"/>
      <c r="D212" s="105"/>
      <c r="E212" s="104"/>
      <c r="F212" s="105"/>
      <c r="G212" s="104"/>
      <c r="H212" s="105"/>
      <c r="I212" s="104"/>
      <c r="J212" s="105"/>
      <c r="K212" s="107"/>
      <c r="L212" s="105"/>
      <c r="M212" s="104"/>
      <c r="N212" s="105"/>
      <c r="O212" s="106"/>
      <c r="P212" s="106"/>
    </row>
    <row r="213" spans="1:16" ht="15">
      <c r="A213" s="98" t="s">
        <v>754</v>
      </c>
      <c r="B213" s="99" t="s">
        <v>721</v>
      </c>
      <c r="C213" s="98">
        <f>SUM('Database '!E602:E603)</f>
        <v>703</v>
      </c>
      <c r="D213" s="100">
        <v>78043.4310099573</v>
      </c>
      <c r="E213" s="98">
        <f>SUM('Database '!G602:G603)</f>
        <v>564</v>
      </c>
      <c r="F213" s="100">
        <v>55339.6595744681</v>
      </c>
      <c r="G213" s="98">
        <f>SUM('Database '!I602:I603)</f>
        <v>401</v>
      </c>
      <c r="H213" s="100">
        <v>47086.608478803</v>
      </c>
      <c r="I213" s="98">
        <f>SUM('Database '!K602:K603)</f>
        <v>93</v>
      </c>
      <c r="J213" s="100">
        <v>28906.9677419355</v>
      </c>
      <c r="K213" s="98">
        <f>SUM('Database '!M602:M603)</f>
        <v>24</v>
      </c>
      <c r="L213" s="100">
        <v>42050</v>
      </c>
      <c r="M213" s="98"/>
      <c r="N213" s="100"/>
      <c r="O213" s="101">
        <f aca="true" t="shared" si="16" ref="O213:O219">C213+E213+G213+I213+K213+M213</f>
        <v>1785</v>
      </c>
      <c r="P213" s="101">
        <f aca="true" t="shared" si="17" ref="P213:P219">IF(O213&gt;0,(C213*D213+E213*F213+G213*H213+I213*J213+K213*L213+M213*N213)/O213,0)</f>
        <v>60871.360224089636</v>
      </c>
    </row>
    <row r="214" spans="1:16" ht="15">
      <c r="A214" s="53"/>
      <c r="B214" s="99" t="s">
        <v>722</v>
      </c>
      <c r="C214" s="98">
        <f>SUM('Database '!E604:E607)</f>
        <v>700</v>
      </c>
      <c r="D214" s="100">
        <v>74609.6685714286</v>
      </c>
      <c r="E214" s="98">
        <f>SUM('Database '!G604:G607)</f>
        <v>781</v>
      </c>
      <c r="F214" s="100">
        <v>54684.1306017926</v>
      </c>
      <c r="G214" s="98">
        <f>SUM('Database '!I604:I607)</f>
        <v>514</v>
      </c>
      <c r="H214" s="100">
        <v>43927.3151750973</v>
      </c>
      <c r="I214" s="98">
        <f>SUM('Database '!K604:K607)</f>
        <v>134</v>
      </c>
      <c r="J214" s="100">
        <v>35125.0074626866</v>
      </c>
      <c r="K214" s="98">
        <f>SUM('Database '!M604:M607)</f>
        <v>49</v>
      </c>
      <c r="L214" s="100">
        <v>35026.8367346939</v>
      </c>
      <c r="M214" s="98"/>
      <c r="N214" s="100"/>
      <c r="O214" s="101">
        <f t="shared" si="16"/>
        <v>2178</v>
      </c>
      <c r="P214" s="101">
        <f t="shared" si="17"/>
        <v>56903.93939393942</v>
      </c>
    </row>
    <row r="215" spans="1:16" ht="15">
      <c r="A215" s="53"/>
      <c r="B215" s="99" t="s">
        <v>723</v>
      </c>
      <c r="C215" s="98">
        <f>SUM('Database '!E608:E609)</f>
        <v>320</v>
      </c>
      <c r="D215" s="100">
        <v>56595.078125</v>
      </c>
      <c r="E215" s="98">
        <f>SUM('Database '!G608:G609)</f>
        <v>285</v>
      </c>
      <c r="F215" s="100">
        <v>48023.1228070175</v>
      </c>
      <c r="G215" s="98">
        <f>SUM('Database '!I608:I609)</f>
        <v>236</v>
      </c>
      <c r="H215" s="100">
        <v>40002.5423728814</v>
      </c>
      <c r="I215" s="98">
        <f>SUM('Database '!K608:K609)</f>
        <v>61</v>
      </c>
      <c r="J215" s="100">
        <v>31154.4262295082</v>
      </c>
      <c r="K215" s="98"/>
      <c r="L215" s="100"/>
      <c r="M215" s="98"/>
      <c r="N215" s="100"/>
      <c r="O215" s="101">
        <f t="shared" si="16"/>
        <v>902</v>
      </c>
      <c r="P215" s="101">
        <f t="shared" si="17"/>
        <v>47824.87250554323</v>
      </c>
    </row>
    <row r="216" spans="1:20" ht="15">
      <c r="A216" s="53"/>
      <c r="B216" s="99" t="s">
        <v>724</v>
      </c>
      <c r="C216" s="98">
        <f>SUM('Database '!E610:E611)</f>
        <v>105</v>
      </c>
      <c r="D216" s="100">
        <v>55382.0095238095</v>
      </c>
      <c r="E216" s="98">
        <f>SUM('Database '!G610:G611)</f>
        <v>105</v>
      </c>
      <c r="F216" s="100">
        <v>49313.8952380952</v>
      </c>
      <c r="G216" s="98">
        <f>SUM('Database '!I610:I611)</f>
        <v>163</v>
      </c>
      <c r="H216" s="100">
        <v>41008.3435582822</v>
      </c>
      <c r="I216" s="98">
        <f>SUM('Database '!K610:K611)</f>
        <v>47</v>
      </c>
      <c r="J216" s="100">
        <v>33161.6382978723</v>
      </c>
      <c r="K216" s="98">
        <f>SUM('Database '!M610:M611)</f>
        <v>1</v>
      </c>
      <c r="L216" s="100">
        <v>23500</v>
      </c>
      <c r="M216" s="98"/>
      <c r="N216" s="100"/>
      <c r="O216" s="101">
        <f t="shared" si="16"/>
        <v>421</v>
      </c>
      <c r="P216" s="101">
        <f t="shared" si="17"/>
        <v>45747.09501187646</v>
      </c>
      <c r="Q216" s="111"/>
      <c r="R216" s="111"/>
      <c r="S216" s="111"/>
      <c r="T216" s="111"/>
    </row>
    <row r="217" spans="1:16" ht="15">
      <c r="A217" s="53"/>
      <c r="B217" s="99" t="s">
        <v>725</v>
      </c>
      <c r="C217" s="98">
        <f>'Database '!E612</f>
        <v>42</v>
      </c>
      <c r="D217" s="100">
        <f>'Database '!F612</f>
        <v>58591</v>
      </c>
      <c r="E217" s="98">
        <f>'Database '!G612</f>
        <v>56</v>
      </c>
      <c r="F217" s="100">
        <f>'Database '!H612</f>
        <v>47602</v>
      </c>
      <c r="G217" s="98">
        <f>'Database '!I612</f>
        <v>46</v>
      </c>
      <c r="H217" s="100">
        <f>'Database '!J612</f>
        <v>39677</v>
      </c>
      <c r="I217" s="98">
        <f>'Database '!K612</f>
        <v>14</v>
      </c>
      <c r="J217" s="100">
        <f>'Database '!L612</f>
        <v>33008</v>
      </c>
      <c r="K217" s="98"/>
      <c r="L217" s="100"/>
      <c r="M217" s="98"/>
      <c r="N217" s="100"/>
      <c r="O217" s="101">
        <f t="shared" si="16"/>
        <v>158</v>
      </c>
      <c r="P217" s="101">
        <f t="shared" si="17"/>
        <v>46922.70886075949</v>
      </c>
    </row>
    <row r="218" spans="1:16" ht="15">
      <c r="A218" s="53"/>
      <c r="B218" s="99" t="s">
        <v>726</v>
      </c>
      <c r="C218" s="98">
        <f>SUM('Database '!E613:E615)</f>
        <v>128</v>
      </c>
      <c r="D218" s="100">
        <v>57422.0546875</v>
      </c>
      <c r="E218" s="98">
        <f>SUM('Database '!G613:G615)</f>
        <v>99</v>
      </c>
      <c r="F218" s="100">
        <v>47749.404040404</v>
      </c>
      <c r="G218" s="98">
        <f>SUM('Database '!I613:I615)</f>
        <v>132</v>
      </c>
      <c r="H218" s="100">
        <v>39128.5757575758</v>
      </c>
      <c r="I218" s="98">
        <f>SUM('Database '!K613:K615)</f>
        <v>17</v>
      </c>
      <c r="J218" s="100">
        <v>34098.8235294118</v>
      </c>
      <c r="K218" s="98">
        <f>SUM('Database '!M613:M615)</f>
        <v>18</v>
      </c>
      <c r="L218" s="100">
        <v>32857</v>
      </c>
      <c r="M218" s="98"/>
      <c r="N218" s="100"/>
      <c r="O218" s="101">
        <f t="shared" si="16"/>
        <v>394</v>
      </c>
      <c r="P218" s="101">
        <f t="shared" si="17"/>
        <v>46734.243654822334</v>
      </c>
    </row>
    <row r="219" spans="1:16" ht="15">
      <c r="A219" s="53"/>
      <c r="B219" s="99" t="s">
        <v>727</v>
      </c>
      <c r="C219" s="98">
        <f>SUM('Database '!E616:E617)</f>
        <v>415</v>
      </c>
      <c r="D219" s="100">
        <v>47389.7951807229</v>
      </c>
      <c r="E219" s="98">
        <f>SUM('Database '!G616:G617)</f>
        <v>665</v>
      </c>
      <c r="F219" s="100">
        <v>42058.2135338346</v>
      </c>
      <c r="G219" s="98">
        <f>SUM('Database '!I616:I617)</f>
        <v>549</v>
      </c>
      <c r="H219" s="100">
        <v>37012.2677595628</v>
      </c>
      <c r="I219" s="98">
        <f>SUM('Database '!K616:K617)</f>
        <v>215</v>
      </c>
      <c r="J219" s="100">
        <v>32520.8046511628</v>
      </c>
      <c r="K219" s="98">
        <f>SUM('Database '!M616:M617)</f>
        <v>2</v>
      </c>
      <c r="L219" s="100">
        <v>26950</v>
      </c>
      <c r="M219" s="98"/>
      <c r="N219" s="100"/>
      <c r="O219" s="101">
        <f t="shared" si="16"/>
        <v>1846</v>
      </c>
      <c r="P219" s="101">
        <f t="shared" si="17"/>
        <v>40628.97345612134</v>
      </c>
    </row>
    <row r="220" spans="1:16" ht="15">
      <c r="A220" s="102"/>
      <c r="B220" s="103" t="s">
        <v>728</v>
      </c>
      <c r="C220" s="104"/>
      <c r="D220" s="105"/>
      <c r="E220" s="104"/>
      <c r="F220" s="105"/>
      <c r="G220" s="104"/>
      <c r="H220" s="105"/>
      <c r="I220" s="104"/>
      <c r="J220" s="105"/>
      <c r="K220" s="107"/>
      <c r="L220" s="105"/>
      <c r="M220" s="104"/>
      <c r="N220" s="105"/>
      <c r="O220" s="106"/>
      <c r="P220" s="106"/>
    </row>
    <row r="221" spans="1:16" ht="15">
      <c r="A221" s="98" t="s">
        <v>755</v>
      </c>
      <c r="B221" s="99" t="s">
        <v>721</v>
      </c>
      <c r="C221" s="98">
        <f>SUM('Database '!Q602:Q603)</f>
        <v>369</v>
      </c>
      <c r="D221" s="100">
        <v>98939.1056910569</v>
      </c>
      <c r="E221" s="98">
        <f>SUM('Database '!S602:S603)</f>
        <v>196</v>
      </c>
      <c r="F221" s="100">
        <v>65740.0918367347</v>
      </c>
      <c r="G221" s="98">
        <f>SUM('Database '!U602:U603)</f>
        <v>52</v>
      </c>
      <c r="H221" s="100">
        <v>53378.7692307692</v>
      </c>
      <c r="I221" s="98">
        <f>SUM('Database '!W602:W603)</f>
        <v>12</v>
      </c>
      <c r="J221" s="100">
        <v>47920</v>
      </c>
      <c r="K221" s="98">
        <f>SUM('Database '!Y602:Y603)</f>
        <v>25</v>
      </c>
      <c r="L221" s="100">
        <v>49711</v>
      </c>
      <c r="M221" s="98"/>
      <c r="N221" s="100"/>
      <c r="O221" s="101">
        <f>C221+E221+G221+I221+K221+M221</f>
        <v>654</v>
      </c>
      <c r="P221" s="101">
        <f>IF(O221&gt;0,(C221*D221+E221*F221+G221*H221+I221*J221+K221*L221+M221*N221)/O221,0)</f>
        <v>82549.08103975536</v>
      </c>
    </row>
    <row r="222" spans="1:16" ht="15">
      <c r="A222" s="53"/>
      <c r="B222" s="99" t="s">
        <v>722</v>
      </c>
      <c r="C222" s="98">
        <f>SUM('Database '!Q604:Q607)</f>
        <v>128</v>
      </c>
      <c r="D222" s="100">
        <v>94520.0078125</v>
      </c>
      <c r="E222" s="98">
        <f>SUM('Database '!S604:S607)</f>
        <v>149</v>
      </c>
      <c r="F222" s="100">
        <v>72390.644295302</v>
      </c>
      <c r="G222" s="98">
        <f>SUM('Database '!U604:U607)</f>
        <v>130</v>
      </c>
      <c r="H222" s="100">
        <v>52989.7384615385</v>
      </c>
      <c r="I222" s="98">
        <f>SUM('Database '!W604:W607)</f>
        <v>25</v>
      </c>
      <c r="J222" s="100">
        <v>46310.12</v>
      </c>
      <c r="K222" s="98">
        <f>SUM('Database '!Y604:Y607)</f>
        <v>9</v>
      </c>
      <c r="L222" s="100">
        <v>42555.5555555556</v>
      </c>
      <c r="M222" s="98"/>
      <c r="N222" s="100"/>
      <c r="O222" s="101">
        <f>C222+E222+G222+I222+K222+M222</f>
        <v>441</v>
      </c>
      <c r="P222" s="101">
        <f>IF(O222&gt;0,(C222*D222+E222*F222+G222*H222+I222*J222+K222*L222+M222*N222)/O222,0)</f>
        <v>71007.22448979593</v>
      </c>
    </row>
    <row r="223" spans="1:16" ht="15">
      <c r="A223" s="53"/>
      <c r="B223" s="99" t="s">
        <v>723</v>
      </c>
      <c r="C223" s="98">
        <f>SUM('Database '!Q608:Q609)</f>
        <v>25</v>
      </c>
      <c r="D223" s="100">
        <v>76886</v>
      </c>
      <c r="E223" s="98">
        <f>SUM('Database '!S608:S609)</f>
        <v>4</v>
      </c>
      <c r="F223" s="100">
        <v>63599</v>
      </c>
      <c r="G223" s="98">
        <f>SUM('Database '!U608:U609)</f>
        <v>2</v>
      </c>
      <c r="H223" s="100">
        <v>60500</v>
      </c>
      <c r="I223" s="98"/>
      <c r="J223" s="100"/>
      <c r="K223" s="98"/>
      <c r="L223" s="100"/>
      <c r="M223" s="98"/>
      <c r="N223" s="100"/>
      <c r="O223" s="101">
        <f>C223+E223+G223+I223+K223+M223</f>
        <v>31</v>
      </c>
      <c r="P223" s="101">
        <f>IF(O223&gt;0,(C223*D223+E223*F223+G223*H223+I223*J223+K223*L223+M223*N223)/O223,0)</f>
        <v>74114.3870967742</v>
      </c>
    </row>
    <row r="224" spans="1:16" ht="15">
      <c r="A224" s="53"/>
      <c r="B224" s="99" t="s">
        <v>724</v>
      </c>
      <c r="C224" s="98">
        <f>SUM('Database '!Q610:Q611)</f>
        <v>25</v>
      </c>
      <c r="D224" s="100">
        <v>70228.36</v>
      </c>
      <c r="E224" s="98">
        <f>SUM('Database '!S610:S611)</f>
        <v>11</v>
      </c>
      <c r="F224" s="100">
        <v>65842.2727272727</v>
      </c>
      <c r="G224" s="98">
        <f>SUM('Database '!U610:U611)</f>
        <v>14</v>
      </c>
      <c r="H224" s="100">
        <v>50322.1428571429</v>
      </c>
      <c r="I224" s="98">
        <f>SUM('Database '!W610:W611)</f>
        <v>14</v>
      </c>
      <c r="J224" s="100">
        <v>34908.6428571429</v>
      </c>
      <c r="K224" s="98">
        <f>SUM('Database '!Y610:Y611)</f>
        <v>3</v>
      </c>
      <c r="L224" s="100">
        <v>34957</v>
      </c>
      <c r="M224" s="98"/>
      <c r="N224" s="100"/>
      <c r="O224" s="101">
        <f>C224+E224+G224+I224+K224+M224</f>
        <v>67</v>
      </c>
      <c r="P224" s="101">
        <f>IF(O224&gt;0,(C224*D224+E224*F224+G224*H224+I224*J224+K224*L224+M224*N224)/O224,0)</f>
        <v>56389.19402985076</v>
      </c>
    </row>
    <row r="225" spans="1:16" ht="15">
      <c r="A225" s="53"/>
      <c r="B225" s="99" t="s">
        <v>725</v>
      </c>
      <c r="C225" s="98"/>
      <c r="D225" s="100"/>
      <c r="E225" s="98"/>
      <c r="F225" s="100"/>
      <c r="G225" s="98"/>
      <c r="H225" s="100"/>
      <c r="I225" s="98"/>
      <c r="J225" s="100"/>
      <c r="K225" s="98"/>
      <c r="L225" s="100"/>
      <c r="M225" s="98"/>
      <c r="N225" s="100"/>
      <c r="O225" s="101"/>
      <c r="P225" s="101"/>
    </row>
    <row r="226" spans="1:16" ht="15">
      <c r="A226" s="53"/>
      <c r="B226" s="99" t="s">
        <v>726</v>
      </c>
      <c r="C226" s="98">
        <f>SUM('Database '!Q613:Q615)</f>
        <v>3</v>
      </c>
      <c r="D226" s="100">
        <v>79765.3333333333</v>
      </c>
      <c r="E226" s="98">
        <f>SUM('Database '!S613:S615)</f>
        <v>3</v>
      </c>
      <c r="F226" s="100">
        <v>52804</v>
      </c>
      <c r="G226" s="98">
        <f>SUM('Database '!U613:U615)</f>
        <v>1</v>
      </c>
      <c r="H226" s="100">
        <v>50500</v>
      </c>
      <c r="I226" s="98"/>
      <c r="J226" s="100"/>
      <c r="K226" s="98">
        <f>SUM('Database '!Y613:Y615)</f>
        <v>1</v>
      </c>
      <c r="L226" s="100">
        <v>43600</v>
      </c>
      <c r="M226" s="98"/>
      <c r="N226" s="100"/>
      <c r="O226" s="101">
        <f>C226+E226+G226+I226+K226+M226</f>
        <v>8</v>
      </c>
      <c r="P226" s="101">
        <f>IF(O226&gt;0,(C226*D226+E226*F226+G226*H226+I226*J226+K226*L226+M226*N226)/O226,0)</f>
        <v>61475.999999999985</v>
      </c>
    </row>
    <row r="227" spans="1:16" ht="15">
      <c r="A227" s="53"/>
      <c r="B227" s="99" t="s">
        <v>727</v>
      </c>
      <c r="C227" s="98">
        <f>SUM('Database '!Q616:Q617)</f>
        <v>12</v>
      </c>
      <c r="D227" s="100">
        <v>56741</v>
      </c>
      <c r="E227" s="98">
        <f>SUM('Database '!S616:S617)</f>
        <v>7</v>
      </c>
      <c r="F227" s="100">
        <v>52341</v>
      </c>
      <c r="G227" s="98">
        <f>SUM('Database '!U616:U617)</f>
        <v>22</v>
      </c>
      <c r="H227" s="100">
        <v>48703</v>
      </c>
      <c r="I227" s="98">
        <f>SUM('Database '!W616:W617)</f>
        <v>15</v>
      </c>
      <c r="J227" s="100">
        <v>40798</v>
      </c>
      <c r="K227" s="98">
        <f>SUM('Database '!Y616:Y617)</f>
        <v>1</v>
      </c>
      <c r="L227" s="100">
        <v>35736</v>
      </c>
      <c r="M227" s="98"/>
      <c r="N227" s="100"/>
      <c r="O227" s="101">
        <f>C227+E227+G227+I227+K227+M227</f>
        <v>57</v>
      </c>
      <c r="P227" s="101">
        <f>IF(O227&gt;0,(C227*D227+E227*F227+G227*H227+I227*J227+K227*L227+M227*N227)/O227,0)</f>
        <v>48534.228070175435</v>
      </c>
    </row>
    <row r="228" spans="1:16" ht="15">
      <c r="A228" s="102"/>
      <c r="B228" s="103" t="s">
        <v>728</v>
      </c>
      <c r="C228" s="104"/>
      <c r="D228" s="105"/>
      <c r="E228" s="104"/>
      <c r="F228" s="105"/>
      <c r="G228" s="104"/>
      <c r="H228" s="105"/>
      <c r="I228" s="104"/>
      <c r="J228" s="105"/>
      <c r="K228" s="107"/>
      <c r="L228" s="105"/>
      <c r="M228" s="104"/>
      <c r="N228" s="105"/>
      <c r="O228" s="106"/>
      <c r="P228" s="106"/>
    </row>
    <row r="229" spans="1:16" ht="15">
      <c r="A229" s="98" t="s">
        <v>756</v>
      </c>
      <c r="B229" s="99" t="s">
        <v>721</v>
      </c>
      <c r="C229" s="98">
        <f>'Database '!E618</f>
        <v>236</v>
      </c>
      <c r="D229" s="100">
        <f>'Database '!F618</f>
        <v>63970</v>
      </c>
      <c r="E229" s="98">
        <f>'Database '!G618</f>
        <v>202</v>
      </c>
      <c r="F229" s="100">
        <f>'Database '!H618</f>
        <v>50038</v>
      </c>
      <c r="G229" s="98">
        <f>'Database '!I618</f>
        <v>182</v>
      </c>
      <c r="H229" s="100">
        <f>'Database '!J618</f>
        <v>39761</v>
      </c>
      <c r="I229" s="98">
        <f>'Database '!K618</f>
        <v>12</v>
      </c>
      <c r="J229" s="100">
        <f>'Database '!L618</f>
        <v>28981</v>
      </c>
      <c r="K229" s="98">
        <f>'Database '!M618</f>
        <v>8</v>
      </c>
      <c r="L229" s="100">
        <f>'Database '!N618</f>
        <v>27630</v>
      </c>
      <c r="M229" s="98"/>
      <c r="N229" s="100"/>
      <c r="O229" s="101">
        <f>C229+E229+G229+I229+K229+M229</f>
        <v>640</v>
      </c>
      <c r="P229" s="101">
        <f>IF(O229&gt;0,(C229*D229+E229*F229+G229*H229+I229*J229+K229*L229+M229*N229)/O229,0)</f>
        <v>51577.984375</v>
      </c>
    </row>
    <row r="230" spans="1:16" ht="15">
      <c r="A230" s="53"/>
      <c r="B230" s="99" t="s">
        <v>722</v>
      </c>
      <c r="C230" s="98"/>
      <c r="D230" s="100"/>
      <c r="E230" s="98"/>
      <c r="F230" s="100"/>
      <c r="G230" s="98"/>
      <c r="H230" s="100"/>
      <c r="I230" s="98"/>
      <c r="J230" s="100"/>
      <c r="K230" s="98"/>
      <c r="L230" s="100"/>
      <c r="M230" s="98"/>
      <c r="N230" s="100"/>
      <c r="O230" s="101"/>
      <c r="P230" s="101"/>
    </row>
    <row r="231" spans="1:16" ht="15">
      <c r="A231" s="53"/>
      <c r="B231" s="99" t="s">
        <v>723</v>
      </c>
      <c r="C231" s="98">
        <f>'Database '!E619</f>
        <v>160</v>
      </c>
      <c r="D231" s="100">
        <f>'Database '!F619</f>
        <v>52428</v>
      </c>
      <c r="E231" s="98">
        <f>'Database '!G619</f>
        <v>115</v>
      </c>
      <c r="F231" s="100">
        <f>'Database '!H619</f>
        <v>42642</v>
      </c>
      <c r="G231" s="98">
        <f>'Database '!I619</f>
        <v>100</v>
      </c>
      <c r="H231" s="100">
        <f>'Database '!J619</f>
        <v>34312</v>
      </c>
      <c r="I231" s="98">
        <f>'Database '!K619</f>
        <v>19</v>
      </c>
      <c r="J231" s="100">
        <f>'Database '!L619</f>
        <v>24958</v>
      </c>
      <c r="K231" s="98"/>
      <c r="L231" s="100"/>
      <c r="M231" s="98"/>
      <c r="N231" s="100"/>
      <c r="O231" s="101">
        <f>C231+E231+G231+I231+K231+M231</f>
        <v>394</v>
      </c>
      <c r="P231" s="101">
        <f>IF(O231&gt;0,(C231*D231+E231*F231+G231*H231+I231*J231+K231*L231+M231*N231)/O231,0)</f>
        <v>43649.0152284264</v>
      </c>
    </row>
    <row r="232" spans="1:16" ht="15">
      <c r="A232" s="53"/>
      <c r="B232" s="99" t="s">
        <v>724</v>
      </c>
      <c r="C232" s="98"/>
      <c r="D232" s="100"/>
      <c r="E232" s="98"/>
      <c r="F232" s="100"/>
      <c r="G232" s="98"/>
      <c r="H232" s="100"/>
      <c r="I232" s="98"/>
      <c r="J232" s="100"/>
      <c r="K232" s="98"/>
      <c r="L232" s="100"/>
      <c r="M232" s="98"/>
      <c r="N232" s="100"/>
      <c r="O232" s="101"/>
      <c r="P232" s="101"/>
    </row>
    <row r="233" spans="1:16" ht="15">
      <c r="A233" s="53"/>
      <c r="B233" s="99" t="s">
        <v>725</v>
      </c>
      <c r="C233" s="98"/>
      <c r="D233" s="100"/>
      <c r="E233" s="98"/>
      <c r="F233" s="100"/>
      <c r="G233" s="98"/>
      <c r="H233" s="100"/>
      <c r="I233" s="98"/>
      <c r="J233" s="100"/>
      <c r="K233" s="98"/>
      <c r="L233" s="100"/>
      <c r="M233" s="98"/>
      <c r="N233" s="100"/>
      <c r="O233" s="101"/>
      <c r="P233" s="101"/>
    </row>
    <row r="234" spans="1:16" ht="15">
      <c r="A234" s="53"/>
      <c r="B234" s="99" t="s">
        <v>726</v>
      </c>
      <c r="C234" s="98">
        <f>SUM('Database '!E620:E627)</f>
        <v>256</v>
      </c>
      <c r="D234" s="100">
        <v>46800.15625</v>
      </c>
      <c r="E234" s="98">
        <f>SUM('Database '!G620:G627)</f>
        <v>298</v>
      </c>
      <c r="F234" s="100">
        <v>39444.7516778523</v>
      </c>
      <c r="G234" s="98">
        <f>SUM('Database '!I620:I627)</f>
        <v>241</v>
      </c>
      <c r="H234" s="100">
        <v>34112.0497925311</v>
      </c>
      <c r="I234" s="98">
        <f>SUM('Database '!K620:K627)</f>
        <v>82</v>
      </c>
      <c r="J234" s="100">
        <v>29427.5</v>
      </c>
      <c r="K234" s="98">
        <f>SUM('Database '!M620:M627)</f>
        <v>15</v>
      </c>
      <c r="L234" s="100">
        <v>31959.7333333333</v>
      </c>
      <c r="M234" s="98"/>
      <c r="N234" s="100"/>
      <c r="O234" s="101">
        <f>C234+E234+G234+I234+K234+M234</f>
        <v>892</v>
      </c>
      <c r="P234" s="101">
        <f>IF(O234&gt;0,(C234*D234+E234*F234+G234*H234+I234*J234+K234*L234+M234*N234)/O234,0)</f>
        <v>39068.19618834079</v>
      </c>
    </row>
    <row r="235" spans="1:16" ht="15">
      <c r="A235" s="53"/>
      <c r="B235" s="99" t="s">
        <v>727</v>
      </c>
      <c r="C235" s="98">
        <f>SUM('Database '!E628:E631)</f>
        <v>80</v>
      </c>
      <c r="D235" s="100">
        <v>44803.0875</v>
      </c>
      <c r="E235" s="98">
        <f>SUM('Database '!G628:G631)</f>
        <v>60</v>
      </c>
      <c r="F235" s="100">
        <v>36813.8666666667</v>
      </c>
      <c r="G235" s="98">
        <f>SUM('Database '!I628:I631)</f>
        <v>48</v>
      </c>
      <c r="H235" s="100">
        <v>31046.6666666667</v>
      </c>
      <c r="I235" s="98">
        <f>SUM('Database '!K628:K631)</f>
        <v>26</v>
      </c>
      <c r="J235" s="100">
        <v>27151.4615384615</v>
      </c>
      <c r="K235" s="98">
        <f>SUM('Database '!M628:M631)</f>
        <v>9</v>
      </c>
      <c r="L235" s="100">
        <v>24542</v>
      </c>
      <c r="M235" s="98"/>
      <c r="N235" s="100"/>
      <c r="O235" s="101">
        <f>C235+E235+G235+I235+K235+M235</f>
        <v>223</v>
      </c>
      <c r="P235" s="101">
        <f>IF(O235&gt;0,(C235*D235+E235*F235+G235*H235+I235*J235+K235*L235+M235*N235)/O235,0)</f>
        <v>36816.748878923776</v>
      </c>
    </row>
    <row r="236" spans="1:16" ht="15">
      <c r="A236" s="102"/>
      <c r="B236" s="103" t="s">
        <v>728</v>
      </c>
      <c r="C236" s="104"/>
      <c r="D236" s="105"/>
      <c r="E236" s="104"/>
      <c r="F236" s="105"/>
      <c r="G236" s="104"/>
      <c r="H236" s="105"/>
      <c r="I236" s="104"/>
      <c r="J236" s="105"/>
      <c r="K236" s="107"/>
      <c r="L236" s="105"/>
      <c r="M236" s="104"/>
      <c r="N236" s="105"/>
      <c r="O236" s="106"/>
      <c r="P236" s="106"/>
    </row>
    <row r="237" spans="1:16" ht="15">
      <c r="A237" s="98" t="s">
        <v>757</v>
      </c>
      <c r="B237" s="99" t="s">
        <v>721</v>
      </c>
      <c r="C237" s="98">
        <f>'Database '!Q618</f>
        <v>110</v>
      </c>
      <c r="D237" s="100">
        <f>'Database '!R618</f>
        <v>72388</v>
      </c>
      <c r="E237" s="98">
        <f>'Database '!S618</f>
        <v>51</v>
      </c>
      <c r="F237" s="100">
        <f>'Database '!T618</f>
        <v>60845</v>
      </c>
      <c r="G237" s="98">
        <f>'Database '!U618</f>
        <v>40</v>
      </c>
      <c r="H237" s="100">
        <f>'Database '!V618</f>
        <v>53764</v>
      </c>
      <c r="I237" s="98">
        <f>'Database '!W618</f>
        <v>4</v>
      </c>
      <c r="J237" s="100">
        <f>'Database '!X618</f>
        <v>54291</v>
      </c>
      <c r="K237" s="98">
        <f>'Database '!Y618</f>
        <v>2</v>
      </c>
      <c r="L237" s="100">
        <f>'Database '!Z618</f>
        <v>33209</v>
      </c>
      <c r="M237" s="98"/>
      <c r="N237" s="100"/>
      <c r="O237" s="101">
        <f>C237+E237+G237+I237+K237+M237</f>
        <v>207</v>
      </c>
      <c r="P237" s="101">
        <f>IF(O237&gt;0,(C237*D237+E237*F237+G237*H237+I237*J237+K237*L237+M237*N237)/O237,0)</f>
        <v>65216.99033816425</v>
      </c>
    </row>
    <row r="238" spans="1:16" ht="15">
      <c r="A238" s="53"/>
      <c r="B238" s="99" t="s">
        <v>722</v>
      </c>
      <c r="C238" s="98"/>
      <c r="D238" s="100"/>
      <c r="E238" s="98"/>
      <c r="F238" s="100"/>
      <c r="G238" s="98"/>
      <c r="H238" s="100"/>
      <c r="I238" s="98"/>
      <c r="J238" s="100"/>
      <c r="K238" s="98"/>
      <c r="L238" s="100"/>
      <c r="M238" s="98"/>
      <c r="N238" s="100"/>
      <c r="O238" s="101"/>
      <c r="P238" s="101"/>
    </row>
    <row r="239" spans="1:16" ht="15">
      <c r="A239" s="53"/>
      <c r="B239" s="99" t="s">
        <v>723</v>
      </c>
      <c r="C239" s="98">
        <f>'Database '!Q619</f>
        <v>8</v>
      </c>
      <c r="D239" s="100">
        <f>'Database '!R619</f>
        <v>69106</v>
      </c>
      <c r="E239" s="98">
        <f>'Database '!S619</f>
        <v>7</v>
      </c>
      <c r="F239" s="100">
        <f>'Database '!T619</f>
        <v>51879</v>
      </c>
      <c r="G239" s="98">
        <f>'Database '!U619</f>
        <v>2</v>
      </c>
      <c r="H239" s="100">
        <f>'Database '!V619</f>
        <v>39928</v>
      </c>
      <c r="I239" s="98"/>
      <c r="J239" s="100"/>
      <c r="K239" s="98"/>
      <c r="L239" s="100"/>
      <c r="M239" s="98"/>
      <c r="N239" s="100"/>
      <c r="O239" s="101">
        <f>C239+E239+G239+I239+K239+M239</f>
        <v>17</v>
      </c>
      <c r="P239" s="101">
        <f>IF(O239&gt;0,(C239*D239+E239*F239+G239*H239+I239*J239+K239*L239+M239*N239)/O239,0)</f>
        <v>58579.82352941176</v>
      </c>
    </row>
    <row r="240" spans="1:16" ht="15">
      <c r="A240" s="53"/>
      <c r="B240" s="99" t="s">
        <v>724</v>
      </c>
      <c r="C240" s="98"/>
      <c r="D240" s="100"/>
      <c r="E240" s="98"/>
      <c r="F240" s="100"/>
      <c r="G240" s="98"/>
      <c r="H240" s="100"/>
      <c r="I240" s="98"/>
      <c r="J240" s="100"/>
      <c r="K240" s="98"/>
      <c r="L240" s="100"/>
      <c r="M240" s="98"/>
      <c r="N240" s="100"/>
      <c r="O240" s="101"/>
      <c r="P240" s="101"/>
    </row>
    <row r="241" spans="1:16" ht="15">
      <c r="A241" s="53"/>
      <c r="B241" s="99" t="s">
        <v>725</v>
      </c>
      <c r="C241" s="98"/>
      <c r="D241" s="100"/>
      <c r="E241" s="98"/>
      <c r="F241" s="100"/>
      <c r="G241" s="98"/>
      <c r="H241" s="100"/>
      <c r="I241" s="98"/>
      <c r="J241" s="100"/>
      <c r="K241" s="98"/>
      <c r="L241" s="100"/>
      <c r="M241" s="98"/>
      <c r="N241" s="100"/>
      <c r="O241" s="101"/>
      <c r="P241" s="101"/>
    </row>
    <row r="242" spans="1:16" ht="15">
      <c r="A242" s="53"/>
      <c r="B242" s="99" t="s">
        <v>726</v>
      </c>
      <c r="C242" s="98">
        <f>SUM('Database '!Q620:Q627)</f>
        <v>14</v>
      </c>
      <c r="D242" s="100">
        <v>62515</v>
      </c>
      <c r="E242" s="98">
        <f>SUM('Database '!S620:S627)</f>
        <v>8</v>
      </c>
      <c r="F242" s="100">
        <v>48135</v>
      </c>
      <c r="G242" s="98">
        <f>SUM('Database '!U620:U627)</f>
        <v>17</v>
      </c>
      <c r="H242" s="100">
        <v>42215.0588235294</v>
      </c>
      <c r="I242" s="98">
        <f>SUM('Database '!W620:W627)</f>
        <v>11</v>
      </c>
      <c r="J242" s="100">
        <v>38369.7272727273</v>
      </c>
      <c r="K242" s="98">
        <f>SUM('Database '!Y620:Y627)</f>
        <v>1</v>
      </c>
      <c r="L242" s="100">
        <v>48156</v>
      </c>
      <c r="M242" s="98"/>
      <c r="N242" s="100"/>
      <c r="O242" s="101">
        <f>C242+E242+G242+I242+K242+M242</f>
        <v>51</v>
      </c>
      <c r="P242" s="101">
        <f>IF(O242&gt;0,(C242*D242+E242*F242+G242*H242+I242*J242+K242*L242+M242*N242)/O242,0)</f>
        <v>48003.313725490196</v>
      </c>
    </row>
    <row r="243" spans="1:16" ht="15">
      <c r="A243" s="53"/>
      <c r="B243" s="99" t="s">
        <v>727</v>
      </c>
      <c r="C243" s="98">
        <f>SUM('Database '!Q628:Q631)</f>
        <v>6</v>
      </c>
      <c r="D243" s="100">
        <v>49512.6666666667</v>
      </c>
      <c r="E243" s="98">
        <f>SUM('Database '!S628:S631)</f>
        <v>1</v>
      </c>
      <c r="F243" s="100">
        <v>43018</v>
      </c>
      <c r="G243" s="98"/>
      <c r="H243" s="100"/>
      <c r="I243" s="98"/>
      <c r="J243" s="100"/>
      <c r="K243" s="98"/>
      <c r="L243" s="100"/>
      <c r="M243" s="98"/>
      <c r="N243" s="100"/>
      <c r="O243" s="101">
        <f>C243+E243+G243+I243+K243+M243</f>
        <v>7</v>
      </c>
      <c r="P243" s="101">
        <f>IF(O243&gt;0,(C243*D243+E243*F243+G243*H243+I243*J243+K243*L243+M243*N243)/O243,0)</f>
        <v>48584.857142857174</v>
      </c>
    </row>
    <row r="244" spans="1:16" ht="15">
      <c r="A244" s="102"/>
      <c r="B244" s="103" t="s">
        <v>728</v>
      </c>
      <c r="C244" s="104"/>
      <c r="D244" s="105"/>
      <c r="E244" s="104"/>
      <c r="F244" s="105"/>
      <c r="G244" s="104"/>
      <c r="H244" s="105"/>
      <c r="I244" s="104"/>
      <c r="J244" s="105"/>
      <c r="K244" s="107"/>
      <c r="L244" s="105"/>
      <c r="M244" s="104"/>
      <c r="N244" s="105"/>
      <c r="O244" s="106"/>
      <c r="P244" s="106"/>
    </row>
  </sheetData>
  <printOptions/>
  <pageMargins left="0.3" right="0.25" top="0.75" bottom="0.25" header="0.5" footer="0.5"/>
  <pageSetup horizontalDpi="600" verticalDpi="600" orientation="landscape" r:id="rId3"/>
  <headerFooter alignWithMargins="0">
    <oddHeader>&amp;C&amp;RSREB-State Data Exchange</oddHeader>
    <oddFooter>&amp;C&amp;RAugust 1998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32"/>
  <sheetViews>
    <sheetView showGridLines="0" defaultGridColor="0" zoomScale="75" zoomScaleNormal="75" colorId="22" workbookViewId="0" topLeftCell="A1">
      <selection activeCell="A1" sqref="A1"/>
    </sheetView>
  </sheetViews>
  <sheetFormatPr defaultColWidth="9.7109375" defaultRowHeight="12.75"/>
  <sheetData>
    <row r="1" spans="1:9" ht="15">
      <c r="A1" s="118" t="s">
        <v>758</v>
      </c>
      <c r="B1" s="118"/>
      <c r="C1" s="118"/>
      <c r="D1" s="118"/>
      <c r="E1" s="118"/>
      <c r="F1" s="83"/>
      <c r="G1" s="83"/>
      <c r="H1" s="83"/>
      <c r="I1" s="116"/>
    </row>
    <row r="2" spans="1:9" ht="15">
      <c r="A2" s="118"/>
      <c r="B2" s="118"/>
      <c r="C2" s="118"/>
      <c r="D2" s="118"/>
      <c r="E2" s="118"/>
      <c r="F2" s="83"/>
      <c r="G2" s="83"/>
      <c r="H2" s="83"/>
      <c r="I2" s="116"/>
    </row>
    <row r="3" spans="1:9" ht="15">
      <c r="A3" s="119" t="s">
        <v>8</v>
      </c>
      <c r="B3" s="119" t="s">
        <v>759</v>
      </c>
      <c r="C3" s="119"/>
      <c r="D3" s="119"/>
      <c r="E3" s="119" t="s">
        <v>760</v>
      </c>
      <c r="F3" s="120"/>
      <c r="G3" s="120"/>
      <c r="H3" s="120"/>
      <c r="I3" s="83"/>
    </row>
    <row r="4" spans="1:9" ht="15">
      <c r="A4" s="121" t="s">
        <v>761</v>
      </c>
      <c r="B4" s="122" t="s">
        <v>762</v>
      </c>
      <c r="C4" s="122"/>
      <c r="D4" s="121"/>
      <c r="E4" s="122" t="s">
        <v>762</v>
      </c>
      <c r="F4" s="123"/>
      <c r="G4" s="123"/>
      <c r="H4" s="123"/>
      <c r="I4" s="83"/>
    </row>
    <row r="5" spans="1:9" ht="15">
      <c r="A5" s="121" t="s">
        <v>763</v>
      </c>
      <c r="B5" s="122" t="s">
        <v>762</v>
      </c>
      <c r="C5" s="122"/>
      <c r="D5" s="121"/>
      <c r="E5" s="122" t="s">
        <v>762</v>
      </c>
      <c r="F5" s="123"/>
      <c r="G5" s="123"/>
      <c r="H5" s="123"/>
      <c r="I5" s="83"/>
    </row>
    <row r="6" spans="1:9" ht="15">
      <c r="A6" s="121" t="s">
        <v>764</v>
      </c>
      <c r="B6" s="122" t="s">
        <v>765</v>
      </c>
      <c r="C6" s="122"/>
      <c r="D6" s="121"/>
      <c r="E6" s="122" t="s">
        <v>766</v>
      </c>
      <c r="F6" s="123"/>
      <c r="G6" s="123"/>
      <c r="H6" s="123"/>
      <c r="I6" s="83"/>
    </row>
    <row r="7" spans="1:9" ht="15">
      <c r="A7" s="121" t="s">
        <v>767</v>
      </c>
      <c r="B7" s="122" t="s">
        <v>762</v>
      </c>
      <c r="C7" s="122"/>
      <c r="D7" s="121"/>
      <c r="E7" s="122" t="s">
        <v>762</v>
      </c>
      <c r="F7" s="123"/>
      <c r="G7" s="123"/>
      <c r="H7" s="123"/>
      <c r="I7" s="83"/>
    </row>
    <row r="8" spans="1:9" ht="15">
      <c r="A8" s="121" t="s">
        <v>768</v>
      </c>
      <c r="B8" s="122" t="s">
        <v>762</v>
      </c>
      <c r="C8" s="122"/>
      <c r="D8" s="121"/>
      <c r="E8" s="122" t="s">
        <v>762</v>
      </c>
      <c r="F8" s="123"/>
      <c r="G8" s="123"/>
      <c r="H8" s="123"/>
      <c r="I8" s="83"/>
    </row>
    <row r="9" spans="1:9" ht="15">
      <c r="A9" s="121" t="s">
        <v>769</v>
      </c>
      <c r="B9" s="122" t="s">
        <v>762</v>
      </c>
      <c r="C9" s="122"/>
      <c r="D9" s="121"/>
      <c r="E9" s="122" t="s">
        <v>762</v>
      </c>
      <c r="F9" s="123"/>
      <c r="G9" s="123"/>
      <c r="H9" s="123"/>
      <c r="I9" s="83"/>
    </row>
    <row r="10" spans="1:9" ht="15">
      <c r="A10" s="121" t="s">
        <v>770</v>
      </c>
      <c r="B10" s="122" t="s">
        <v>762</v>
      </c>
      <c r="C10" s="122"/>
      <c r="D10" s="121"/>
      <c r="E10" s="122" t="s">
        <v>762</v>
      </c>
      <c r="F10" s="123"/>
      <c r="G10" s="123"/>
      <c r="H10" s="123"/>
      <c r="I10" s="83"/>
    </row>
    <row r="11" spans="1:9" ht="15">
      <c r="A11" s="121" t="s">
        <v>771</v>
      </c>
      <c r="B11" s="122" t="s">
        <v>762</v>
      </c>
      <c r="C11" s="122"/>
      <c r="D11" s="121"/>
      <c r="E11" s="122" t="s">
        <v>762</v>
      </c>
      <c r="F11" s="123"/>
      <c r="G11" s="123"/>
      <c r="H11" s="123"/>
      <c r="I11" s="83"/>
    </row>
    <row r="12" spans="1:9" ht="15">
      <c r="A12" s="121" t="s">
        <v>772</v>
      </c>
      <c r="B12" s="122" t="s">
        <v>762</v>
      </c>
      <c r="C12" s="122"/>
      <c r="D12" s="121"/>
      <c r="E12" s="122" t="s">
        <v>762</v>
      </c>
      <c r="F12" s="123"/>
      <c r="G12" s="123"/>
      <c r="H12" s="123"/>
      <c r="I12" s="83"/>
    </row>
    <row r="13" spans="1:9" ht="15">
      <c r="A13" s="121" t="s">
        <v>773</v>
      </c>
      <c r="B13" s="122" t="s">
        <v>762</v>
      </c>
      <c r="C13" s="122"/>
      <c r="D13" s="121"/>
      <c r="E13" s="122" t="s">
        <v>762</v>
      </c>
      <c r="F13" s="123"/>
      <c r="G13" s="123"/>
      <c r="H13" s="123"/>
      <c r="I13" s="83"/>
    </row>
    <row r="14" spans="1:9" ht="15">
      <c r="A14" s="121" t="s">
        <v>774</v>
      </c>
      <c r="B14" s="122" t="s">
        <v>762</v>
      </c>
      <c r="C14" s="122"/>
      <c r="D14" s="121"/>
      <c r="E14" s="122" t="s">
        <v>762</v>
      </c>
      <c r="F14" s="123"/>
      <c r="G14" s="123"/>
      <c r="H14" s="123"/>
      <c r="I14" s="83"/>
    </row>
    <row r="15" spans="1:9" ht="15">
      <c r="A15" s="121" t="s">
        <v>775</v>
      </c>
      <c r="B15" s="122" t="s">
        <v>762</v>
      </c>
      <c r="C15" s="122"/>
      <c r="D15" s="121"/>
      <c r="E15" s="122" t="s">
        <v>762</v>
      </c>
      <c r="F15" s="123"/>
      <c r="G15" s="123"/>
      <c r="H15" s="123"/>
      <c r="I15" s="83"/>
    </row>
    <row r="16" spans="1:9" ht="15">
      <c r="A16" s="121" t="s">
        <v>776</v>
      </c>
      <c r="B16" s="122" t="s">
        <v>777</v>
      </c>
      <c r="C16" s="122"/>
      <c r="D16" s="121"/>
      <c r="E16" s="122" t="s">
        <v>778</v>
      </c>
      <c r="F16" s="123"/>
      <c r="G16" s="123"/>
      <c r="H16" s="123"/>
      <c r="I16" s="83"/>
    </row>
    <row r="17" spans="1:9" ht="15">
      <c r="A17" s="124"/>
      <c r="B17" s="118"/>
      <c r="C17" s="118"/>
      <c r="D17" s="124"/>
      <c r="E17" s="118" t="s">
        <v>779</v>
      </c>
      <c r="F17" s="83"/>
      <c r="G17" s="83"/>
      <c r="H17" s="83"/>
      <c r="I17" s="83"/>
    </row>
    <row r="18" spans="1:9" ht="15">
      <c r="A18" s="124"/>
      <c r="B18" s="118"/>
      <c r="C18" s="118"/>
      <c r="D18" s="124"/>
      <c r="E18" s="118" t="s">
        <v>780</v>
      </c>
      <c r="F18" s="83"/>
      <c r="G18" s="83"/>
      <c r="H18" s="83"/>
      <c r="I18" s="83"/>
    </row>
    <row r="19" spans="1:9" ht="15">
      <c r="A19" s="124"/>
      <c r="B19" s="118"/>
      <c r="C19" s="118"/>
      <c r="D19" s="124"/>
      <c r="E19" s="118" t="s">
        <v>781</v>
      </c>
      <c r="F19" s="83"/>
      <c r="G19" s="83"/>
      <c r="H19" s="83"/>
      <c r="I19" s="83"/>
    </row>
    <row r="20" spans="1:9" ht="15">
      <c r="A20" s="124"/>
      <c r="B20" s="118"/>
      <c r="C20" s="118"/>
      <c r="D20" s="124"/>
      <c r="E20" s="118" t="s">
        <v>782</v>
      </c>
      <c r="F20" s="83"/>
      <c r="G20" s="83"/>
      <c r="H20" s="83"/>
      <c r="I20" s="83"/>
    </row>
    <row r="21" spans="1:9" ht="15">
      <c r="A21" s="124"/>
      <c r="B21" s="118"/>
      <c r="C21" s="118"/>
      <c r="D21" s="124"/>
      <c r="E21" s="118" t="s">
        <v>783</v>
      </c>
      <c r="F21" s="83"/>
      <c r="G21" s="83"/>
      <c r="H21" s="83"/>
      <c r="I21" s="83"/>
    </row>
    <row r="22" spans="1:9" ht="15">
      <c r="A22" s="124"/>
      <c r="B22" s="118"/>
      <c r="C22" s="118"/>
      <c r="D22" s="124"/>
      <c r="E22" s="118" t="s">
        <v>784</v>
      </c>
      <c r="F22" s="83"/>
      <c r="G22" s="83"/>
      <c r="H22" s="83"/>
      <c r="I22" s="83"/>
    </row>
    <row r="23" spans="1:9" ht="15">
      <c r="A23" s="124"/>
      <c r="B23" s="118"/>
      <c r="C23" s="118"/>
      <c r="D23" s="124"/>
      <c r="E23" s="118" t="s">
        <v>785</v>
      </c>
      <c r="F23" s="83"/>
      <c r="G23" s="83"/>
      <c r="H23" s="83"/>
      <c r="I23" s="83"/>
    </row>
    <row r="24" spans="1:9" ht="15">
      <c r="A24" s="124"/>
      <c r="B24" s="118"/>
      <c r="C24" s="118"/>
      <c r="D24" s="124"/>
      <c r="E24" s="118" t="s">
        <v>786</v>
      </c>
      <c r="F24" s="83"/>
      <c r="G24" s="83"/>
      <c r="H24" s="83"/>
      <c r="I24" s="83"/>
    </row>
    <row r="25" spans="1:9" ht="15">
      <c r="A25" s="124"/>
      <c r="B25" s="118"/>
      <c r="C25" s="118"/>
      <c r="D25" s="124"/>
      <c r="E25" s="118" t="s">
        <v>787</v>
      </c>
      <c r="F25" s="83"/>
      <c r="G25" s="83"/>
      <c r="H25" s="83"/>
      <c r="I25" s="83"/>
    </row>
    <row r="26" spans="1:9" ht="15">
      <c r="A26" s="121" t="s">
        <v>788</v>
      </c>
      <c r="B26" s="122" t="s">
        <v>762</v>
      </c>
      <c r="C26" s="122"/>
      <c r="D26" s="121"/>
      <c r="E26" s="122" t="s">
        <v>762</v>
      </c>
      <c r="F26" s="123"/>
      <c r="G26" s="123"/>
      <c r="H26" s="123"/>
      <c r="I26" s="83"/>
    </row>
    <row r="27" spans="1:9" ht="15">
      <c r="A27" s="121" t="s">
        <v>789</v>
      </c>
      <c r="B27" s="122" t="s">
        <v>762</v>
      </c>
      <c r="C27" s="122"/>
      <c r="D27" s="121"/>
      <c r="E27" s="122" t="s">
        <v>762</v>
      </c>
      <c r="F27" s="123"/>
      <c r="G27" s="123"/>
      <c r="H27" s="123"/>
      <c r="I27" s="83"/>
    </row>
    <row r="28" spans="1:9" ht="15">
      <c r="A28" s="121" t="s">
        <v>790</v>
      </c>
      <c r="B28" s="122" t="s">
        <v>762</v>
      </c>
      <c r="C28" s="122"/>
      <c r="D28" s="121"/>
      <c r="E28" s="122" t="s">
        <v>762</v>
      </c>
      <c r="F28" s="123"/>
      <c r="G28" s="123"/>
      <c r="H28" s="123"/>
      <c r="I28" s="83"/>
    </row>
    <row r="29" spans="1:9" ht="15">
      <c r="A29" s="121" t="s">
        <v>791</v>
      </c>
      <c r="B29" s="122" t="s">
        <v>762</v>
      </c>
      <c r="C29" s="122"/>
      <c r="D29" s="121"/>
      <c r="E29" s="122" t="s">
        <v>762</v>
      </c>
      <c r="F29" s="123"/>
      <c r="G29" s="123"/>
      <c r="H29" s="123"/>
      <c r="I29" s="83"/>
    </row>
    <row r="30" spans="1:9" ht="15">
      <c r="A30" s="121" t="s">
        <v>792</v>
      </c>
      <c r="B30" s="122" t="s">
        <v>762</v>
      </c>
      <c r="C30" s="122"/>
      <c r="D30" s="121"/>
      <c r="E30" s="122" t="s">
        <v>762</v>
      </c>
      <c r="F30" s="123"/>
      <c r="G30" s="123"/>
      <c r="H30" s="123"/>
      <c r="I30" s="83"/>
    </row>
    <row r="31" spans="1:9" ht="15">
      <c r="A31" s="121" t="s">
        <v>793</v>
      </c>
      <c r="B31" s="122" t="s">
        <v>762</v>
      </c>
      <c r="C31" s="122"/>
      <c r="D31" s="121"/>
      <c r="E31" s="122" t="s">
        <v>762</v>
      </c>
      <c r="F31" s="123"/>
      <c r="G31" s="123"/>
      <c r="H31" s="123"/>
      <c r="I31" s="83"/>
    </row>
    <row r="32" spans="1:9" ht="15">
      <c r="A32" s="125"/>
      <c r="B32" s="83"/>
      <c r="C32" s="83"/>
      <c r="D32" s="125"/>
      <c r="E32" s="83"/>
      <c r="F32" s="83"/>
      <c r="G32" s="83"/>
      <c r="H32" s="83"/>
      <c r="I32" s="83"/>
    </row>
  </sheetData>
  <printOptions/>
  <pageMargins left="0.3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X151"/>
  <sheetViews>
    <sheetView showGridLines="0" defaultGridColor="0" zoomScale="75" zoomScaleNormal="75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9" sqref="V9"/>
    </sheetView>
  </sheetViews>
  <sheetFormatPr defaultColWidth="9.7109375" defaultRowHeight="12.75"/>
  <cols>
    <col min="3" max="3" width="6.7109375" style="0" customWidth="1"/>
    <col min="4" max="4" width="7.7109375" style="0" customWidth="1"/>
    <col min="5" max="5" width="0" style="0" hidden="1" customWidth="1"/>
    <col min="6" max="6" width="7.7109375" style="0" customWidth="1"/>
    <col min="8" max="8" width="0" style="0" hidden="1" customWidth="1"/>
    <col min="9" max="9" width="6.7109375" style="0" customWidth="1"/>
    <col min="11" max="11" width="0" style="0" hidden="1" customWidth="1"/>
    <col min="12" max="12" width="6.7109375" style="0" customWidth="1"/>
    <col min="14" max="14" width="11.7109375" style="0" customWidth="1"/>
    <col min="15" max="15" width="6.7109375" style="0" customWidth="1"/>
    <col min="18" max="18" width="6.7109375" style="0" customWidth="1"/>
    <col min="20" max="20" width="0" style="0" hidden="1" customWidth="1"/>
    <col min="23" max="23" width="0" style="0" hidden="1" customWidth="1"/>
  </cols>
  <sheetData>
    <row r="1" spans="1:24" ht="15">
      <c r="A1" s="126" t="s">
        <v>794</v>
      </c>
      <c r="B1" s="127"/>
      <c r="C1" s="127"/>
      <c r="D1" s="127"/>
      <c r="E1" s="127"/>
      <c r="F1" s="127"/>
      <c r="G1" s="118"/>
      <c r="H1" s="118"/>
      <c r="I1" s="118"/>
      <c r="J1" s="118"/>
      <c r="K1" s="118"/>
      <c r="L1" s="118"/>
      <c r="M1" s="128"/>
      <c r="N1" s="128"/>
      <c r="O1" s="118"/>
      <c r="P1" s="118"/>
      <c r="Q1" s="118"/>
      <c r="R1" s="128"/>
      <c r="S1" s="128"/>
      <c r="T1" s="128"/>
      <c r="U1" s="128"/>
      <c r="V1" s="128"/>
      <c r="W1" s="118"/>
      <c r="X1" s="118"/>
    </row>
    <row r="2" spans="1:24" ht="15">
      <c r="A2" s="129" t="s">
        <v>795</v>
      </c>
      <c r="B2" s="130"/>
      <c r="C2" s="127"/>
      <c r="D2" s="127"/>
      <c r="E2" s="127"/>
      <c r="F2" s="12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5">
      <c r="A3" s="13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5">
      <c r="A4" s="122"/>
      <c r="B4" s="122"/>
      <c r="C4" s="132" t="s">
        <v>712</v>
      </c>
      <c r="D4" s="132"/>
      <c r="E4" s="133"/>
      <c r="F4" s="132" t="s">
        <v>713</v>
      </c>
      <c r="G4" s="132"/>
      <c r="H4" s="133"/>
      <c r="I4" s="132" t="s">
        <v>714</v>
      </c>
      <c r="J4" s="132"/>
      <c r="K4" s="133"/>
      <c r="L4" s="132" t="s">
        <v>715</v>
      </c>
      <c r="M4" s="132"/>
      <c r="N4" s="133"/>
      <c r="O4" s="134" t="s">
        <v>6</v>
      </c>
      <c r="P4" s="134"/>
      <c r="Q4" s="135"/>
      <c r="R4" s="132" t="s">
        <v>716</v>
      </c>
      <c r="S4" s="132"/>
      <c r="T4" s="133"/>
      <c r="U4" s="132" t="s">
        <v>717</v>
      </c>
      <c r="V4" s="132"/>
      <c r="W4" s="135"/>
      <c r="X4" s="118"/>
    </row>
    <row r="5" spans="1:24" ht="15">
      <c r="A5" s="136"/>
      <c r="B5" s="137"/>
      <c r="C5" s="138" t="s">
        <v>718</v>
      </c>
      <c r="D5" s="139" t="s">
        <v>719</v>
      </c>
      <c r="E5" s="140" t="s">
        <v>796</v>
      </c>
      <c r="F5" s="138" t="s">
        <v>718</v>
      </c>
      <c r="G5" s="139" t="s">
        <v>719</v>
      </c>
      <c r="H5" s="140" t="s">
        <v>796</v>
      </c>
      <c r="I5" s="138" t="s">
        <v>718</v>
      </c>
      <c r="J5" s="139" t="s">
        <v>719</v>
      </c>
      <c r="K5" s="140" t="s">
        <v>796</v>
      </c>
      <c r="L5" s="138" t="s">
        <v>718</v>
      </c>
      <c r="M5" s="139" t="s">
        <v>719</v>
      </c>
      <c r="N5" s="140" t="s">
        <v>796</v>
      </c>
      <c r="O5" s="138" t="s">
        <v>718</v>
      </c>
      <c r="P5" s="139" t="s">
        <v>719</v>
      </c>
      <c r="Q5" s="140" t="s">
        <v>796</v>
      </c>
      <c r="R5" s="138" t="s">
        <v>718</v>
      </c>
      <c r="S5" s="139" t="s">
        <v>719</v>
      </c>
      <c r="T5" s="140" t="s">
        <v>796</v>
      </c>
      <c r="U5" s="138" t="s">
        <v>718</v>
      </c>
      <c r="V5" s="139" t="s">
        <v>719</v>
      </c>
      <c r="W5" s="140" t="s">
        <v>796</v>
      </c>
      <c r="X5" s="118"/>
    </row>
    <row r="6" spans="1:24" ht="15">
      <c r="A6" s="118"/>
      <c r="B6" s="128"/>
      <c r="C6" s="118"/>
      <c r="D6" s="124"/>
      <c r="E6" s="124"/>
      <c r="F6" s="118"/>
      <c r="G6" s="124"/>
      <c r="H6" s="124"/>
      <c r="I6" s="118"/>
      <c r="J6" s="124"/>
      <c r="K6" s="124"/>
      <c r="L6" s="118"/>
      <c r="M6" s="124"/>
      <c r="N6" s="124"/>
      <c r="O6" s="118"/>
      <c r="P6" s="124"/>
      <c r="Q6" s="124"/>
      <c r="R6" s="118"/>
      <c r="S6" s="124"/>
      <c r="T6" s="124"/>
      <c r="U6" s="118"/>
      <c r="V6" s="124"/>
      <c r="W6" s="124"/>
      <c r="X6" s="118"/>
    </row>
    <row r="7" spans="1:24" ht="15">
      <c r="A7" s="118" t="s">
        <v>14</v>
      </c>
      <c r="B7" s="128" t="s">
        <v>721</v>
      </c>
      <c r="C7" s="118">
        <f>('Grouped Summary'!C5+'Grouped Summary'!C13)</f>
        <v>680</v>
      </c>
      <c r="D7" s="141">
        <f>IF(C7&gt;0,(('Grouped Summary'!C5*'Grouped Summary'!D5)+(('Grouped Summary'!C13*'Grouped Summary'!D13)*0.81818))/C7,0)</f>
        <v>64536.45851599999</v>
      </c>
      <c r="E7" s="141">
        <f aca="true" t="shared" si="0" ref="E7:E38">C7*D7</f>
        <v>43884791.790879995</v>
      </c>
      <c r="F7" s="118">
        <f>('Grouped Summary'!E5+'Grouped Summary'!E13)</f>
        <v>662</v>
      </c>
      <c r="G7" s="141">
        <f>IF(F7&gt;0,(('Grouped Summary'!E5*'Grouped Summary'!F5)+(('Grouped Summary'!E13*'Grouped Summary'!F13)*0.81818))/F7,0)</f>
        <v>47959.45703018125</v>
      </c>
      <c r="H7" s="141">
        <f aca="true" t="shared" si="1" ref="H7:H38">F7*G7</f>
        <v>31749160.553979985</v>
      </c>
      <c r="I7" s="118">
        <f>('Grouped Summary'!G5+'Grouped Summary'!G13)</f>
        <v>374</v>
      </c>
      <c r="J7" s="141">
        <f>IF(I7&gt;0,(('Grouped Summary'!G5*'Grouped Summary'!H5)+(('Grouped Summary'!G13*'Grouped Summary'!H13)*0.81818))/I7,0)</f>
        <v>40883.37854096256</v>
      </c>
      <c r="K7" s="141">
        <f aca="true" t="shared" si="2" ref="K7:K38">I7*J7</f>
        <v>15290383.574319998</v>
      </c>
      <c r="L7" s="118">
        <f>('Grouped Summary'!I5+'Grouped Summary'!I13)</f>
        <v>149</v>
      </c>
      <c r="M7" s="141">
        <f>IF(L7&gt;0,(('Grouped Summary'!I5*'Grouped Summary'!J5)+(('Grouped Summary'!I13*'Grouped Summary'!J13)*0.81818))/L7,0)</f>
        <v>27002.769393288585</v>
      </c>
      <c r="N7" s="141">
        <f aca="true" t="shared" si="3" ref="N7:N38">L7*M7</f>
        <v>4023412.639599999</v>
      </c>
      <c r="O7" s="118">
        <f>('Grouped Summary'!K5+'Grouped Summary'!K13)</f>
        <v>30</v>
      </c>
      <c r="P7" s="141">
        <f>IF(O7&gt;0,(('Grouped Summary'!K5*'Grouped Summary'!L5)+(('Grouped Summary'!K13*'Grouped Summary'!L13)*0.81818))/O7,0)</f>
        <v>32519.18049333337</v>
      </c>
      <c r="Q7" s="141">
        <f aca="true" t="shared" si="4" ref="Q7:Q39">O7*P7</f>
        <v>975575.4148000011</v>
      </c>
      <c r="R7" s="118">
        <f>('Grouped Summary'!M5+'Grouped Summary'!M13)</f>
        <v>0</v>
      </c>
      <c r="S7" s="141">
        <f>IF(R7&gt;0,(('Grouped Summary'!M5*'Grouped Summary'!N5)+(('Grouped Summary'!M13*'Grouped Summary'!N13)*0.81818))/R7,0)</f>
        <v>0</v>
      </c>
      <c r="T7" s="141">
        <f aca="true" t="shared" si="5" ref="T7:T38">R7*S7</f>
        <v>0</v>
      </c>
      <c r="U7" s="118">
        <f>('Grouped Summary'!O5+'Grouped Summary'!O13)</f>
        <v>1895</v>
      </c>
      <c r="V7" s="141">
        <f>IF(U7&gt;0,(('Grouped Summary'!O5*'Grouped Summary'!P5)+(('Grouped Summary'!O13*'Grouped Summary'!P13)*0.81818))/U7,0)</f>
        <v>50619.1683237889</v>
      </c>
      <c r="W7" s="141">
        <f aca="true" t="shared" si="6" ref="W7:W38">U7*V7</f>
        <v>95923323.97357997</v>
      </c>
      <c r="X7" s="118"/>
    </row>
    <row r="8" spans="1:24" ht="15">
      <c r="A8" s="118" t="s">
        <v>14</v>
      </c>
      <c r="B8" s="128" t="s">
        <v>722</v>
      </c>
      <c r="C8" s="118">
        <f>('Grouped Summary'!C6+'Grouped Summary'!C14)</f>
        <v>122</v>
      </c>
      <c r="D8" s="141">
        <f>IF(C8&gt;0,(('Grouped Summary'!C6*'Grouped Summary'!D6)+(('Grouped Summary'!C14*'Grouped Summary'!D14)*0.81818))/C8,0)</f>
        <v>71253.27814</v>
      </c>
      <c r="E8" s="141">
        <f t="shared" si="0"/>
        <v>8692899.933079999</v>
      </c>
      <c r="F8" s="118">
        <f>('Grouped Summary'!E6+'Grouped Summary'!E14)</f>
        <v>188</v>
      </c>
      <c r="G8" s="141">
        <f>IF(F8&gt;0,(('Grouped Summary'!E6*'Grouped Summary'!F6)+(('Grouped Summary'!E14*'Grouped Summary'!F14)*0.81818))/F8,0)</f>
        <v>48817.570939680845</v>
      </c>
      <c r="H8" s="141">
        <f t="shared" si="1"/>
        <v>9177703.33666</v>
      </c>
      <c r="I8" s="118">
        <f>('Grouped Summary'!G6+'Grouped Summary'!G14)</f>
        <v>111</v>
      </c>
      <c r="J8" s="141">
        <f>IF(I8&gt;0,(('Grouped Summary'!G6*'Grouped Summary'!H6)+(('Grouped Summary'!G14*'Grouped Summary'!H14)*0.81818))/I8,0)</f>
        <v>41074.575697297296</v>
      </c>
      <c r="K8" s="141">
        <f t="shared" si="2"/>
        <v>4559277.9024</v>
      </c>
      <c r="L8" s="118">
        <f>('Grouped Summary'!I6+'Grouped Summary'!I14)</f>
        <v>25</v>
      </c>
      <c r="M8" s="141">
        <f>IF(L8&gt;0,(('Grouped Summary'!I6*'Grouped Summary'!J6)+(('Grouped Summary'!I14*'Grouped Summary'!J14)*0.81818))/L8,0)</f>
        <v>29341.3753536</v>
      </c>
      <c r="N8" s="141">
        <f t="shared" si="3"/>
        <v>733534.38384</v>
      </c>
      <c r="O8" s="118">
        <f>('Grouped Summary'!K6+'Grouped Summary'!K14)</f>
        <v>3</v>
      </c>
      <c r="P8" s="141">
        <f>IF(O8&gt;0,(('Grouped Summary'!K6*'Grouped Summary'!L6)+(('Grouped Summary'!K14*'Grouped Summary'!L14)*0.81818))/O8,0)</f>
        <v>37331.361</v>
      </c>
      <c r="Q8" s="141">
        <f t="shared" si="4"/>
        <v>111994.08299999998</v>
      </c>
      <c r="R8" s="118">
        <f>('Grouped Summary'!M6+'Grouped Summary'!M14)</f>
        <v>0</v>
      </c>
      <c r="S8" s="141">
        <f>IF(R8&gt;0,(('Grouped Summary'!M6*'Grouped Summary'!N6)+(('Grouped Summary'!M14*'Grouped Summary'!N14)*0.81818))/R8,0)</f>
        <v>0</v>
      </c>
      <c r="T8" s="141">
        <f t="shared" si="5"/>
        <v>0</v>
      </c>
      <c r="U8" s="118">
        <f>('Grouped Summary'!O6+'Grouped Summary'!O14)</f>
        <v>449</v>
      </c>
      <c r="V8" s="141">
        <f>IF(U8&gt;0,(('Grouped Summary'!O6*'Grouped Summary'!P6)+(('Grouped Summary'!O14*'Grouped Summary'!P14)*0.81818))/U8,0)</f>
        <v>51838.3288173274</v>
      </c>
      <c r="W8" s="141">
        <f t="shared" si="6"/>
        <v>23275409.63898</v>
      </c>
      <c r="X8" s="118"/>
    </row>
    <row r="9" spans="1:24" ht="15">
      <c r="A9" s="118" t="s">
        <v>14</v>
      </c>
      <c r="B9" s="128" t="s">
        <v>723</v>
      </c>
      <c r="C9" s="118">
        <f>('Grouped Summary'!C7+'Grouped Summary'!C15)</f>
        <v>375</v>
      </c>
      <c r="D9" s="141">
        <f>IF(C9&gt;0,(('Grouped Summary'!C7*'Grouped Summary'!D7)+(('Grouped Summary'!C15*'Grouped Summary'!D15)*0.81818))/C9,0)</f>
        <v>57632.58919199999</v>
      </c>
      <c r="E9" s="141">
        <f t="shared" si="0"/>
        <v>21612220.946999997</v>
      </c>
      <c r="F9" s="118">
        <f>('Grouped Summary'!E7+'Grouped Summary'!E15)</f>
        <v>349</v>
      </c>
      <c r="G9" s="141">
        <f>IF(F9&gt;0,(('Grouped Summary'!E7*'Grouped Summary'!F7)+(('Grouped Summary'!E15*'Grouped Summary'!F15)*0.81818))/F9,0)</f>
        <v>43480.87418280801</v>
      </c>
      <c r="H9" s="141">
        <f t="shared" si="1"/>
        <v>15174825.089799995</v>
      </c>
      <c r="I9" s="118">
        <f>('Grouped Summary'!G7+'Grouped Summary'!G15)</f>
        <v>364</v>
      </c>
      <c r="J9" s="141">
        <f>IF(I9&gt;0,(('Grouped Summary'!G7*'Grouped Summary'!H7)+(('Grouped Summary'!G15*'Grouped Summary'!H15)*0.81818))/I9,0)</f>
        <v>39721.57175060438</v>
      </c>
      <c r="K9" s="141">
        <f t="shared" si="2"/>
        <v>14458652.117219994</v>
      </c>
      <c r="L9" s="118">
        <f>('Grouped Summary'!I7+'Grouped Summary'!I15)</f>
        <v>144</v>
      </c>
      <c r="M9" s="141">
        <f>IF(L9&gt;0,(('Grouped Summary'!I7*'Grouped Summary'!J7)+(('Grouped Summary'!I15*'Grouped Summary'!J15)*0.81818))/L9,0)</f>
        <v>32857.98919694444</v>
      </c>
      <c r="N9" s="141">
        <f t="shared" si="3"/>
        <v>4731550.44436</v>
      </c>
      <c r="O9" s="118">
        <f>('Grouped Summary'!K7+'Grouped Summary'!K15)</f>
        <v>25</v>
      </c>
      <c r="P9" s="141">
        <f>IF(O9&gt;0,(('Grouped Summary'!K7*'Grouped Summary'!L7)+(('Grouped Summary'!K15*'Grouped Summary'!L15)*0.81818))/O9,0)</f>
        <v>30212.10665119998</v>
      </c>
      <c r="Q9" s="141">
        <f t="shared" si="4"/>
        <v>755302.6662799995</v>
      </c>
      <c r="R9" s="118">
        <f>('Grouped Summary'!M7+'Grouped Summary'!M15)</f>
        <v>0</v>
      </c>
      <c r="S9" s="141">
        <f>IF(R9&gt;0,(('Grouped Summary'!M7*'Grouped Summary'!N7)+(('Grouped Summary'!M15*'Grouped Summary'!N15)*0.81818))/R9,0)</f>
        <v>0</v>
      </c>
      <c r="T9" s="141">
        <f t="shared" si="5"/>
        <v>0</v>
      </c>
      <c r="U9" s="118">
        <f>('Grouped Summary'!O7+'Grouped Summary'!O15)</f>
        <v>1257</v>
      </c>
      <c r="V9" s="141">
        <f>IF(U9&gt;0,(('Grouped Summary'!O7*'Grouped Summary'!P7)+(('Grouped Summary'!O15*'Grouped Summary'!P15)*0.81818))/U9,0)</f>
        <v>45133.294562179784</v>
      </c>
      <c r="W9" s="141">
        <f t="shared" si="6"/>
        <v>56732551.264659986</v>
      </c>
      <c r="X9" s="118"/>
    </row>
    <row r="10" spans="1:24" ht="15">
      <c r="A10" s="118" t="s">
        <v>14</v>
      </c>
      <c r="B10" s="128" t="s">
        <v>724</v>
      </c>
      <c r="C10" s="118">
        <f>('Grouped Summary'!C8+'Grouped Summary'!C16)</f>
        <v>131</v>
      </c>
      <c r="D10" s="141">
        <f>IF(C10&gt;0,(('Grouped Summary'!C8*'Grouped Summary'!D8)+(('Grouped Summary'!C16*'Grouped Summary'!D16)*0.81818))/C10,0)</f>
        <v>52779.10563786255</v>
      </c>
      <c r="E10" s="141">
        <f t="shared" si="0"/>
        <v>6914062.8385599945</v>
      </c>
      <c r="F10" s="118">
        <f>('Grouped Summary'!E8+'Grouped Summary'!E16)</f>
        <v>149</v>
      </c>
      <c r="G10" s="141">
        <f>IF(F10&gt;0,(('Grouped Summary'!E8*'Grouped Summary'!F8)+(('Grouped Summary'!E16*'Grouped Summary'!F16)*0.81818))/F10,0)</f>
        <v>42699.32959476511</v>
      </c>
      <c r="H10" s="141">
        <f t="shared" si="1"/>
        <v>6362200.109620002</v>
      </c>
      <c r="I10" s="118">
        <f>('Grouped Summary'!G8+'Grouped Summary'!G16)</f>
        <v>204</v>
      </c>
      <c r="J10" s="141">
        <f>IF(I10&gt;0,(('Grouped Summary'!G8*'Grouped Summary'!H8)+(('Grouped Summary'!G16*'Grouped Summary'!H16)*0.81818))/I10,0)</f>
        <v>34908.778067451014</v>
      </c>
      <c r="K10" s="141">
        <f t="shared" si="2"/>
        <v>7121390.725760007</v>
      </c>
      <c r="L10" s="118">
        <f>('Grouped Summary'!I8+'Grouped Summary'!I16)</f>
        <v>59</v>
      </c>
      <c r="M10" s="141">
        <f>IF(L10&gt;0,(('Grouped Summary'!I8*'Grouped Summary'!J8)+(('Grouped Summary'!I16*'Grouped Summary'!J16)*0.81818))/L10,0)</f>
        <v>27921.29644406781</v>
      </c>
      <c r="N10" s="141">
        <f t="shared" si="3"/>
        <v>1647356.4902000008</v>
      </c>
      <c r="O10" s="118">
        <f>('Grouped Summary'!K8+'Grouped Summary'!K16)</f>
        <v>0</v>
      </c>
      <c r="P10" s="141">
        <f>IF(O10&gt;0,(('Grouped Summary'!K8*'Grouped Summary'!L8)+(('Grouped Summary'!K16*'Grouped Summary'!L16)*0.81818))/O10,0)</f>
        <v>0</v>
      </c>
      <c r="Q10" s="141">
        <f t="shared" si="4"/>
        <v>0</v>
      </c>
      <c r="R10" s="118">
        <f>('Grouped Summary'!M8+'Grouped Summary'!M16)</f>
        <v>0</v>
      </c>
      <c r="S10" s="141">
        <f>IF(R10&gt;0,(('Grouped Summary'!M8*'Grouped Summary'!N8)+(('Grouped Summary'!M16*'Grouped Summary'!N16)*0.81818))/R10,0)</f>
        <v>0</v>
      </c>
      <c r="T10" s="141">
        <f t="shared" si="5"/>
        <v>0</v>
      </c>
      <c r="U10" s="118">
        <f>('Grouped Summary'!O8+'Grouped Summary'!O16)</f>
        <v>543</v>
      </c>
      <c r="V10" s="141">
        <f>IF(U10&gt;0,(('Grouped Summary'!O8*'Grouped Summary'!P8)+(('Grouped Summary'!O16*'Grouped Summary'!P16)*0.81818))/U10,0)</f>
        <v>40598.54542198896</v>
      </c>
      <c r="W10" s="141">
        <f t="shared" si="6"/>
        <v>22045010.164140005</v>
      </c>
      <c r="X10" s="118"/>
    </row>
    <row r="11" spans="1:24" ht="15">
      <c r="A11" s="118" t="s">
        <v>14</v>
      </c>
      <c r="B11" s="128" t="s">
        <v>725</v>
      </c>
      <c r="C11" s="118">
        <f>('Grouped Summary'!C9+'Grouped Summary'!C17)</f>
        <v>144</v>
      </c>
      <c r="D11" s="141">
        <f>IF(C11&gt;0,(('Grouped Summary'!C9*'Grouped Summary'!D9)+(('Grouped Summary'!C17*'Grouped Summary'!D17)*0.81818))/C11,0)</f>
        <v>48725.09043750001</v>
      </c>
      <c r="E11" s="141">
        <f t="shared" si="0"/>
        <v>7016413.023000002</v>
      </c>
      <c r="F11" s="118">
        <f>('Grouped Summary'!E9+'Grouped Summary'!E17)</f>
        <v>154</v>
      </c>
      <c r="G11" s="141">
        <f>IF(F11&gt;0,(('Grouped Summary'!E9*'Grouped Summary'!F9)+(('Grouped Summary'!E17*'Grouped Summary'!F17)*0.81818))/F11,0)</f>
        <v>42082.63434922079</v>
      </c>
      <c r="H11" s="141">
        <f t="shared" si="1"/>
        <v>6480725.6897800015</v>
      </c>
      <c r="I11" s="118">
        <f>('Grouped Summary'!G9+'Grouped Summary'!G17)</f>
        <v>201</v>
      </c>
      <c r="J11" s="141">
        <f>IF(I11&gt;0,(('Grouped Summary'!G9*'Grouped Summary'!H9)+(('Grouped Summary'!G17*'Grouped Summary'!H17)*0.81818))/I11,0)</f>
        <v>36563.016155024896</v>
      </c>
      <c r="K11" s="141">
        <f t="shared" si="2"/>
        <v>7349166.247160004</v>
      </c>
      <c r="L11" s="118">
        <f>('Grouped Summary'!I9+'Grouped Summary'!I17)</f>
        <v>87</v>
      </c>
      <c r="M11" s="141">
        <f>IF(L11&gt;0,(('Grouped Summary'!I9*'Grouped Summary'!J9)+(('Grouped Summary'!I17*'Grouped Summary'!J17)*0.81818))/L11,0)</f>
        <v>30116.90429839083</v>
      </c>
      <c r="N11" s="141">
        <f t="shared" si="3"/>
        <v>2620170.673960002</v>
      </c>
      <c r="O11" s="118">
        <f>('Grouped Summary'!K9+'Grouped Summary'!K17)</f>
        <v>4</v>
      </c>
      <c r="P11" s="141">
        <f>IF(O11&gt;0,(('Grouped Summary'!K9*'Grouped Summary'!L9)+(('Grouped Summary'!K17*'Grouped Summary'!L17)*0.81818))/O11,0)</f>
        <v>20990</v>
      </c>
      <c r="Q11" s="141">
        <f t="shared" si="4"/>
        <v>83960</v>
      </c>
      <c r="R11" s="118">
        <f>('Grouped Summary'!M9+'Grouped Summary'!M17)</f>
        <v>0</v>
      </c>
      <c r="S11" s="141">
        <f>IF(R11&gt;0,(('Grouped Summary'!M9*'Grouped Summary'!N9)+(('Grouped Summary'!M17*'Grouped Summary'!N17)*0.81818))/R11,0)</f>
        <v>0</v>
      </c>
      <c r="T11" s="141">
        <f t="shared" si="5"/>
        <v>0</v>
      </c>
      <c r="U11" s="118">
        <f>('Grouped Summary'!O9+'Grouped Summary'!O17)</f>
        <v>590</v>
      </c>
      <c r="V11" s="141">
        <f>IF(U11&gt;0,(('Grouped Summary'!O9*'Grouped Summary'!P9)+(('Grouped Summary'!O17*'Grouped Summary'!P17)*0.81818))/U11,0)</f>
        <v>39915.992599830526</v>
      </c>
      <c r="W11" s="141">
        <f t="shared" si="6"/>
        <v>23550435.63390001</v>
      </c>
      <c r="X11" s="118"/>
    </row>
    <row r="12" spans="1:24" ht="15">
      <c r="A12" s="118" t="s">
        <v>14</v>
      </c>
      <c r="B12" s="128" t="s">
        <v>726</v>
      </c>
      <c r="C12" s="118">
        <f>('Grouped Summary'!C10+'Grouped Summary'!C18)</f>
        <v>19</v>
      </c>
      <c r="D12" s="141">
        <f>IF(C12&gt;0,(('Grouped Summary'!C10*'Grouped Summary'!D10)+(('Grouped Summary'!C18*'Grouped Summary'!D18)*0.81818))/C12,0)</f>
        <v>51633.07965368421</v>
      </c>
      <c r="E12" s="141">
        <f t="shared" si="0"/>
        <v>981028.51342</v>
      </c>
      <c r="F12" s="118">
        <f>('Grouped Summary'!E10+'Grouped Summary'!E18)</f>
        <v>15</v>
      </c>
      <c r="G12" s="141">
        <f>IF(F12&gt;0,(('Grouped Summary'!E10*'Grouped Summary'!F10)+(('Grouped Summary'!E18*'Grouped Summary'!F18)*0.81818))/F12,0)</f>
        <v>45856</v>
      </c>
      <c r="H12" s="141">
        <f t="shared" si="1"/>
        <v>687840</v>
      </c>
      <c r="I12" s="118">
        <f>('Grouped Summary'!G10+'Grouped Summary'!G18)</f>
        <v>34</v>
      </c>
      <c r="J12" s="141">
        <f>IF(I12&gt;0,(('Grouped Summary'!G10*'Grouped Summary'!H10)+(('Grouped Summary'!G18*'Grouped Summary'!H18)*0.81818))/I12,0)</f>
        <v>40761.384702352945</v>
      </c>
      <c r="K12" s="141">
        <f t="shared" si="2"/>
        <v>1385887.07988</v>
      </c>
      <c r="L12" s="118">
        <f>('Grouped Summary'!I10+'Grouped Summary'!I18)</f>
        <v>3</v>
      </c>
      <c r="M12" s="141">
        <f>IF(L12&gt;0,(('Grouped Summary'!I10*'Grouped Summary'!J10)+(('Grouped Summary'!I18*'Grouped Summary'!J18)*0.81818))/L12,0)</f>
        <v>36729.73656</v>
      </c>
      <c r="N12" s="141">
        <f t="shared" si="3"/>
        <v>110189.20968</v>
      </c>
      <c r="O12" s="118">
        <f>('Grouped Summary'!K10+'Grouped Summary'!K18)</f>
        <v>0</v>
      </c>
      <c r="P12" s="141">
        <f>IF(O12&gt;0,(('Grouped Summary'!K10*'Grouped Summary'!L10)+(('Grouped Summary'!K18*'Grouped Summary'!L18)*0.81818))/O12,0)</f>
        <v>0</v>
      </c>
      <c r="Q12" s="141">
        <f t="shared" si="4"/>
        <v>0</v>
      </c>
      <c r="R12" s="118">
        <f>('Grouped Summary'!M10+'Grouped Summary'!M18)</f>
        <v>0</v>
      </c>
      <c r="S12" s="141">
        <f>IF(R12&gt;0,(('Grouped Summary'!M10*'Grouped Summary'!N10)+(('Grouped Summary'!M18*'Grouped Summary'!N18)*0.81818))/R12,0)</f>
        <v>0</v>
      </c>
      <c r="T12" s="141">
        <f t="shared" si="5"/>
        <v>0</v>
      </c>
      <c r="U12" s="118">
        <f>('Grouped Summary'!O10+'Grouped Summary'!O18)</f>
        <v>71</v>
      </c>
      <c r="V12" s="141">
        <f>IF(U12&gt;0,(('Grouped Summary'!O10*'Grouped Summary'!P10)+(('Grouped Summary'!O18*'Grouped Summary'!P18)*0.81818))/U12,0)</f>
        <v>44576.687365915495</v>
      </c>
      <c r="W12" s="141">
        <f t="shared" si="6"/>
        <v>3164944.80298</v>
      </c>
      <c r="X12" s="118"/>
    </row>
    <row r="13" spans="1:24" ht="15">
      <c r="A13" s="118"/>
      <c r="B13" s="142" t="s">
        <v>797</v>
      </c>
      <c r="C13" s="143">
        <f>SUM(C7:C12)</f>
        <v>1471</v>
      </c>
      <c r="D13" s="144">
        <f>((C7*D7)+(C8*D8)+(C9*D9)+(C10*D10)+(C11*D11)+(C12*D12))/C13</f>
        <v>60572.00343027872</v>
      </c>
      <c r="E13" s="141">
        <f t="shared" si="0"/>
        <v>89101417.04594</v>
      </c>
      <c r="F13" s="143">
        <f>SUM(F7:F12)</f>
        <v>1517</v>
      </c>
      <c r="G13" s="144">
        <f>((F7*G7)+(F8*G8)+(F9*G9)+(F10*G10)+(F11*G11)+(F12*G12))/F13</f>
        <v>45901.42042177981</v>
      </c>
      <c r="H13" s="141">
        <f t="shared" si="1"/>
        <v>69632454.77983998</v>
      </c>
      <c r="I13" s="143">
        <f>SUM(I7:I12)</f>
        <v>1288</v>
      </c>
      <c r="J13" s="144">
        <f>((I7*J7)+(I8*J8)+(I9*J9)+(I10*J10)+(I11*J11)+(I12*J12))/I13</f>
        <v>38947.79320399068</v>
      </c>
      <c r="K13" s="141">
        <f t="shared" si="2"/>
        <v>50164757.64674</v>
      </c>
      <c r="L13" s="143">
        <f>SUM(L7:L12)</f>
        <v>467</v>
      </c>
      <c r="M13" s="144">
        <f>((L7*M7)+(L8*M8)+(L9*M9)+(L10*M10)+(L11*M11)+(L12*M12))/L13</f>
        <v>29692.10672728052</v>
      </c>
      <c r="N13" s="141">
        <f t="shared" si="3"/>
        <v>13866213.841640003</v>
      </c>
      <c r="O13" s="143">
        <f>SUM(O7:O12)</f>
        <v>62</v>
      </c>
      <c r="P13" s="144">
        <f>((O7*P7)+(O8*P8)+(O9*P9)+(O10*P10)+(O11*P11)+(O12*P12))/O13</f>
        <v>31077.93813032259</v>
      </c>
      <c r="Q13" s="141">
        <f t="shared" si="4"/>
        <v>1926832.1640800005</v>
      </c>
      <c r="R13" s="143">
        <f>SUM(R7:R12)</f>
        <v>0</v>
      </c>
      <c r="S13" s="144">
        <f>IF(R13&gt;0,((R7*S7)+(R8*S8)+(R9*S9)+(R10*S10)+(R11*S11)+(R12*S12))/R13,0)</f>
        <v>0</v>
      </c>
      <c r="T13" s="141">
        <f t="shared" si="5"/>
        <v>0</v>
      </c>
      <c r="U13" s="143">
        <f>SUM(U7:U12)</f>
        <v>4805</v>
      </c>
      <c r="V13" s="144">
        <f>((U7*V7)+(U8*V8)+(U9*V9)+(U10*V10)+(U11*V11)+(U12*V12))/U13</f>
        <v>46762.05525041415</v>
      </c>
      <c r="W13" s="141">
        <f t="shared" si="6"/>
        <v>224691675.47824</v>
      </c>
      <c r="X13" s="118"/>
    </row>
    <row r="14" spans="1:24" ht="15">
      <c r="A14" s="118" t="s">
        <v>14</v>
      </c>
      <c r="B14" s="128" t="s">
        <v>727</v>
      </c>
      <c r="C14" s="118">
        <f>('Grouped Summary'!C11+'Grouped Summary'!C19)</f>
        <v>0</v>
      </c>
      <c r="D14" s="141">
        <f>IF(C14&gt;0,(('Grouped Summary'!C11*'Grouped Summary'!D11)+(('Grouped Summary'!C19*'Grouped Summary'!D19)*0.81818))/C14,0)</f>
        <v>0</v>
      </c>
      <c r="E14" s="141">
        <f t="shared" si="0"/>
        <v>0</v>
      </c>
      <c r="F14" s="118">
        <f>('Grouped Summary'!E11+'Grouped Summary'!E19)</f>
        <v>0</v>
      </c>
      <c r="G14" s="141">
        <f>IF(F14&gt;0,(('Grouped Summary'!E11*'Grouped Summary'!F11)+(('Grouped Summary'!E19*'Grouped Summary'!F19)*0.81818))/F14,0)</f>
        <v>0</v>
      </c>
      <c r="H14" s="141">
        <f t="shared" si="1"/>
        <v>0</v>
      </c>
      <c r="I14" s="118">
        <f>('Grouped Summary'!G11+'Grouped Summary'!G19)</f>
        <v>0</v>
      </c>
      <c r="J14" s="141">
        <f>IF(I14&gt;0,(('Grouped Summary'!G11*'Grouped Summary'!H11)+(('Grouped Summary'!G19*'Grouped Summary'!H19)*0.81818))/I14,0)</f>
        <v>0</v>
      </c>
      <c r="K14" s="141">
        <f t="shared" si="2"/>
        <v>0</v>
      </c>
      <c r="L14" s="118">
        <f>('Grouped Summary'!I11+'Grouped Summary'!I19)</f>
        <v>0</v>
      </c>
      <c r="M14" s="141">
        <f>IF(L14&gt;0,(('Grouped Summary'!I11*'Grouped Summary'!J11)+(('Grouped Summary'!I19*'Grouped Summary'!J19)*0.81818))/L14,0)</f>
        <v>0</v>
      </c>
      <c r="N14" s="141">
        <f t="shared" si="3"/>
        <v>0</v>
      </c>
      <c r="O14" s="118">
        <f>('Grouped Summary'!K11+'Grouped Summary'!K19)</f>
        <v>0</v>
      </c>
      <c r="P14" s="141">
        <f>IF(O14&gt;0,(('Grouped Summary'!K11*'Grouped Summary'!L11)+(('Grouped Summary'!K19*'Grouped Summary'!L19)*0.81818))/O14,0)</f>
        <v>0</v>
      </c>
      <c r="Q14" s="141">
        <f t="shared" si="4"/>
        <v>0</v>
      </c>
      <c r="R14" s="118">
        <f>('Grouped Summary'!M11+'Grouped Summary'!M19)</f>
        <v>1412</v>
      </c>
      <c r="S14" s="141">
        <f>IF(R14&gt;0,(('Grouped Summary'!M11*'Grouped Summary'!N11)+(('Grouped Summary'!M19*'Grouped Summary'!N19)*0.81818))/R14,0)</f>
        <v>38213.75068888102</v>
      </c>
      <c r="T14" s="141">
        <f t="shared" si="5"/>
        <v>53957815.97269999</v>
      </c>
      <c r="U14" s="118">
        <f>('Grouped Summary'!O11+'Grouped Summary'!O19)</f>
        <v>1412</v>
      </c>
      <c r="V14" s="141">
        <f>IF(U14&gt;0,(('Grouped Summary'!O11*'Grouped Summary'!P11)+(('Grouped Summary'!O19*'Grouped Summary'!P19)*0.81818))/U14,0)</f>
        <v>38213.75068888102</v>
      </c>
      <c r="W14" s="141">
        <f t="shared" si="6"/>
        <v>53957815.97269999</v>
      </c>
      <c r="X14" s="118"/>
    </row>
    <row r="15" spans="1:24" ht="15">
      <c r="A15" s="119" t="s">
        <v>14</v>
      </c>
      <c r="B15" s="137" t="s">
        <v>728</v>
      </c>
      <c r="C15" s="119">
        <f>('Grouped Summary'!C12+'Grouped Summary'!C20)</f>
        <v>0</v>
      </c>
      <c r="D15" s="145">
        <f>IF(C15&gt;0,(('Grouped Summary'!C12*'Grouped Summary'!D12)+(('Grouped Summary'!C20*'Grouped Summary'!D20)*0.81818))/C15,0)</f>
        <v>0</v>
      </c>
      <c r="E15" s="145">
        <f t="shared" si="0"/>
        <v>0</v>
      </c>
      <c r="F15" s="119">
        <f>('Grouped Summary'!E12+'Grouped Summary'!E20)</f>
        <v>0</v>
      </c>
      <c r="G15" s="145">
        <f>IF(F15&gt;0,(('Grouped Summary'!E12*'Grouped Summary'!F12)+(('Grouped Summary'!E20*'Grouped Summary'!F20)*0.81818))/F15,0)</f>
        <v>0</v>
      </c>
      <c r="H15" s="145">
        <f t="shared" si="1"/>
        <v>0</v>
      </c>
      <c r="I15" s="119">
        <f>('Grouped Summary'!G12+'Grouped Summary'!G20)</f>
        <v>0</v>
      </c>
      <c r="J15" s="145">
        <f>IF(I15&gt;0,(('Grouped Summary'!G12*'Grouped Summary'!H12)+(('Grouped Summary'!G20*'Grouped Summary'!H20)*0.81818))/I15,0)</f>
        <v>0</v>
      </c>
      <c r="K15" s="145">
        <f t="shared" si="2"/>
        <v>0</v>
      </c>
      <c r="L15" s="119">
        <f>('Grouped Summary'!I12+'Grouped Summary'!I20)</f>
        <v>0</v>
      </c>
      <c r="M15" s="145">
        <f>IF(L15&gt;0,(('Grouped Summary'!I12*'Grouped Summary'!J12)+(('Grouped Summary'!I20*'Grouped Summary'!J20)*0.81818))/L15,0)</f>
        <v>0</v>
      </c>
      <c r="N15" s="145">
        <f t="shared" si="3"/>
        <v>0</v>
      </c>
      <c r="O15" s="119">
        <f>('Grouped Summary'!K12+'Grouped Summary'!K20)</f>
        <v>0</v>
      </c>
      <c r="P15" s="145">
        <f>IF(O15&gt;0,(('Grouped Summary'!K12*'Grouped Summary'!L12)+(('Grouped Summary'!K20*'Grouped Summary'!L20)*0.81818))/O15,0)</f>
        <v>0</v>
      </c>
      <c r="Q15" s="145">
        <f t="shared" si="4"/>
        <v>0</v>
      </c>
      <c r="R15" s="119">
        <f>('Grouped Summary'!M12+'Grouped Summary'!M20)</f>
        <v>307</v>
      </c>
      <c r="S15" s="145">
        <f>IF(R15&gt;0,(('Grouped Summary'!M12*'Grouped Summary'!N12)+(('Grouped Summary'!M20*'Grouped Summary'!N20)*0.81818))/R15,0)</f>
        <v>40816.46853198694</v>
      </c>
      <c r="T15" s="145">
        <f t="shared" si="5"/>
        <v>12530655.839319991</v>
      </c>
      <c r="U15" s="119">
        <f>('Grouped Summary'!O12+'Grouped Summary'!O20)</f>
        <v>307</v>
      </c>
      <c r="V15" s="145">
        <f>IF(U15&gt;0,(('Grouped Summary'!O12*'Grouped Summary'!P12)+(('Grouped Summary'!O20*'Grouped Summary'!P20)*0.81818))/U15,0)</f>
        <v>40816.46853198694</v>
      </c>
      <c r="W15" s="145">
        <f t="shared" si="6"/>
        <v>12530655.839319991</v>
      </c>
      <c r="X15" s="118"/>
    </row>
    <row r="16" spans="1:24" ht="15">
      <c r="A16" s="118" t="s">
        <v>63</v>
      </c>
      <c r="B16" s="128" t="s">
        <v>721</v>
      </c>
      <c r="C16" s="118">
        <f>('Grouped Summary'!C21+'Grouped Summary'!C29)</f>
        <v>311</v>
      </c>
      <c r="D16" s="141">
        <f>IF(C16&gt;0,(('Grouped Summary'!C21*'Grouped Summary'!D21)+(('Grouped Summary'!C29*'Grouped Summary'!D29)*0.81818))/C16,0)</f>
        <v>65962.92756424437</v>
      </c>
      <c r="E16" s="141">
        <f t="shared" si="0"/>
        <v>20514470.47248</v>
      </c>
      <c r="F16" s="118">
        <f>('Grouped Summary'!E21+'Grouped Summary'!E29)</f>
        <v>221</v>
      </c>
      <c r="G16" s="141">
        <f>IF(F16&gt;0,(('Grouped Summary'!E21*'Grouped Summary'!F21)+(('Grouped Summary'!E29*'Grouped Summary'!F29)*0.81818))/F16,0)</f>
        <v>49693.28471556561</v>
      </c>
      <c r="H16" s="141">
        <f t="shared" si="1"/>
        <v>10982215.92214</v>
      </c>
      <c r="I16" s="118">
        <f>('Grouped Summary'!G21+'Grouped Summary'!G29)</f>
        <v>214</v>
      </c>
      <c r="J16" s="141">
        <f>IF(I16&gt;0,(('Grouped Summary'!G21*'Grouped Summary'!H21)+(('Grouped Summary'!G29*'Grouped Summary'!H29)*0.81818))/I16,0)</f>
        <v>42201.556022336445</v>
      </c>
      <c r="K16" s="141">
        <f t="shared" si="2"/>
        <v>9031132.98878</v>
      </c>
      <c r="L16" s="118">
        <f>('Grouped Summary'!I21+'Grouped Summary'!I29)</f>
        <v>63</v>
      </c>
      <c r="M16" s="141">
        <f>IF(L16&gt;0,(('Grouped Summary'!I21*'Grouped Summary'!J21)+(('Grouped Summary'!I29*'Grouped Summary'!J29)*0.81818))/L16,0)</f>
        <v>29049.84297904762</v>
      </c>
      <c r="N16" s="141">
        <f t="shared" si="3"/>
        <v>1830140.10768</v>
      </c>
      <c r="O16" s="118">
        <f>('Grouped Summary'!K21+'Grouped Summary'!K29)</f>
        <v>19</v>
      </c>
      <c r="P16" s="141">
        <f>IF(O16&gt;0,(('Grouped Summary'!K21*'Grouped Summary'!L21)+(('Grouped Summary'!K29*'Grouped Summary'!L29)*0.81818))/O16,0)</f>
        <v>18842</v>
      </c>
      <c r="Q16" s="141">
        <f t="shared" si="4"/>
        <v>357998</v>
      </c>
      <c r="R16" s="118">
        <f>('Grouped Summary'!M21+'Grouped Summary'!M29)</f>
        <v>0</v>
      </c>
      <c r="S16" s="141">
        <f>IF(R16&gt;0,(('Grouped Summary'!M21*'Grouped Summary'!N21)+(('Grouped Summary'!M29*'Grouped Summary'!N29)*0.81818))/R16,0)</f>
        <v>0</v>
      </c>
      <c r="T16" s="141">
        <f t="shared" si="5"/>
        <v>0</v>
      </c>
      <c r="U16" s="118">
        <f>('Grouped Summary'!O21+'Grouped Summary'!O29)</f>
        <v>828</v>
      </c>
      <c r="V16" s="141">
        <f>IF(U16&gt;0,(('Grouped Summary'!O21*'Grouped Summary'!P21)+(('Grouped Summary'!O29*'Grouped Summary'!P29)*0.81818))/U16,0)</f>
        <v>51589.32064140097</v>
      </c>
      <c r="W16" s="141">
        <f t="shared" si="6"/>
        <v>42715957.49108</v>
      </c>
      <c r="X16" s="118"/>
    </row>
    <row r="17" spans="1:24" ht="15">
      <c r="A17" s="118" t="s">
        <v>63</v>
      </c>
      <c r="B17" s="128" t="s">
        <v>722</v>
      </c>
      <c r="C17" s="118">
        <f>('Grouped Summary'!C22+'Grouped Summary'!C30)</f>
        <v>0</v>
      </c>
      <c r="D17" s="141">
        <f>IF(C17&gt;0,(('Grouped Summary'!C22*'Grouped Summary'!D22)+(('Grouped Summary'!C30*'Grouped Summary'!D30)*0.81818))/C17,0)</f>
        <v>0</v>
      </c>
      <c r="E17" s="141">
        <f t="shared" si="0"/>
        <v>0</v>
      </c>
      <c r="F17" s="118">
        <f>('Grouped Summary'!E22+'Grouped Summary'!E30)</f>
        <v>0</v>
      </c>
      <c r="G17" s="141">
        <f>IF(F17&gt;0,(('Grouped Summary'!E22*'Grouped Summary'!F22)+(('Grouped Summary'!E30*'Grouped Summary'!F30)*0.81818))/F17,0)</f>
        <v>0</v>
      </c>
      <c r="H17" s="141">
        <f t="shared" si="1"/>
        <v>0</v>
      </c>
      <c r="I17" s="118">
        <f>('Grouped Summary'!G22+'Grouped Summary'!G30)</f>
        <v>0</v>
      </c>
      <c r="J17" s="141">
        <f>IF(I17&gt;0,(('Grouped Summary'!G22*'Grouped Summary'!H22)+(('Grouped Summary'!G30*'Grouped Summary'!H30)*0.81818))/I17,0)</f>
        <v>0</v>
      </c>
      <c r="K17" s="141">
        <f t="shared" si="2"/>
        <v>0</v>
      </c>
      <c r="L17" s="118">
        <f>('Grouped Summary'!I22+'Grouped Summary'!I30)</f>
        <v>0</v>
      </c>
      <c r="M17" s="141">
        <f>IF(L17&gt;0,(('Grouped Summary'!I22*'Grouped Summary'!J22)+(('Grouped Summary'!I30*'Grouped Summary'!J30)*0.81818))/L17,0)</f>
        <v>0</v>
      </c>
      <c r="N17" s="141">
        <f t="shared" si="3"/>
        <v>0</v>
      </c>
      <c r="O17" s="118">
        <f>('Grouped Summary'!K22+'Grouped Summary'!K30)</f>
        <v>0</v>
      </c>
      <c r="P17" s="141">
        <f>IF(O17&gt;0,(('Grouped Summary'!K22*'Grouped Summary'!L22)+(('Grouped Summary'!K30*'Grouped Summary'!L30)*0.81818))/O17,0)</f>
        <v>0</v>
      </c>
      <c r="Q17" s="141">
        <f t="shared" si="4"/>
        <v>0</v>
      </c>
      <c r="R17" s="118">
        <f>('Grouped Summary'!M22+'Grouped Summary'!M30)</f>
        <v>0</v>
      </c>
      <c r="S17" s="141">
        <f>IF(R17&gt;0,(('Grouped Summary'!M22*'Grouped Summary'!N22)+(('Grouped Summary'!M30*'Grouped Summary'!N30)*0.81818))/R17,0)</f>
        <v>0</v>
      </c>
      <c r="T17" s="141">
        <f t="shared" si="5"/>
        <v>0</v>
      </c>
      <c r="U17" s="118">
        <f>('Grouped Summary'!O22+'Grouped Summary'!O30)</f>
        <v>0</v>
      </c>
      <c r="V17" s="141">
        <f>IF(U17&gt;0,(('Grouped Summary'!O22*'Grouped Summary'!P22)+(('Grouped Summary'!O30*'Grouped Summary'!P30)*0.81818))/U17,0)</f>
        <v>0</v>
      </c>
      <c r="W17" s="141">
        <f t="shared" si="6"/>
        <v>0</v>
      </c>
      <c r="X17" s="118"/>
    </row>
    <row r="18" spans="1:24" ht="15">
      <c r="A18" s="118" t="s">
        <v>63</v>
      </c>
      <c r="B18" s="128" t="s">
        <v>723</v>
      </c>
      <c r="C18" s="118">
        <f>('Grouped Summary'!C23+'Grouped Summary'!C31)</f>
        <v>323</v>
      </c>
      <c r="D18" s="141">
        <f>IF(C18&gt;0,(('Grouped Summary'!C23*'Grouped Summary'!D23)+(('Grouped Summary'!C31*'Grouped Summary'!D31)*0.81818))/C18,0)</f>
        <v>58427.726687244576</v>
      </c>
      <c r="E18" s="141">
        <f t="shared" si="0"/>
        <v>18872155.719979998</v>
      </c>
      <c r="F18" s="118">
        <f>('Grouped Summary'!E23+'Grouped Summary'!E31)</f>
        <v>287</v>
      </c>
      <c r="G18" s="141">
        <f>IF(F18&gt;0,(('Grouped Summary'!E23*'Grouped Summary'!F23)+(('Grouped Summary'!E31*'Grouped Summary'!F31)*0.81818))/F18,0)</f>
        <v>46971.03812139373</v>
      </c>
      <c r="H18" s="141">
        <f t="shared" si="1"/>
        <v>13480687.94084</v>
      </c>
      <c r="I18" s="118">
        <f>('Grouped Summary'!G23+'Grouped Summary'!G31)</f>
        <v>314</v>
      </c>
      <c r="J18" s="141">
        <f>IF(I18&gt;0,(('Grouped Summary'!G23*'Grouped Summary'!H23)+(('Grouped Summary'!G31*'Grouped Summary'!H31)*0.81818))/I18,0)</f>
        <v>39310.06603910827</v>
      </c>
      <c r="K18" s="141">
        <f t="shared" si="2"/>
        <v>12343360.736279998</v>
      </c>
      <c r="L18" s="118">
        <f>('Grouped Summary'!I23+'Grouped Summary'!I31)</f>
        <v>241</v>
      </c>
      <c r="M18" s="141">
        <f>IF(L18&gt;0,(('Grouped Summary'!I23*'Grouped Summary'!J23)+(('Grouped Summary'!I31*'Grouped Summary'!J31)*0.81818))/L18,0)</f>
        <v>29891.63756904563</v>
      </c>
      <c r="N18" s="141">
        <f t="shared" si="3"/>
        <v>7203884.6541399965</v>
      </c>
      <c r="O18" s="118">
        <f>('Grouped Summary'!K23+'Grouped Summary'!K31)</f>
        <v>36</v>
      </c>
      <c r="P18" s="141">
        <f>IF(O18&gt;0,(('Grouped Summary'!K23*'Grouped Summary'!L23)+(('Grouped Summary'!K31*'Grouped Summary'!L31)*0.81818))/O18,0)</f>
        <v>8959.046833333334</v>
      </c>
      <c r="Q18" s="141">
        <f t="shared" si="4"/>
        <v>322525.686</v>
      </c>
      <c r="R18" s="118">
        <f>('Grouped Summary'!M23+'Grouped Summary'!M31)</f>
        <v>0</v>
      </c>
      <c r="S18" s="141">
        <f>IF(R18&gt;0,(('Grouped Summary'!M23*'Grouped Summary'!N23)+(('Grouped Summary'!M31*'Grouped Summary'!N31)*0.81818))/R18,0)</f>
        <v>0</v>
      </c>
      <c r="T18" s="141">
        <f t="shared" si="5"/>
        <v>0</v>
      </c>
      <c r="U18" s="118">
        <f>('Grouped Summary'!O23+'Grouped Summary'!O31)</f>
        <v>1201</v>
      </c>
      <c r="V18" s="141">
        <f>IF(U18&gt;0,(('Grouped Summary'!O23*'Grouped Summary'!P23)+(('Grouped Summary'!O31*'Grouped Summary'!P31)*0.81818))/U18,0)</f>
        <v>43482.610105945045</v>
      </c>
      <c r="W18" s="141">
        <f t="shared" si="6"/>
        <v>52222614.73724</v>
      </c>
      <c r="X18" s="118"/>
    </row>
    <row r="19" spans="1:24" ht="15">
      <c r="A19" s="118" t="s">
        <v>63</v>
      </c>
      <c r="B19" s="128" t="s">
        <v>724</v>
      </c>
      <c r="C19" s="118">
        <f>('Grouped Summary'!C24+'Grouped Summary'!C32)</f>
        <v>0</v>
      </c>
      <c r="D19" s="141">
        <f>IF(C19&gt;0,(('Grouped Summary'!C24*'Grouped Summary'!D24)+(('Grouped Summary'!C32*'Grouped Summary'!D32)*0.81818))/C19,0)</f>
        <v>0</v>
      </c>
      <c r="E19" s="141">
        <f t="shared" si="0"/>
        <v>0</v>
      </c>
      <c r="F19" s="118">
        <f>('Grouped Summary'!E24+'Grouped Summary'!E32)</f>
        <v>0</v>
      </c>
      <c r="G19" s="141">
        <f>IF(F19&gt;0,(('Grouped Summary'!E24*'Grouped Summary'!F24)+(('Grouped Summary'!E32*'Grouped Summary'!F32)*0.81818))/F19,0)</f>
        <v>0</v>
      </c>
      <c r="H19" s="141">
        <f t="shared" si="1"/>
        <v>0</v>
      </c>
      <c r="I19" s="118">
        <f>('Grouped Summary'!G24+'Grouped Summary'!G32)</f>
        <v>0</v>
      </c>
      <c r="J19" s="141">
        <f>IF(I19&gt;0,(('Grouped Summary'!G24*'Grouped Summary'!H24)+(('Grouped Summary'!G32*'Grouped Summary'!H32)*0.81818))/I19,0)</f>
        <v>0</v>
      </c>
      <c r="K19" s="141">
        <f t="shared" si="2"/>
        <v>0</v>
      </c>
      <c r="L19" s="118">
        <f>('Grouped Summary'!I24+'Grouped Summary'!I32)</f>
        <v>0</v>
      </c>
      <c r="M19" s="141">
        <f>IF(L19&gt;0,(('Grouped Summary'!I24*'Grouped Summary'!J24)+(('Grouped Summary'!I32*'Grouped Summary'!J32)*0.81818))/L19,0)</f>
        <v>0</v>
      </c>
      <c r="N19" s="141">
        <f t="shared" si="3"/>
        <v>0</v>
      </c>
      <c r="O19" s="118">
        <f>('Grouped Summary'!K24+'Grouped Summary'!K32)</f>
        <v>0</v>
      </c>
      <c r="P19" s="141">
        <f>IF(O19&gt;0,(('Grouped Summary'!K24*'Grouped Summary'!L24)+(('Grouped Summary'!K32*'Grouped Summary'!L32)*0.81818))/O19,0)</f>
        <v>0</v>
      </c>
      <c r="Q19" s="141">
        <f t="shared" si="4"/>
        <v>0</v>
      </c>
      <c r="R19" s="118">
        <f>('Grouped Summary'!M24+'Grouped Summary'!M32)</f>
        <v>0</v>
      </c>
      <c r="S19" s="141">
        <f>IF(R19&gt;0,(('Grouped Summary'!M24*'Grouped Summary'!N24)+(('Grouped Summary'!M32*'Grouped Summary'!N32)*0.81818))/R19,0)</f>
        <v>0</v>
      </c>
      <c r="T19" s="141">
        <f t="shared" si="5"/>
        <v>0</v>
      </c>
      <c r="U19" s="118">
        <f>('Grouped Summary'!O24+'Grouped Summary'!O32)</f>
        <v>0</v>
      </c>
      <c r="V19" s="141">
        <f>IF(U19&gt;0,(('Grouped Summary'!O24*'Grouped Summary'!P24)+(('Grouped Summary'!O32*'Grouped Summary'!P32)*0.81818))/U19,0)</f>
        <v>0</v>
      </c>
      <c r="W19" s="141">
        <f t="shared" si="6"/>
        <v>0</v>
      </c>
      <c r="X19" s="118"/>
    </row>
    <row r="20" spans="1:24" ht="15">
      <c r="A20" s="118" t="s">
        <v>63</v>
      </c>
      <c r="B20" s="128" t="s">
        <v>725</v>
      </c>
      <c r="C20" s="118">
        <f>('Grouped Summary'!C25+'Grouped Summary'!C33)</f>
        <v>141</v>
      </c>
      <c r="D20" s="141">
        <f>IF(C20&gt;0,(('Grouped Summary'!C25*'Grouped Summary'!D25)+(('Grouped Summary'!C33*'Grouped Summary'!D33)*0.81818))/C20,0)</f>
        <v>49485.25146581556</v>
      </c>
      <c r="E20" s="141">
        <f t="shared" si="0"/>
        <v>6977420.456679994</v>
      </c>
      <c r="F20" s="118">
        <f>('Grouped Summary'!E25+'Grouped Summary'!E33)</f>
        <v>144</v>
      </c>
      <c r="G20" s="141">
        <f>IF(F20&gt;0,(('Grouped Summary'!E25*'Grouped Summary'!F25)+(('Grouped Summary'!E33*'Grouped Summary'!F33)*0.81818))/F20,0)</f>
        <v>41851.05186916665</v>
      </c>
      <c r="H20" s="141">
        <f t="shared" si="1"/>
        <v>6026551.469159998</v>
      </c>
      <c r="I20" s="118">
        <f>('Grouped Summary'!G25+'Grouped Summary'!G33)</f>
        <v>114</v>
      </c>
      <c r="J20" s="141">
        <f>IF(I20&gt;0,(('Grouped Summary'!G25*'Grouped Summary'!H25)+(('Grouped Summary'!G33*'Grouped Summary'!H33)*0.81818))/I20,0)</f>
        <v>36183.20728403507</v>
      </c>
      <c r="K20" s="141">
        <f t="shared" si="2"/>
        <v>4124885.6303799977</v>
      </c>
      <c r="L20" s="118">
        <f>('Grouped Summary'!I25+'Grouped Summary'!I33)</f>
        <v>52</v>
      </c>
      <c r="M20" s="141">
        <f>IF(L20&gt;0,(('Grouped Summary'!I25*'Grouped Summary'!J25)+(('Grouped Summary'!I33*'Grouped Summary'!J33)*0.81818))/L20,0)</f>
        <v>29381.082111153868</v>
      </c>
      <c r="N20" s="141">
        <f t="shared" si="3"/>
        <v>1527816.2697800011</v>
      </c>
      <c r="O20" s="118">
        <f>('Grouped Summary'!K25+'Grouped Summary'!K33)</f>
        <v>0</v>
      </c>
      <c r="P20" s="141">
        <f>IF(O20&gt;0,(('Grouped Summary'!K25*'Grouped Summary'!L25)+(('Grouped Summary'!K33*'Grouped Summary'!L33)*0.81818))/O20,0)</f>
        <v>0</v>
      </c>
      <c r="Q20" s="141">
        <f t="shared" si="4"/>
        <v>0</v>
      </c>
      <c r="R20" s="118">
        <f>('Grouped Summary'!M25+'Grouped Summary'!M33)</f>
        <v>0</v>
      </c>
      <c r="S20" s="141">
        <f>IF(R20&gt;0,(('Grouped Summary'!M25*'Grouped Summary'!N25)+(('Grouped Summary'!M33*'Grouped Summary'!N33)*0.81818))/R20,0)</f>
        <v>0</v>
      </c>
      <c r="T20" s="141">
        <f t="shared" si="5"/>
        <v>0</v>
      </c>
      <c r="U20" s="118">
        <f>('Grouped Summary'!O25+'Grouped Summary'!O33)</f>
        <v>451</v>
      </c>
      <c r="V20" s="141">
        <f>IF(U20&gt;0,(('Grouped Summary'!O25*'Grouped Summary'!P25)+(('Grouped Summary'!O33*'Grouped Summary'!P33)*0.81818))/U20,0)</f>
        <v>41367.34772949</v>
      </c>
      <c r="W20" s="141">
        <f t="shared" si="6"/>
        <v>18656673.82599999</v>
      </c>
      <c r="X20" s="118"/>
    </row>
    <row r="21" spans="1:24" ht="15">
      <c r="A21" s="118" t="s">
        <v>63</v>
      </c>
      <c r="B21" s="128" t="s">
        <v>726</v>
      </c>
      <c r="C21" s="118">
        <f>('Grouped Summary'!C26+'Grouped Summary'!C34)</f>
        <v>60</v>
      </c>
      <c r="D21" s="141">
        <f>IF(C21&gt;0,(('Grouped Summary'!C26*'Grouped Summary'!D26)+(('Grouped Summary'!C34*'Grouped Summary'!D34)*0.81818))/C21,0)</f>
        <v>46819.570173</v>
      </c>
      <c r="E21" s="141">
        <f t="shared" si="0"/>
        <v>2809174.21038</v>
      </c>
      <c r="F21" s="118">
        <f>('Grouped Summary'!E26+'Grouped Summary'!E34)</f>
        <v>61</v>
      </c>
      <c r="G21" s="141">
        <f>IF(F21&gt;0,(('Grouped Summary'!E26*'Grouped Summary'!F26)+(('Grouped Summary'!E34*'Grouped Summary'!F34)*0.81818))/F21,0)</f>
        <v>41542.27303016396</v>
      </c>
      <c r="H21" s="141">
        <f t="shared" si="1"/>
        <v>2534078.6548400014</v>
      </c>
      <c r="I21" s="118">
        <f>('Grouped Summary'!G26+'Grouped Summary'!G34)</f>
        <v>92</v>
      </c>
      <c r="J21" s="141">
        <f>IF(I21&gt;0,(('Grouped Summary'!G26*'Grouped Summary'!H26)+(('Grouped Summary'!G34*'Grouped Summary'!H34)*0.81818))/I21,0)</f>
        <v>35625.18853500002</v>
      </c>
      <c r="K21" s="141">
        <f t="shared" si="2"/>
        <v>3277517.3452200023</v>
      </c>
      <c r="L21" s="118">
        <f>('Grouped Summary'!I26+'Grouped Summary'!I34)</f>
        <v>68</v>
      </c>
      <c r="M21" s="141">
        <f>IF(L21&gt;0,(('Grouped Summary'!I26*'Grouped Summary'!J26)+(('Grouped Summary'!I34*'Grouped Summary'!J34)*0.81818))/L21,0)</f>
        <v>28958.709477058794</v>
      </c>
      <c r="N21" s="141">
        <f t="shared" si="3"/>
        <v>1969192.244439998</v>
      </c>
      <c r="O21" s="118">
        <f>('Grouped Summary'!K26+'Grouped Summary'!K34)</f>
        <v>2</v>
      </c>
      <c r="P21" s="141">
        <f>IF(O21&gt;0,(('Grouped Summary'!K26*'Grouped Summary'!L26)+(('Grouped Summary'!K34*'Grouped Summary'!L34)*0.81818))/O21,0)</f>
        <v>25349.28444</v>
      </c>
      <c r="Q21" s="141">
        <f t="shared" si="4"/>
        <v>50698.56888</v>
      </c>
      <c r="R21" s="118">
        <f>('Grouped Summary'!M26+'Grouped Summary'!M34)</f>
        <v>0</v>
      </c>
      <c r="S21" s="141">
        <f>IF(R21&gt;0,(('Grouped Summary'!M26*'Grouped Summary'!N26)+(('Grouped Summary'!M34*'Grouped Summary'!N34)*0.81818))/R21,0)</f>
        <v>0</v>
      </c>
      <c r="T21" s="141">
        <f t="shared" si="5"/>
        <v>0</v>
      </c>
      <c r="U21" s="118">
        <f>('Grouped Summary'!O26+'Grouped Summary'!O34)</f>
        <v>283</v>
      </c>
      <c r="V21" s="141">
        <f>IF(U21&gt;0,(('Grouped Summary'!O26*'Grouped Summary'!P26)+(('Grouped Summary'!O34*'Grouped Summary'!P34)*0.81818))/U21,0)</f>
        <v>37599.508917879866</v>
      </c>
      <c r="W21" s="141">
        <f t="shared" si="6"/>
        <v>10640661.023760002</v>
      </c>
      <c r="X21" s="118"/>
    </row>
    <row r="22" spans="1:24" ht="15">
      <c r="A22" s="118"/>
      <c r="B22" s="142" t="s">
        <v>797</v>
      </c>
      <c r="C22" s="143">
        <f>SUM(C16:C21)</f>
        <v>835</v>
      </c>
      <c r="D22" s="144">
        <f>((C16*D16)+(C17*D17)+(C18*D18)+(C19*D19)+(C20*D20)+(C21*D21))/C22</f>
        <v>58890.08486170059</v>
      </c>
      <c r="E22" s="141">
        <f t="shared" si="0"/>
        <v>49173220.859519996</v>
      </c>
      <c r="F22" s="143">
        <f>SUM(F16:F21)</f>
        <v>713</v>
      </c>
      <c r="G22" s="144">
        <f>((F16*G16)+(F17*G17)+(F18*G18)+(F19*G19)+(F20*G20)+(F21*G21))/F22</f>
        <v>46316.31695228611</v>
      </c>
      <c r="H22" s="141">
        <f t="shared" si="1"/>
        <v>33023533.98698</v>
      </c>
      <c r="I22" s="143">
        <f>SUM(I16:I21)</f>
        <v>734</v>
      </c>
      <c r="J22" s="144">
        <f>((I16*J16)+(I17*J17)+(I18*J18)+(I19*J19)+(I20*J20)+(I21*J21))/I22</f>
        <v>39205.58133604904</v>
      </c>
      <c r="K22" s="141">
        <f t="shared" si="2"/>
        <v>28776896.700659998</v>
      </c>
      <c r="L22" s="143">
        <f>SUM(L16:L21)</f>
        <v>424</v>
      </c>
      <c r="M22" s="144">
        <f>((L16*M16)+(L17*M17)+(L18*M18)+(L19*M19)+(L20*M20)+(L21*M21))/L22</f>
        <v>29554.323764245273</v>
      </c>
      <c r="N22" s="141">
        <f t="shared" si="3"/>
        <v>12531033.276039995</v>
      </c>
      <c r="O22" s="143">
        <f>SUM(O16:O21)</f>
        <v>57</v>
      </c>
      <c r="P22" s="144">
        <f>((O16*P16)+(O17*P17)+(O18*P18)+(O19*P19)+(O20*P20)+(O21*P21))/O22</f>
        <v>12828.460611929824</v>
      </c>
      <c r="Q22" s="141">
        <f t="shared" si="4"/>
        <v>731222.25488</v>
      </c>
      <c r="R22" s="143">
        <f>SUM(R16:R21)</f>
        <v>0</v>
      </c>
      <c r="S22" s="144">
        <f>IF(R22&gt;0,((R16*S16)+(R17*S17)+(R18*S18)+(R19*S19)+(R20*S20)+(R21*S21))/R22,0)</f>
        <v>0</v>
      </c>
      <c r="T22" s="141">
        <f t="shared" si="5"/>
        <v>0</v>
      </c>
      <c r="U22" s="143">
        <f>SUM(U16:U21)</f>
        <v>2763</v>
      </c>
      <c r="V22" s="144">
        <f>((U16*V16)+(U17*V17)+(U18*V18)+(U19*V19)+(U20*V20)+(U21*V21))/U22</f>
        <v>44964.1357503004</v>
      </c>
      <c r="W22" s="141">
        <f t="shared" si="6"/>
        <v>124235907.07808</v>
      </c>
      <c r="X22" s="118"/>
    </row>
    <row r="23" spans="1:24" ht="15">
      <c r="A23" s="118" t="s">
        <v>63</v>
      </c>
      <c r="B23" s="128" t="s">
        <v>727</v>
      </c>
      <c r="C23" s="118">
        <f>('Grouped Summary'!C27+'Grouped Summary'!C35)</f>
        <v>0</v>
      </c>
      <c r="D23" s="141">
        <f>IF(C23&gt;0,(('Grouped Summary'!C27*'Grouped Summary'!D27)+(('Grouped Summary'!C35*'Grouped Summary'!D35)*0.81818))/C23,0)</f>
        <v>0</v>
      </c>
      <c r="E23" s="141">
        <f t="shared" si="0"/>
        <v>0</v>
      </c>
      <c r="F23" s="118">
        <f>('Grouped Summary'!E27+'Grouped Summary'!E35)</f>
        <v>0</v>
      </c>
      <c r="G23" s="141">
        <f>IF(F23&gt;0,(('Grouped Summary'!E27*'Grouped Summary'!F27)+(('Grouped Summary'!E35*'Grouped Summary'!F35)*0.81818))/F23,0)</f>
        <v>0</v>
      </c>
      <c r="H23" s="141">
        <f t="shared" si="1"/>
        <v>0</v>
      </c>
      <c r="I23" s="118">
        <f>('Grouped Summary'!G27+'Grouped Summary'!G35)</f>
        <v>0</v>
      </c>
      <c r="J23" s="141">
        <f>IF(I23&gt;0,(('Grouped Summary'!G27*'Grouped Summary'!H27)+(('Grouped Summary'!G35*'Grouped Summary'!H35)*0.81818))/I23,0)</f>
        <v>0</v>
      </c>
      <c r="K23" s="141">
        <f t="shared" si="2"/>
        <v>0</v>
      </c>
      <c r="L23" s="118">
        <f>('Grouped Summary'!I27+'Grouped Summary'!I35)</f>
        <v>0</v>
      </c>
      <c r="M23" s="141">
        <f>IF(L23&gt;0,(('Grouped Summary'!I27*'Grouped Summary'!J27)+(('Grouped Summary'!I35*'Grouped Summary'!J35)*0.81818))/L23,0)</f>
        <v>0</v>
      </c>
      <c r="N23" s="141">
        <f t="shared" si="3"/>
        <v>0</v>
      </c>
      <c r="O23" s="118">
        <f>('Grouped Summary'!K27+'Grouped Summary'!K35)</f>
        <v>0</v>
      </c>
      <c r="P23" s="141">
        <f>IF(O23&gt;0,(('Grouped Summary'!K27*'Grouped Summary'!L27)+(('Grouped Summary'!K35*'Grouped Summary'!L35)*0.81818))/O23,0)</f>
        <v>0</v>
      </c>
      <c r="Q23" s="141">
        <f t="shared" si="4"/>
        <v>0</v>
      </c>
      <c r="R23" s="118">
        <f>('Grouped Summary'!M27+'Grouped Summary'!M35)</f>
        <v>912</v>
      </c>
      <c r="S23" s="141">
        <f>IF(R23&gt;0,(('Grouped Summary'!M27*'Grouped Summary'!N27)+(('Grouped Summary'!M35*'Grouped Summary'!N35)*0.81818))/R23,0)</f>
        <v>32879.834761798265</v>
      </c>
      <c r="T23" s="141">
        <f t="shared" si="5"/>
        <v>29986409.30276002</v>
      </c>
      <c r="U23" s="118">
        <f>('Grouped Summary'!O27+'Grouped Summary'!O35)</f>
        <v>912</v>
      </c>
      <c r="V23" s="141">
        <f>IF(U23&gt;0,(('Grouped Summary'!O27*'Grouped Summary'!P27)+(('Grouped Summary'!O35*'Grouped Summary'!P35)*0.81818))/U23,0)</f>
        <v>32879.834761798265</v>
      </c>
      <c r="W23" s="141">
        <f t="shared" si="6"/>
        <v>29986409.30276002</v>
      </c>
      <c r="X23" s="118"/>
    </row>
    <row r="24" spans="1:24" ht="15">
      <c r="A24" s="119" t="s">
        <v>63</v>
      </c>
      <c r="B24" s="137" t="s">
        <v>728</v>
      </c>
      <c r="C24" s="119">
        <f>('Grouped Summary'!C28+'Grouped Summary'!C36)</f>
        <v>0</v>
      </c>
      <c r="D24" s="145">
        <f>IF(C24&gt;0,(('Grouped Summary'!C28*'Grouped Summary'!D28)+(('Grouped Summary'!C36*'Grouped Summary'!D36)*0.81818))/C24,0)</f>
        <v>0</v>
      </c>
      <c r="E24" s="145">
        <f t="shared" si="0"/>
        <v>0</v>
      </c>
      <c r="F24" s="119">
        <f>('Grouped Summary'!E28+'Grouped Summary'!E36)</f>
        <v>0</v>
      </c>
      <c r="G24" s="145">
        <f>IF(F24&gt;0,(('Grouped Summary'!E28*'Grouped Summary'!F28)+(('Grouped Summary'!E36*'Grouped Summary'!F36)*0.81818))/F24,0)</f>
        <v>0</v>
      </c>
      <c r="H24" s="145">
        <f t="shared" si="1"/>
        <v>0</v>
      </c>
      <c r="I24" s="119">
        <f>('Grouped Summary'!G28+'Grouped Summary'!G36)</f>
        <v>0</v>
      </c>
      <c r="J24" s="145">
        <f>IF(I24&gt;0,(('Grouped Summary'!G28*'Grouped Summary'!H28)+(('Grouped Summary'!G36*'Grouped Summary'!H36)*0.81818))/I24,0)</f>
        <v>0</v>
      </c>
      <c r="K24" s="145">
        <f t="shared" si="2"/>
        <v>0</v>
      </c>
      <c r="L24" s="119">
        <f>('Grouped Summary'!I28+'Grouped Summary'!I36)</f>
        <v>0</v>
      </c>
      <c r="M24" s="145">
        <f>IF(L24&gt;0,(('Grouped Summary'!I28*'Grouped Summary'!J28)+(('Grouped Summary'!I36*'Grouped Summary'!J36)*0.81818))/L24,0)</f>
        <v>0</v>
      </c>
      <c r="N24" s="145">
        <f t="shared" si="3"/>
        <v>0</v>
      </c>
      <c r="O24" s="119">
        <f>('Grouped Summary'!K28+'Grouped Summary'!K36)</f>
        <v>0</v>
      </c>
      <c r="P24" s="145">
        <f>IF(O24&gt;0,(('Grouped Summary'!K28*'Grouped Summary'!L28)+(('Grouped Summary'!K36*'Grouped Summary'!L36)*0.81818))/O24,0)</f>
        <v>0</v>
      </c>
      <c r="Q24" s="145">
        <f t="shared" si="4"/>
        <v>0</v>
      </c>
      <c r="R24" s="119">
        <f>('Grouped Summary'!M28+'Grouped Summary'!M36)</f>
        <v>0</v>
      </c>
      <c r="S24" s="145">
        <f>IF(R24&gt;0,(('Grouped Summary'!M28*'Grouped Summary'!N28)+(('Grouped Summary'!M36*'Grouped Summary'!N36)*0.81818))/R24,0)</f>
        <v>0</v>
      </c>
      <c r="T24" s="145">
        <f t="shared" si="5"/>
        <v>0</v>
      </c>
      <c r="U24" s="119">
        <f>('Grouped Summary'!O28+'Grouped Summary'!O36)</f>
        <v>0</v>
      </c>
      <c r="V24" s="145">
        <f>IF(U24&gt;0,(('Grouped Summary'!O28*'Grouped Summary'!P28)+(('Grouped Summary'!O36*'Grouped Summary'!P36)*0.81818))/U24,0)</f>
        <v>0</v>
      </c>
      <c r="W24" s="145">
        <f t="shared" si="6"/>
        <v>0</v>
      </c>
      <c r="X24" s="118"/>
    </row>
    <row r="25" spans="1:24" ht="15">
      <c r="A25" s="118" t="s">
        <v>97</v>
      </c>
      <c r="B25" s="128" t="s">
        <v>721</v>
      </c>
      <c r="C25" s="128">
        <f>('Grouped Summary'!C37+'Grouped Summary'!C45)</f>
        <v>1395</v>
      </c>
      <c r="D25" s="141">
        <f>IF(C25&gt;0,(('Grouped Summary'!C37*'Grouped Summary'!D37)+(('Grouped Summary'!C45*'Grouped Summary'!D45)*0.81818))/C25,0)</f>
        <v>68349.3105890717</v>
      </c>
      <c r="E25" s="141">
        <f t="shared" si="0"/>
        <v>95347288.27175502</v>
      </c>
      <c r="F25" s="128">
        <f>('Grouped Summary'!E37+'Grouped Summary'!E45)</f>
        <v>1086</v>
      </c>
      <c r="G25" s="141">
        <f>IF(F25&gt;0,(('Grouped Summary'!E37*'Grouped Summary'!F37)+(('Grouped Summary'!E45*'Grouped Summary'!F45)*0.81818))/F25,0)</f>
        <v>50160.4657872928</v>
      </c>
      <c r="H25" s="141">
        <f t="shared" si="1"/>
        <v>54474265.844999984</v>
      </c>
      <c r="I25" s="128">
        <f>('Grouped Summary'!G37+'Grouped Summary'!G45)</f>
        <v>724</v>
      </c>
      <c r="J25" s="141">
        <f>IF(I25&gt;0,(('Grouped Summary'!G37*'Grouped Summary'!H37)+(('Grouped Summary'!G45*'Grouped Summary'!H45)*0.81818))/I25,0)</f>
        <v>44126.2872410221</v>
      </c>
      <c r="K25" s="141">
        <f t="shared" si="2"/>
        <v>31947431.962500002</v>
      </c>
      <c r="L25" s="128">
        <f>('Grouped Summary'!I37+'Grouped Summary'!I45)</f>
        <v>130</v>
      </c>
      <c r="M25" s="141">
        <f>IF(L25&gt;0,(('Grouped Summary'!I37*'Grouped Summary'!J37)+(('Grouped Summary'!I45*'Grouped Summary'!J45)*0.81818))/L25,0)</f>
        <v>30820.4072115385</v>
      </c>
      <c r="N25" s="141">
        <f t="shared" si="3"/>
        <v>4006652.9375000047</v>
      </c>
      <c r="O25" s="128">
        <f>('Grouped Summary'!K37+'Grouped Summary'!K45)</f>
        <v>53</v>
      </c>
      <c r="P25" s="141">
        <f>IF(O25&gt;0,(('Grouped Summary'!K37*'Grouped Summary'!L37)+(('Grouped Summary'!K45*'Grouped Summary'!L45)*0.81818))/O25,0)</f>
        <v>29898.6556603773</v>
      </c>
      <c r="Q25" s="141">
        <f t="shared" si="4"/>
        <v>1584628.7499999967</v>
      </c>
      <c r="R25" s="128">
        <f>('Grouped Summary'!M37+'Grouped Summary'!M45)</f>
        <v>0</v>
      </c>
      <c r="S25" s="141">
        <f>IF(R25&gt;0,(('Grouped Summary'!M37*'Grouped Summary'!N37)+(('Grouped Summary'!M45*'Grouped Summary'!N45)*0.81818))/R25,0)</f>
        <v>0</v>
      </c>
      <c r="T25" s="141">
        <f t="shared" si="5"/>
        <v>0</v>
      </c>
      <c r="U25" s="128">
        <f>('Grouped Summary'!O37+'Grouped Summary'!O45)</f>
        <v>3388</v>
      </c>
      <c r="V25" s="141">
        <f>IF(U25&gt;0,(('Grouped Summary'!O37*'Grouped Summary'!P37)+(('Grouped Summary'!O45*'Grouped Summary'!P45)*0.81818))/U25,0)</f>
        <v>55301.141607660866</v>
      </c>
      <c r="W25" s="141">
        <f t="shared" si="6"/>
        <v>187360267.766755</v>
      </c>
      <c r="X25" s="118"/>
    </row>
    <row r="26" spans="1:24" ht="15">
      <c r="A26" s="118" t="s">
        <v>97</v>
      </c>
      <c r="B26" s="128" t="s">
        <v>722</v>
      </c>
      <c r="C26" s="128">
        <f>('Grouped Summary'!C38+'Grouped Summary'!C46)</f>
        <v>1404</v>
      </c>
      <c r="D26" s="141">
        <f>IF(C26&gt;0,(('Grouped Summary'!C38*'Grouped Summary'!D38)+(('Grouped Summary'!C46*'Grouped Summary'!D46)*0.81818))/C26,0)</f>
        <v>65101.418279983605</v>
      </c>
      <c r="E26" s="141">
        <f t="shared" si="0"/>
        <v>91402391.26509698</v>
      </c>
      <c r="F26" s="128">
        <f>('Grouped Summary'!E38+'Grouped Summary'!E46)</f>
        <v>681</v>
      </c>
      <c r="G26" s="141">
        <f>IF(F26&gt;0,(('Grouped Summary'!E38*'Grouped Summary'!F38)+(('Grouped Summary'!E46*'Grouped Summary'!F46)*0.81818))/F26,0)</f>
        <v>49201.4599853157</v>
      </c>
      <c r="H26" s="141">
        <f t="shared" si="1"/>
        <v>33506194.24999999</v>
      </c>
      <c r="I26" s="128">
        <f>('Grouped Summary'!G38+'Grouped Summary'!G46)</f>
        <v>562</v>
      </c>
      <c r="J26" s="141">
        <f>IF(I26&gt;0,(('Grouped Summary'!G38*'Grouped Summary'!H38)+(('Grouped Summary'!G46*'Grouped Summary'!H46)*0.81818))/I26,0)</f>
        <v>42408.7971530249</v>
      </c>
      <c r="K26" s="141">
        <f t="shared" si="2"/>
        <v>23833743.999999993</v>
      </c>
      <c r="L26" s="128">
        <f>('Grouped Summary'!I38+'Grouped Summary'!I46)</f>
        <v>232</v>
      </c>
      <c r="M26" s="141">
        <f>IF(L26&gt;0,(('Grouped Summary'!I38*'Grouped Summary'!J38)+(('Grouped Summary'!I46*'Grouped Summary'!J46)*0.81818))/L26,0)</f>
        <v>33136.3114224138</v>
      </c>
      <c r="N26" s="141">
        <f t="shared" si="3"/>
        <v>7687624.250000001</v>
      </c>
      <c r="O26" s="128">
        <f>('Grouped Summary'!K38+'Grouped Summary'!K46)</f>
        <v>18</v>
      </c>
      <c r="P26" s="141">
        <f>IF(O26&gt;0,(('Grouped Summary'!K38*'Grouped Summary'!L38)+(('Grouped Summary'!K46*'Grouped Summary'!L46)*0.81818))/O26,0)</f>
        <v>35060.4027777778</v>
      </c>
      <c r="Q26" s="141">
        <f t="shared" si="4"/>
        <v>631087.2500000005</v>
      </c>
      <c r="R26" s="128">
        <f>('Grouped Summary'!M38+'Grouped Summary'!M46)</f>
        <v>0</v>
      </c>
      <c r="S26" s="141">
        <f>IF(R26&gt;0,(('Grouped Summary'!M38*'Grouped Summary'!N38)+(('Grouped Summary'!M46*'Grouped Summary'!N46)*0.81818))/R26,0)</f>
        <v>0</v>
      </c>
      <c r="T26" s="141">
        <f t="shared" si="5"/>
        <v>0</v>
      </c>
      <c r="U26" s="128">
        <f>('Grouped Summary'!O38+'Grouped Summary'!O46)</f>
        <v>2897</v>
      </c>
      <c r="V26" s="141">
        <f>IF(U26&gt;0,(('Grouped Summary'!O38*'Grouped Summary'!P38)+(('Grouped Summary'!O46*'Grouped Summary'!P46)*0.81818))/U26,0)</f>
        <v>54215.064209560565</v>
      </c>
      <c r="W26" s="141">
        <f t="shared" si="6"/>
        <v>157061041.01509696</v>
      </c>
      <c r="X26" s="118"/>
    </row>
    <row r="27" spans="1:24" ht="15">
      <c r="A27" s="118" t="s">
        <v>97</v>
      </c>
      <c r="B27" s="128" t="s">
        <v>723</v>
      </c>
      <c r="C27" s="128">
        <f>('Grouped Summary'!C39+'Grouped Summary'!C47)</f>
        <v>588</v>
      </c>
      <c r="D27" s="141">
        <f>IF(C27&gt;0,(('Grouped Summary'!C39*'Grouped Summary'!D39)+(('Grouped Summary'!C47*'Grouped Summary'!D47)*0.81818))/C27,0)</f>
        <v>58188.9779293415</v>
      </c>
      <c r="E27" s="141">
        <f t="shared" si="0"/>
        <v>34215119.0224528</v>
      </c>
      <c r="F27" s="128">
        <f>('Grouped Summary'!E39+'Grouped Summary'!E47)</f>
        <v>195</v>
      </c>
      <c r="G27" s="141">
        <f>IF(F27&gt;0,(('Grouped Summary'!E39*'Grouped Summary'!F39)+(('Grouped Summary'!E47*'Grouped Summary'!F47)*0.81818))/F27,0)</f>
        <v>50172.2505128205</v>
      </c>
      <c r="H27" s="141">
        <f t="shared" si="1"/>
        <v>9783588.849999998</v>
      </c>
      <c r="I27" s="128">
        <f>('Grouped Summary'!G39+'Grouped Summary'!G47)</f>
        <v>239</v>
      </c>
      <c r="J27" s="141">
        <f>IF(I27&gt;0,(('Grouped Summary'!G39*'Grouped Summary'!H39)+(('Grouped Summary'!G47*'Grouped Summary'!H47)*0.81818))/I27,0)</f>
        <v>42727.4353974895</v>
      </c>
      <c r="K27" s="141">
        <f t="shared" si="2"/>
        <v>10211857.05999999</v>
      </c>
      <c r="L27" s="128">
        <f>('Grouped Summary'!I39+'Grouped Summary'!I47)</f>
        <v>105</v>
      </c>
      <c r="M27" s="141">
        <f>IF(L27&gt;0,(('Grouped Summary'!I39*'Grouped Summary'!J39)+(('Grouped Summary'!I47*'Grouped Summary'!J47)*0.81818))/L27,0)</f>
        <v>32919.5339047619</v>
      </c>
      <c r="N27" s="141">
        <f t="shared" si="3"/>
        <v>3456551.059999999</v>
      </c>
      <c r="O27" s="128">
        <f>('Grouped Summary'!K39+'Grouped Summary'!K47)</f>
        <v>7</v>
      </c>
      <c r="P27" s="141">
        <f>IF(O27&gt;0,(('Grouped Summary'!K39*'Grouped Summary'!L39)+(('Grouped Summary'!K47*'Grouped Summary'!L47)*0.81818))/O27,0)</f>
        <v>28667.6428571428</v>
      </c>
      <c r="Q27" s="141">
        <f t="shared" si="4"/>
        <v>200673.4999999996</v>
      </c>
      <c r="R27" s="128">
        <f>('Grouped Summary'!M39+'Grouped Summary'!M47)</f>
        <v>0</v>
      </c>
      <c r="S27" s="141">
        <f>IF(R27&gt;0,(('Grouped Summary'!M39*'Grouped Summary'!N39)+(('Grouped Summary'!M47*'Grouped Summary'!N47)*0.81818))/R27,0)</f>
        <v>0</v>
      </c>
      <c r="T27" s="141">
        <f t="shared" si="5"/>
        <v>0</v>
      </c>
      <c r="U27" s="128">
        <f>('Grouped Summary'!O39+'Grouped Summary'!O47)</f>
        <v>1134</v>
      </c>
      <c r="V27" s="141">
        <f>IF(U27&gt;0,(('Grouped Summary'!O39*'Grouped Summary'!P39)+(('Grouped Summary'!O47*'Grouped Summary'!P47)*0.81818))/U27,0)</f>
        <v>51029.79673055801</v>
      </c>
      <c r="W27" s="141">
        <f t="shared" si="6"/>
        <v>57867789.492452785</v>
      </c>
      <c r="X27" s="118"/>
    </row>
    <row r="28" spans="1:24" ht="15">
      <c r="A28" s="118" t="s">
        <v>97</v>
      </c>
      <c r="B28" s="128" t="s">
        <v>724</v>
      </c>
      <c r="C28" s="128">
        <f>('Grouped Summary'!C40+'Grouped Summary'!C48)</f>
        <v>77</v>
      </c>
      <c r="D28" s="141">
        <f>IF(C28&gt;0,(('Grouped Summary'!C40*'Grouped Summary'!D40)+(('Grouped Summary'!C48*'Grouped Summary'!D48)*0.81818))/C28,0)</f>
        <v>61011.5584415584</v>
      </c>
      <c r="E28" s="141">
        <f t="shared" si="0"/>
        <v>4697889.999999997</v>
      </c>
      <c r="F28" s="128">
        <f>('Grouped Summary'!E40+'Grouped Summary'!E48)</f>
        <v>87</v>
      </c>
      <c r="G28" s="141">
        <f>IF(F28&gt;0,(('Grouped Summary'!E40*'Grouped Summary'!F40)+(('Grouped Summary'!E48*'Grouped Summary'!F48)*0.81818))/F28,0)</f>
        <v>47420.5229885057</v>
      </c>
      <c r="H28" s="141">
        <f t="shared" si="1"/>
        <v>4125585.499999996</v>
      </c>
      <c r="I28" s="128">
        <f>('Grouped Summary'!G40+'Grouped Summary'!G48)</f>
        <v>86</v>
      </c>
      <c r="J28" s="141">
        <f>IF(I28&gt;0,(('Grouped Summary'!G40*'Grouped Summary'!H40)+(('Grouped Summary'!G48*'Grouped Summary'!H48)*0.81818))/I28,0)</f>
        <v>36825.6279069767</v>
      </c>
      <c r="K28" s="141">
        <f t="shared" si="2"/>
        <v>3167003.999999996</v>
      </c>
      <c r="L28" s="128">
        <f>('Grouped Summary'!I40+'Grouped Summary'!I48)</f>
        <v>29</v>
      </c>
      <c r="M28" s="141">
        <f>IF(L28&gt;0,(('Grouped Summary'!I40*'Grouped Summary'!J40)+(('Grouped Summary'!I48*'Grouped Summary'!J48)*0.81818))/L28,0)</f>
        <v>30044.2413793103</v>
      </c>
      <c r="N28" s="141">
        <f t="shared" si="3"/>
        <v>871282.9999999987</v>
      </c>
      <c r="O28" s="128">
        <f>('Grouped Summary'!K40+'Grouped Summary'!K48)</f>
        <v>15</v>
      </c>
      <c r="P28" s="141">
        <f>IF(O28&gt;0,(('Grouped Summary'!K40*'Grouped Summary'!L40)+(('Grouped Summary'!K48*'Grouped Summary'!L48)*0.81818))/O28,0)</f>
        <v>19109.3666666667</v>
      </c>
      <c r="Q28" s="141">
        <f t="shared" si="4"/>
        <v>286640.5000000005</v>
      </c>
      <c r="R28" s="128">
        <f>('Grouped Summary'!M40+'Grouped Summary'!M48)</f>
        <v>0</v>
      </c>
      <c r="S28" s="141">
        <f>IF(R28&gt;0,(('Grouped Summary'!M40*'Grouped Summary'!N40)+(('Grouped Summary'!M48*'Grouped Summary'!N48)*0.81818))/R28,0)</f>
        <v>0</v>
      </c>
      <c r="T28" s="141">
        <f t="shared" si="5"/>
        <v>0</v>
      </c>
      <c r="U28" s="128">
        <f>('Grouped Summary'!O40+'Grouped Summary'!O48)</f>
        <v>294</v>
      </c>
      <c r="V28" s="141">
        <f>IF(U28&gt;0,(('Grouped Summary'!O40*'Grouped Summary'!P40)+(('Grouped Summary'!O48*'Grouped Summary'!P48)*0.81818))/U28,0)</f>
        <v>44722.459183673425</v>
      </c>
      <c r="W28" s="141">
        <f t="shared" si="6"/>
        <v>13148402.999999987</v>
      </c>
      <c r="X28" s="118"/>
    </row>
    <row r="29" spans="1:24" ht="15">
      <c r="A29" s="118" t="s">
        <v>97</v>
      </c>
      <c r="B29" s="128" t="s">
        <v>725</v>
      </c>
      <c r="C29" s="128">
        <f>('Grouped Summary'!C41+'Grouped Summary'!C49)</f>
        <v>0</v>
      </c>
      <c r="D29" s="141">
        <f>IF(C29&gt;0,(('Grouped Summary'!C41*'Grouped Summary'!D41)+(('Grouped Summary'!C49*'Grouped Summary'!D49)*0.81818))/C29,0)</f>
        <v>0</v>
      </c>
      <c r="E29" s="141">
        <f t="shared" si="0"/>
        <v>0</v>
      </c>
      <c r="F29" s="128">
        <f>('Grouped Summary'!E41+'Grouped Summary'!E49)</f>
        <v>0</v>
      </c>
      <c r="G29" s="141">
        <f>IF(F29&gt;0,(('Grouped Summary'!E41*'Grouped Summary'!F41)+(('Grouped Summary'!E49*'Grouped Summary'!F49)*0.81818))/F29,0)</f>
        <v>0</v>
      </c>
      <c r="H29" s="141">
        <f t="shared" si="1"/>
        <v>0</v>
      </c>
      <c r="I29" s="128">
        <f>('Grouped Summary'!G41+'Grouped Summary'!G49)</f>
        <v>0</v>
      </c>
      <c r="J29" s="141">
        <f>IF(I29&gt;0,(('Grouped Summary'!G41*'Grouped Summary'!H41)+(('Grouped Summary'!G49*'Grouped Summary'!H49)*0.81818))/I29,0)</f>
        <v>0</v>
      </c>
      <c r="K29" s="141">
        <f t="shared" si="2"/>
        <v>0</v>
      </c>
      <c r="L29" s="128">
        <f>('Grouped Summary'!I41+'Grouped Summary'!I49)</f>
        <v>0</v>
      </c>
      <c r="M29" s="141">
        <f>IF(L29&gt;0,(('Grouped Summary'!I41*'Grouped Summary'!J41)+(('Grouped Summary'!I49*'Grouped Summary'!J49)*0.81818))/L29,0)</f>
        <v>0</v>
      </c>
      <c r="N29" s="141">
        <f t="shared" si="3"/>
        <v>0</v>
      </c>
      <c r="O29" s="128">
        <f>('Grouped Summary'!K41+'Grouped Summary'!K49)</f>
        <v>0</v>
      </c>
      <c r="P29" s="141">
        <f>IF(O29&gt;0,(('Grouped Summary'!K41*'Grouped Summary'!L41)+(('Grouped Summary'!K49*'Grouped Summary'!L49)*0.81818))/O29,0)</f>
        <v>0</v>
      </c>
      <c r="Q29" s="141">
        <f t="shared" si="4"/>
        <v>0</v>
      </c>
      <c r="R29" s="128">
        <f>('Grouped Summary'!M41+'Grouped Summary'!M49)</f>
        <v>0</v>
      </c>
      <c r="S29" s="141">
        <f>IF(R29&gt;0,(('Grouped Summary'!M41*'Grouped Summary'!N41)+(('Grouped Summary'!M49*'Grouped Summary'!N49)*0.81818))/R29,0)</f>
        <v>0</v>
      </c>
      <c r="T29" s="141">
        <f t="shared" si="5"/>
        <v>0</v>
      </c>
      <c r="U29" s="128">
        <f>('Grouped Summary'!O41+'Grouped Summary'!O49)</f>
        <v>0</v>
      </c>
      <c r="V29" s="141">
        <f>IF(U29&gt;0,(('Grouped Summary'!O41*'Grouped Summary'!P41)+(('Grouped Summary'!O49*'Grouped Summary'!P49)*0.81818))/U29,0)</f>
        <v>0</v>
      </c>
      <c r="W29" s="141">
        <f t="shared" si="6"/>
        <v>0</v>
      </c>
      <c r="X29" s="118"/>
    </row>
    <row r="30" spans="1:24" ht="15">
      <c r="A30" s="118" t="s">
        <v>97</v>
      </c>
      <c r="B30" s="128" t="s">
        <v>726</v>
      </c>
      <c r="C30" s="128">
        <f>('Grouped Summary'!C42+'Grouped Summary'!C50)</f>
        <v>0</v>
      </c>
      <c r="D30" s="141">
        <f>IF(C30&gt;0,(('Grouped Summary'!C42*'Grouped Summary'!D42)+(('Grouped Summary'!C50*'Grouped Summary'!D50)*0.81818))/C30,0)</f>
        <v>0</v>
      </c>
      <c r="E30" s="141">
        <f t="shared" si="0"/>
        <v>0</v>
      </c>
      <c r="F30" s="128">
        <f>('Grouped Summary'!E42+'Grouped Summary'!E50)</f>
        <v>0</v>
      </c>
      <c r="G30" s="141">
        <f>IF(F30&gt;0,(('Grouped Summary'!E42*'Grouped Summary'!F42)+(('Grouped Summary'!E50*'Grouped Summary'!F50)*0.81818))/F30,0)</f>
        <v>0</v>
      </c>
      <c r="H30" s="141">
        <f t="shared" si="1"/>
        <v>0</v>
      </c>
      <c r="I30" s="128">
        <f>('Grouped Summary'!G42+'Grouped Summary'!G50)</f>
        <v>0</v>
      </c>
      <c r="J30" s="141">
        <f>IF(I30&gt;0,(('Grouped Summary'!G42*'Grouped Summary'!H42)+(('Grouped Summary'!G50*'Grouped Summary'!H50)*0.81818))/I30,0)</f>
        <v>0</v>
      </c>
      <c r="K30" s="141">
        <f t="shared" si="2"/>
        <v>0</v>
      </c>
      <c r="L30" s="128">
        <f>('Grouped Summary'!I42+'Grouped Summary'!I50)</f>
        <v>0</v>
      </c>
      <c r="M30" s="141">
        <f>IF(L30&gt;0,(('Grouped Summary'!I42*'Grouped Summary'!J42)+(('Grouped Summary'!I50*'Grouped Summary'!J50)*0.81818))/L30,0)</f>
        <v>0</v>
      </c>
      <c r="N30" s="141">
        <f t="shared" si="3"/>
        <v>0</v>
      </c>
      <c r="O30" s="128">
        <f>('Grouped Summary'!K42+'Grouped Summary'!K50)</f>
        <v>0</v>
      </c>
      <c r="P30" s="141">
        <f>IF(O30&gt;0,(('Grouped Summary'!K42*'Grouped Summary'!L42)+(('Grouped Summary'!K50*'Grouped Summary'!L50)*0.81818))/O30,0)</f>
        <v>0</v>
      </c>
      <c r="Q30" s="141">
        <f t="shared" si="4"/>
        <v>0</v>
      </c>
      <c r="R30" s="128">
        <f>('Grouped Summary'!M42+'Grouped Summary'!M50)</f>
        <v>0</v>
      </c>
      <c r="S30" s="141">
        <f>IF(R30&gt;0,(('Grouped Summary'!M42*'Grouped Summary'!N42)+(('Grouped Summary'!M50*'Grouped Summary'!N50)*0.81818))/R30,0)</f>
        <v>0</v>
      </c>
      <c r="T30" s="141">
        <f t="shared" si="5"/>
        <v>0</v>
      </c>
      <c r="U30" s="128">
        <f>('Grouped Summary'!O42+'Grouped Summary'!O50)</f>
        <v>0</v>
      </c>
      <c r="V30" s="141">
        <f>IF(U30&gt;0,(('Grouped Summary'!O42*'Grouped Summary'!P42)+(('Grouped Summary'!O50*'Grouped Summary'!P50)*0.81818))/U30,0)</f>
        <v>0</v>
      </c>
      <c r="W30" s="141">
        <f t="shared" si="6"/>
        <v>0</v>
      </c>
      <c r="X30" s="118"/>
    </row>
    <row r="31" spans="1:24" ht="15">
      <c r="A31" s="118"/>
      <c r="B31" s="142" t="s">
        <v>797</v>
      </c>
      <c r="C31" s="143">
        <f>SUM(C25:C30)</f>
        <v>3464</v>
      </c>
      <c r="D31" s="144">
        <f>((C25*D25)+(C26*D26)+(C27*D27)+(C28*D28)+(C29*D29)+(C30*D30))/C31</f>
        <v>65145.117944372054</v>
      </c>
      <c r="E31" s="141">
        <f t="shared" si="0"/>
        <v>225662688.5593048</v>
      </c>
      <c r="F31" s="143">
        <f>SUM(F25:F30)</f>
        <v>2049</v>
      </c>
      <c r="G31" s="144">
        <f>((F25*G25)+(F26*G26)+(F27*G27)+(F28*G28)+(F29*G29)+(F30*G30))/F31</f>
        <v>49726.51754270374</v>
      </c>
      <c r="H31" s="141">
        <f t="shared" si="1"/>
        <v>101889634.44499996</v>
      </c>
      <c r="I31" s="143">
        <f>SUM(I25:I30)</f>
        <v>1611</v>
      </c>
      <c r="J31" s="144">
        <f>((I25*J25)+(I26*J26)+(I27*J27)+(I28*J28)+(I29*J29)+(I30*J30))/I31</f>
        <v>42929.88021260085</v>
      </c>
      <c r="K31" s="141">
        <f t="shared" si="2"/>
        <v>69160037.02249998</v>
      </c>
      <c r="L31" s="143">
        <f>SUM(L25:L30)</f>
        <v>496</v>
      </c>
      <c r="M31" s="144">
        <f>((L25*M25)+(L26*M26)+(L27*M27)+(L28*M28)+(L29*M29)+(L30*M30))/L31</f>
        <v>32302.64364415323</v>
      </c>
      <c r="N31" s="141">
        <f t="shared" si="3"/>
        <v>16022111.247500002</v>
      </c>
      <c r="O31" s="143">
        <f>SUM(O25:O30)</f>
        <v>93</v>
      </c>
      <c r="P31" s="144">
        <f>((O25*P25)+(O26*P26)+(O27*P27)+(O28*P28)+(O29*P29)+(O30*P30))/O31</f>
        <v>29064.838709677388</v>
      </c>
      <c r="Q31" s="141">
        <f t="shared" si="4"/>
        <v>2703029.999999997</v>
      </c>
      <c r="R31" s="143">
        <f>SUM(R25:R30)</f>
        <v>0</v>
      </c>
      <c r="S31" s="144">
        <f>IF(R31&gt;0,((R25*S25)+(R26*S26)+(R27*S27)+(R28*S28)+(R29*S29)+(R30*S30))/R31,0)</f>
        <v>0</v>
      </c>
      <c r="T31" s="141">
        <f t="shared" si="5"/>
        <v>0</v>
      </c>
      <c r="U31" s="143">
        <f>SUM(U25:U30)</f>
        <v>7713</v>
      </c>
      <c r="V31" s="144">
        <f>((U25*V25)+(U26*V26)+(U27*V27)+(U28*V28)+(U29*V29)+(U30*V30))/U31</f>
        <v>53861.98642218395</v>
      </c>
      <c r="W31" s="141">
        <f t="shared" si="6"/>
        <v>415437501.2743048</v>
      </c>
      <c r="X31" s="118"/>
    </row>
    <row r="32" spans="1:24" ht="15">
      <c r="A32" s="118" t="s">
        <v>97</v>
      </c>
      <c r="B32" s="128" t="s">
        <v>727</v>
      </c>
      <c r="C32" s="128">
        <f>('Grouped Summary'!C43+'Grouped Summary'!C51)</f>
        <v>0</v>
      </c>
      <c r="D32" s="141">
        <f>IF(C32&gt;0,(('Grouped Summary'!C43*'Grouped Summary'!D43)+(('Grouped Summary'!C51*'Grouped Summary'!D51)*0.81818))/C32,0)</f>
        <v>0</v>
      </c>
      <c r="E32" s="141">
        <f t="shared" si="0"/>
        <v>0</v>
      </c>
      <c r="F32" s="128">
        <f>('Grouped Summary'!E43+'Grouped Summary'!E51)</f>
        <v>0</v>
      </c>
      <c r="G32" s="141">
        <f>IF(F32&gt;0,(('Grouped Summary'!E43*'Grouped Summary'!F43)+(('Grouped Summary'!E51*'Grouped Summary'!F51)*0.81818))/F32,0)</f>
        <v>0</v>
      </c>
      <c r="H32" s="141">
        <f t="shared" si="1"/>
        <v>0</v>
      </c>
      <c r="I32" s="128">
        <f>('Grouped Summary'!G43+'Grouped Summary'!G51)</f>
        <v>0</v>
      </c>
      <c r="J32" s="141">
        <f>IF(I32&gt;0,(('Grouped Summary'!G43*'Grouped Summary'!H43)+(('Grouped Summary'!G51*'Grouped Summary'!H51)*0.81818))/I32,0)</f>
        <v>0</v>
      </c>
      <c r="K32" s="141">
        <f t="shared" si="2"/>
        <v>0</v>
      </c>
      <c r="L32" s="128">
        <f>('Grouped Summary'!I43+'Grouped Summary'!I51)</f>
        <v>0</v>
      </c>
      <c r="M32" s="141">
        <f>IF(L32&gt;0,(('Grouped Summary'!I43*'Grouped Summary'!J43)+(('Grouped Summary'!I51*'Grouped Summary'!J51)*0.81818))/L32,0)</f>
        <v>0</v>
      </c>
      <c r="N32" s="141">
        <f t="shared" si="3"/>
        <v>0</v>
      </c>
      <c r="O32" s="128">
        <f>('Grouped Summary'!K43+'Grouped Summary'!K51)</f>
        <v>0</v>
      </c>
      <c r="P32" s="141">
        <f>IF(O32&gt;0,(('Grouped Summary'!K43*'Grouped Summary'!L43)+(('Grouped Summary'!K51*'Grouped Summary'!L51)*0.81818))/O32,0)</f>
        <v>0</v>
      </c>
      <c r="Q32" s="141">
        <f t="shared" si="4"/>
        <v>0</v>
      </c>
      <c r="R32" s="128">
        <f>('Grouped Summary'!M43+'Grouped Summary'!M51)</f>
        <v>4570</v>
      </c>
      <c r="S32" s="141">
        <f>IF(R32&gt;0,(('Grouped Summary'!M43*'Grouped Summary'!N43)+(('Grouped Summary'!M51*'Grouped Summary'!N51)*0.81818))/R32,0)</f>
        <v>39147.9190371991</v>
      </c>
      <c r="T32" s="141">
        <f t="shared" si="5"/>
        <v>178905989.99999988</v>
      </c>
      <c r="U32" s="128">
        <f>('Grouped Summary'!O43+'Grouped Summary'!O51)</f>
        <v>4570</v>
      </c>
      <c r="V32" s="141">
        <f>IF(U32&gt;0,(('Grouped Summary'!O43*'Grouped Summary'!P43)+(('Grouped Summary'!O51*'Grouped Summary'!P51)*0.81818))/U32,0)</f>
        <v>39147.9190371991</v>
      </c>
      <c r="W32" s="141">
        <f t="shared" si="6"/>
        <v>178905989.99999988</v>
      </c>
      <c r="X32" s="118"/>
    </row>
    <row r="33" spans="1:24" ht="15">
      <c r="A33" s="119" t="s">
        <v>97</v>
      </c>
      <c r="B33" s="137" t="s">
        <v>728</v>
      </c>
      <c r="C33" s="137">
        <f>('Grouped Summary'!C44+'Grouped Summary'!C52)</f>
        <v>0</v>
      </c>
      <c r="D33" s="145">
        <f>IF(C33&gt;0,(('Grouped Summary'!C44*'Grouped Summary'!D44)+(('Grouped Summary'!C52*'Grouped Summary'!D52)*0.81818))/C33,0)</f>
        <v>0</v>
      </c>
      <c r="E33" s="145">
        <f t="shared" si="0"/>
        <v>0</v>
      </c>
      <c r="F33" s="137">
        <f>('Grouped Summary'!E44+'Grouped Summary'!E52)</f>
        <v>0</v>
      </c>
      <c r="G33" s="145">
        <f>IF(F33&gt;0,(('Grouped Summary'!E44*'Grouped Summary'!F44)+(('Grouped Summary'!E52*'Grouped Summary'!F52)*0.81818))/F33,0)</f>
        <v>0</v>
      </c>
      <c r="H33" s="145">
        <f t="shared" si="1"/>
        <v>0</v>
      </c>
      <c r="I33" s="137">
        <f>('Grouped Summary'!G44+'Grouped Summary'!G52)</f>
        <v>0</v>
      </c>
      <c r="J33" s="145">
        <f>IF(I33&gt;0,(('Grouped Summary'!G44*'Grouped Summary'!H44)+(('Grouped Summary'!G52*'Grouped Summary'!H52)*0.81818))/I33,0)</f>
        <v>0</v>
      </c>
      <c r="K33" s="145">
        <f t="shared" si="2"/>
        <v>0</v>
      </c>
      <c r="L33" s="137">
        <f>('Grouped Summary'!I44+'Grouped Summary'!I52)</f>
        <v>0</v>
      </c>
      <c r="M33" s="145">
        <f>IF(L33&gt;0,(('Grouped Summary'!I44*'Grouped Summary'!J44)+(('Grouped Summary'!I52*'Grouped Summary'!J52)*0.81818))/L33,0)</f>
        <v>0</v>
      </c>
      <c r="N33" s="145">
        <f t="shared" si="3"/>
        <v>0</v>
      </c>
      <c r="O33" s="137">
        <f>('Grouped Summary'!K44+'Grouped Summary'!K52)</f>
        <v>0</v>
      </c>
      <c r="P33" s="145">
        <f>IF(O33&gt;0,(('Grouped Summary'!K44*'Grouped Summary'!L44)+(('Grouped Summary'!K52*'Grouped Summary'!L52)*0.81818))/O33,0)</f>
        <v>0</v>
      </c>
      <c r="Q33" s="145">
        <f t="shared" si="4"/>
        <v>0</v>
      </c>
      <c r="R33" s="137">
        <f>('Grouped Summary'!M44+'Grouped Summary'!M52)</f>
        <v>0</v>
      </c>
      <c r="S33" s="145">
        <f>IF(R33&gt;0,(('Grouped Summary'!M44*'Grouped Summary'!N44)+(('Grouped Summary'!M52*'Grouped Summary'!N52)*0.81818))/R33,0)</f>
        <v>0</v>
      </c>
      <c r="T33" s="145">
        <f t="shared" si="5"/>
        <v>0</v>
      </c>
      <c r="U33" s="137">
        <f>('Grouped Summary'!O44+'Grouped Summary'!O52)</f>
        <v>0</v>
      </c>
      <c r="V33" s="145">
        <f>IF(U33&gt;0,(('Grouped Summary'!O44*'Grouped Summary'!P44)+(('Grouped Summary'!O52*'Grouped Summary'!P52)*0.81818))/U33,0)</f>
        <v>0</v>
      </c>
      <c r="W33" s="145">
        <f t="shared" si="6"/>
        <v>0</v>
      </c>
      <c r="X33" s="118"/>
    </row>
    <row r="34" spans="1:24" ht="15">
      <c r="A34" s="118" t="s">
        <v>145</v>
      </c>
      <c r="B34" s="128" t="s">
        <v>721</v>
      </c>
      <c r="C34" s="128">
        <f>('Grouped Summary'!C53+'Grouped Summary'!C61)</f>
        <v>887</v>
      </c>
      <c r="D34" s="141">
        <f>IF(C34&gt;0,(('Grouped Summary'!C53*'Grouped Summary'!D53)+(('Grouped Summary'!C61*'Grouped Summary'!D61)*0.81818))/C34,0)</f>
        <v>78314.9887260428</v>
      </c>
      <c r="E34" s="141">
        <f t="shared" si="0"/>
        <v>69465394.99999996</v>
      </c>
      <c r="F34" s="128">
        <f>('Grouped Summary'!E53+'Grouped Summary'!E61)</f>
        <v>769</v>
      </c>
      <c r="G34" s="141">
        <f>IF(F34&gt;0,(('Grouped Summary'!E53*'Grouped Summary'!F53)+(('Grouped Summary'!E61*'Grouped Summary'!F61)*0.81818))/F34,0)</f>
        <v>55145.7360208062</v>
      </c>
      <c r="H34" s="141">
        <f t="shared" si="1"/>
        <v>42407070.99999997</v>
      </c>
      <c r="I34" s="128">
        <f>('Grouped Summary'!G53+'Grouped Summary'!G61)</f>
        <v>516</v>
      </c>
      <c r="J34" s="141">
        <f>IF(I34&gt;0,(('Grouped Summary'!G53*'Grouped Summary'!H53)+(('Grouped Summary'!G61*'Grouped Summary'!H61)*0.81818))/I34,0)</f>
        <v>47337.9302325581</v>
      </c>
      <c r="K34" s="141">
        <f t="shared" si="2"/>
        <v>24426371.99999998</v>
      </c>
      <c r="L34" s="128">
        <f>('Grouped Summary'!I53+'Grouped Summary'!I61)</f>
        <v>80</v>
      </c>
      <c r="M34" s="141">
        <f>IF(L34&gt;0,(('Grouped Summary'!I53*'Grouped Summary'!J53)+(('Grouped Summary'!I61*'Grouped Summary'!J61)*0.81818))/L34,0)</f>
        <v>39473.7625</v>
      </c>
      <c r="N34" s="141">
        <f t="shared" si="3"/>
        <v>3157901</v>
      </c>
      <c r="O34" s="128">
        <f>('Grouped Summary'!K53+'Grouped Summary'!K61)</f>
        <v>168</v>
      </c>
      <c r="P34" s="141">
        <f>IF(O34&gt;0,(('Grouped Summary'!K53*'Grouped Summary'!L53)+(('Grouped Summary'!K61*'Grouped Summary'!L61)*0.81818))/O34,0)</f>
        <v>46062</v>
      </c>
      <c r="Q34" s="141">
        <f t="shared" si="4"/>
        <v>7738416</v>
      </c>
      <c r="R34" s="128">
        <f>('Grouped Summary'!M53+'Grouped Summary'!M61)</f>
        <v>0</v>
      </c>
      <c r="S34" s="141">
        <f>IF(R34&gt;0,(('Grouped Summary'!M53*'Grouped Summary'!N53)+(('Grouped Summary'!M61*'Grouped Summary'!N61)*0.81818))/R34,0)</f>
        <v>0</v>
      </c>
      <c r="T34" s="141">
        <f t="shared" si="5"/>
        <v>0</v>
      </c>
      <c r="U34" s="128">
        <f>('Grouped Summary'!O53+'Grouped Summary'!O61)</f>
        <v>2420</v>
      </c>
      <c r="V34" s="141">
        <f>IF(U34&gt;0,(('Grouped Summary'!O53*'Grouped Summary'!P53)+(('Grouped Summary'!O61*'Grouped Summary'!P61)*0.81818))/U34,0)</f>
        <v>60824.444214876</v>
      </c>
      <c r="W34" s="141">
        <f t="shared" si="6"/>
        <v>147195154.9999999</v>
      </c>
      <c r="X34" s="118"/>
    </row>
    <row r="35" spans="1:24" ht="15">
      <c r="A35" s="118" t="s">
        <v>145</v>
      </c>
      <c r="B35" s="128" t="s">
        <v>722</v>
      </c>
      <c r="C35" s="128">
        <f>('Grouped Summary'!C54+'Grouped Summary'!C62)</f>
        <v>287</v>
      </c>
      <c r="D35" s="141">
        <f>IF(C35&gt;0,(('Grouped Summary'!C54*'Grouped Summary'!D54)+(('Grouped Summary'!C62*'Grouped Summary'!D62)*0.81818))/C35,0)</f>
        <v>89190</v>
      </c>
      <c r="E35" s="141">
        <f t="shared" si="0"/>
        <v>25597530</v>
      </c>
      <c r="F35" s="128">
        <f>('Grouped Summary'!E54+'Grouped Summary'!E62)</f>
        <v>239</v>
      </c>
      <c r="G35" s="141">
        <f>IF(F35&gt;0,(('Grouped Summary'!E54*'Grouped Summary'!F54)+(('Grouped Summary'!E62*'Grouped Summary'!F62)*0.81818))/F35,0)</f>
        <v>64908</v>
      </c>
      <c r="H35" s="141">
        <f t="shared" si="1"/>
        <v>15513012</v>
      </c>
      <c r="I35" s="128">
        <f>('Grouped Summary'!G54+'Grouped Summary'!G62)</f>
        <v>168</v>
      </c>
      <c r="J35" s="141">
        <f>IF(I35&gt;0,(('Grouped Summary'!G54*'Grouped Summary'!H54)+(('Grouped Summary'!G62*'Grouped Summary'!H62)*0.81818))/I35,0)</f>
        <v>56019</v>
      </c>
      <c r="K35" s="141">
        <f t="shared" si="2"/>
        <v>9411192</v>
      </c>
      <c r="L35" s="128">
        <f>('Grouped Summary'!I54+'Grouped Summary'!I62)</f>
        <v>22</v>
      </c>
      <c r="M35" s="141">
        <f>IF(L35&gt;0,(('Grouped Summary'!I54*'Grouped Summary'!J54)+(('Grouped Summary'!I62*'Grouped Summary'!J62)*0.81818))/L35,0)</f>
        <v>29985</v>
      </c>
      <c r="N35" s="141">
        <f t="shared" si="3"/>
        <v>659670</v>
      </c>
      <c r="O35" s="128">
        <f>('Grouped Summary'!K54+'Grouped Summary'!K62)</f>
        <v>1</v>
      </c>
      <c r="P35" s="141">
        <f>IF(O35&gt;0,(('Grouped Summary'!K54*'Grouped Summary'!L54)+(('Grouped Summary'!K62*'Grouped Summary'!L62)*0.81818))/O35,0)</f>
        <v>83203</v>
      </c>
      <c r="Q35" s="141">
        <f t="shared" si="4"/>
        <v>83203</v>
      </c>
      <c r="R35" s="128">
        <f>('Grouped Summary'!M54+'Grouped Summary'!M62)</f>
        <v>0</v>
      </c>
      <c r="S35" s="141">
        <f>IF(R35&gt;0,(('Grouped Summary'!M54*'Grouped Summary'!N54)+(('Grouped Summary'!M62*'Grouped Summary'!N62)*0.81818))/R35,0)</f>
        <v>0</v>
      </c>
      <c r="T35" s="141">
        <f t="shared" si="5"/>
        <v>0</v>
      </c>
      <c r="U35" s="128">
        <f>('Grouped Summary'!O54+'Grouped Summary'!O62)</f>
        <v>717</v>
      </c>
      <c r="V35" s="141">
        <f>IF(U35&gt;0,(('Grouped Summary'!O54*'Grouped Summary'!P54)+(('Grouped Summary'!O62*'Grouped Summary'!P62)*0.81818))/U35,0)</f>
        <v>71498.75453277545</v>
      </c>
      <c r="W35" s="141">
        <f t="shared" si="6"/>
        <v>51264607</v>
      </c>
      <c r="X35" s="118"/>
    </row>
    <row r="36" spans="1:24" ht="15">
      <c r="A36" s="118" t="s">
        <v>145</v>
      </c>
      <c r="B36" s="128" t="s">
        <v>723</v>
      </c>
      <c r="C36" s="128">
        <f>('Grouped Summary'!C55+'Grouped Summary'!C63)</f>
        <v>31</v>
      </c>
      <c r="D36" s="141">
        <f>IF(C36&gt;0,(('Grouped Summary'!C55*'Grouped Summary'!D55)+(('Grouped Summary'!C63*'Grouped Summary'!D63)*0.81818))/C36,0)</f>
        <v>54011</v>
      </c>
      <c r="E36" s="141">
        <f t="shared" si="0"/>
        <v>1674341</v>
      </c>
      <c r="F36" s="128">
        <f>('Grouped Summary'!E55+'Grouped Summary'!E63)</f>
        <v>25</v>
      </c>
      <c r="G36" s="141">
        <f>IF(F36&gt;0,(('Grouped Summary'!E55*'Grouped Summary'!F55)+(('Grouped Summary'!E63*'Grouped Summary'!F63)*0.81818))/F36,0)</f>
        <v>46919</v>
      </c>
      <c r="H36" s="141">
        <f t="shared" si="1"/>
        <v>1172975</v>
      </c>
      <c r="I36" s="128">
        <f>('Grouped Summary'!G55+'Grouped Summary'!G63)</f>
        <v>45</v>
      </c>
      <c r="J36" s="141">
        <f>IF(I36&gt;0,(('Grouped Summary'!G55*'Grouped Summary'!H55)+(('Grouped Summary'!G63*'Grouped Summary'!H63)*0.81818))/I36,0)</f>
        <v>38306</v>
      </c>
      <c r="K36" s="141">
        <f t="shared" si="2"/>
        <v>1723770</v>
      </c>
      <c r="L36" s="128">
        <f>('Grouped Summary'!I55+'Grouped Summary'!I63)</f>
        <v>3</v>
      </c>
      <c r="M36" s="141">
        <f>IF(L36&gt;0,(('Grouped Summary'!I55*'Grouped Summary'!J55)+(('Grouped Summary'!I63*'Grouped Summary'!J63)*0.81818))/L36,0)</f>
        <v>34162</v>
      </c>
      <c r="N36" s="141">
        <f t="shared" si="3"/>
        <v>102486</v>
      </c>
      <c r="O36" s="128">
        <f>('Grouped Summary'!K55+'Grouped Summary'!K63)</f>
        <v>0</v>
      </c>
      <c r="P36" s="141">
        <f>IF(O36&gt;0,(('Grouped Summary'!K55*'Grouped Summary'!L55)+(('Grouped Summary'!K63*'Grouped Summary'!L63)*0.81818))/O36,0)</f>
        <v>0</v>
      </c>
      <c r="Q36" s="141">
        <f t="shared" si="4"/>
        <v>0</v>
      </c>
      <c r="R36" s="128">
        <f>('Grouped Summary'!M55+'Grouped Summary'!M63)</f>
        <v>0</v>
      </c>
      <c r="S36" s="141">
        <f>IF(R36&gt;0,(('Grouped Summary'!M55*'Grouped Summary'!N55)+(('Grouped Summary'!M63*'Grouped Summary'!N63)*0.81818))/R36,0)</f>
        <v>0</v>
      </c>
      <c r="T36" s="141">
        <f t="shared" si="5"/>
        <v>0</v>
      </c>
      <c r="U36" s="128">
        <f>('Grouped Summary'!O55+'Grouped Summary'!O63)</f>
        <v>104</v>
      </c>
      <c r="V36" s="141">
        <f>IF(U36&gt;0,(('Grouped Summary'!O55*'Grouped Summary'!P55)+(('Grouped Summary'!O63*'Grouped Summary'!P63)*0.81818))/U36,0)</f>
        <v>44938.192307692305</v>
      </c>
      <c r="W36" s="141">
        <f t="shared" si="6"/>
        <v>4673572</v>
      </c>
      <c r="X36" s="118"/>
    </row>
    <row r="37" spans="1:24" ht="15">
      <c r="A37" s="118" t="s">
        <v>145</v>
      </c>
      <c r="B37" s="128" t="s">
        <v>724</v>
      </c>
      <c r="C37" s="128">
        <f>('Grouped Summary'!C56+'Grouped Summary'!C64)</f>
        <v>275</v>
      </c>
      <c r="D37" s="141">
        <f>IF(C37&gt;0,(('Grouped Summary'!C56*'Grouped Summary'!D56)+(('Grouped Summary'!C64*'Grouped Summary'!D64)*0.81818))/C37,0)</f>
        <v>57145.5163636364</v>
      </c>
      <c r="E37" s="141">
        <f t="shared" si="0"/>
        <v>15715017.000000011</v>
      </c>
      <c r="F37" s="128">
        <f>('Grouped Summary'!E56+'Grouped Summary'!E64)</f>
        <v>240</v>
      </c>
      <c r="G37" s="141">
        <f>IF(F37&gt;0,(('Grouped Summary'!E56*'Grouped Summary'!F56)+(('Grouped Summary'!E64*'Grouped Summary'!F64)*0.81818))/F37,0)</f>
        <v>48388.7541666667</v>
      </c>
      <c r="H37" s="141">
        <f t="shared" si="1"/>
        <v>11613301.00000001</v>
      </c>
      <c r="I37" s="128">
        <f>('Grouped Summary'!G56+'Grouped Summary'!G64)</f>
        <v>361</v>
      </c>
      <c r="J37" s="141">
        <f>IF(I37&gt;0,(('Grouped Summary'!G56*'Grouped Summary'!H56)+(('Grouped Summary'!G64*'Grouped Summary'!H64)*0.81818))/I37,0)</f>
        <v>41859.0027700831</v>
      </c>
      <c r="K37" s="141">
        <f t="shared" si="2"/>
        <v>15111099.999999998</v>
      </c>
      <c r="L37" s="128">
        <f>('Grouped Summary'!I56+'Grouped Summary'!I64)</f>
        <v>50</v>
      </c>
      <c r="M37" s="141">
        <f>IF(L37&gt;0,(('Grouped Summary'!I56*'Grouped Summary'!J56)+(('Grouped Summary'!I64*'Grouped Summary'!J64)*0.81818))/L37,0)</f>
        <v>32244.58</v>
      </c>
      <c r="N37" s="141">
        <f t="shared" si="3"/>
        <v>1612229</v>
      </c>
      <c r="O37" s="128">
        <f>('Grouped Summary'!K56+'Grouped Summary'!K64)</f>
        <v>0</v>
      </c>
      <c r="P37" s="141">
        <f>IF(O37&gt;0,(('Grouped Summary'!K56*'Grouped Summary'!L56)+(('Grouped Summary'!K64*'Grouped Summary'!L64)*0.81818))/O37,0)</f>
        <v>0</v>
      </c>
      <c r="Q37" s="141">
        <f t="shared" si="4"/>
        <v>0</v>
      </c>
      <c r="R37" s="128">
        <f>('Grouped Summary'!M56+'Grouped Summary'!M64)</f>
        <v>0</v>
      </c>
      <c r="S37" s="141">
        <f>IF(R37&gt;0,(('Grouped Summary'!M56*'Grouped Summary'!N56)+(('Grouped Summary'!M64*'Grouped Summary'!N64)*0.81818))/R37,0)</f>
        <v>0</v>
      </c>
      <c r="T37" s="141">
        <f t="shared" si="5"/>
        <v>0</v>
      </c>
      <c r="U37" s="128">
        <f>('Grouped Summary'!O56+'Grouped Summary'!O64)</f>
        <v>926</v>
      </c>
      <c r="V37" s="141">
        <f>IF(U37&gt;0,(('Grouped Summary'!O56*'Grouped Summary'!P56)+(('Grouped Summary'!O64*'Grouped Summary'!P64)*0.81818))/U37,0)</f>
        <v>47571.97300215985</v>
      </c>
      <c r="W37" s="141">
        <f t="shared" si="6"/>
        <v>44051647.00000002</v>
      </c>
      <c r="X37" s="118"/>
    </row>
    <row r="38" spans="1:24" ht="15">
      <c r="A38" s="118" t="s">
        <v>145</v>
      </c>
      <c r="B38" s="128" t="s">
        <v>725</v>
      </c>
      <c r="C38" s="128">
        <f>('Grouped Summary'!C57+'Grouped Summary'!C65)</f>
        <v>251</v>
      </c>
      <c r="D38" s="141">
        <f>IF(C38&gt;0,(('Grouped Summary'!C57*'Grouped Summary'!D57)+(('Grouped Summary'!C65*'Grouped Summary'!D65)*0.81818))/C38,0)</f>
        <v>57867.3027888446</v>
      </c>
      <c r="E38" s="141">
        <f t="shared" si="0"/>
        <v>14524692.999999994</v>
      </c>
      <c r="F38" s="128">
        <f>('Grouped Summary'!E57+'Grouped Summary'!E65)</f>
        <v>309</v>
      </c>
      <c r="G38" s="141">
        <f>IF(F38&gt;0,(('Grouped Summary'!E57*'Grouped Summary'!F57)+(('Grouped Summary'!E65*'Grouped Summary'!F65)*0.81818))/F38,0)</f>
        <v>50058.5501618123</v>
      </c>
      <c r="H38" s="141">
        <f t="shared" si="1"/>
        <v>15468092.000000002</v>
      </c>
      <c r="I38" s="128">
        <f>('Grouped Summary'!G57+'Grouped Summary'!G65)</f>
        <v>367</v>
      </c>
      <c r="J38" s="141">
        <f>IF(I38&gt;0,(('Grouped Summary'!G57*'Grouped Summary'!H57)+(('Grouped Summary'!G65*'Grouped Summary'!H65)*0.81818))/I38,0)</f>
        <v>40500.6757493188</v>
      </c>
      <c r="K38" s="141">
        <f t="shared" si="2"/>
        <v>14863747.999999998</v>
      </c>
      <c r="L38" s="128">
        <f>('Grouped Summary'!I57+'Grouped Summary'!I65)</f>
        <v>44</v>
      </c>
      <c r="M38" s="141">
        <f>IF(L38&gt;0,(('Grouped Summary'!I57*'Grouped Summary'!J57)+(('Grouped Summary'!I65*'Grouped Summary'!J65)*0.81818))/L38,0)</f>
        <v>33874.1590909091</v>
      </c>
      <c r="N38" s="141">
        <f t="shared" si="3"/>
        <v>1490463.0000000005</v>
      </c>
      <c r="O38" s="128">
        <f>('Grouped Summary'!K57+'Grouped Summary'!K65)</f>
        <v>0</v>
      </c>
      <c r="P38" s="141">
        <f>IF(O38&gt;0,(('Grouped Summary'!K57*'Grouped Summary'!L57)+(('Grouped Summary'!K65*'Grouped Summary'!L65)*0.81818))/O38,0)</f>
        <v>0</v>
      </c>
      <c r="Q38" s="141">
        <f t="shared" si="4"/>
        <v>0</v>
      </c>
      <c r="R38" s="128">
        <f>('Grouped Summary'!M57+'Grouped Summary'!M65)</f>
        <v>0</v>
      </c>
      <c r="S38" s="141">
        <f>IF(R38&gt;0,(('Grouped Summary'!M57*'Grouped Summary'!N57)+(('Grouped Summary'!M65*'Grouped Summary'!N65)*0.81818))/R38,0)</f>
        <v>0</v>
      </c>
      <c r="T38" s="141">
        <f t="shared" si="5"/>
        <v>0</v>
      </c>
      <c r="U38" s="128">
        <f>('Grouped Summary'!O57+'Grouped Summary'!O65)</f>
        <v>971</v>
      </c>
      <c r="V38" s="141">
        <f>IF(U38&gt;0,(('Grouped Summary'!O57*'Grouped Summary'!P57)+(('Grouped Summary'!O65*'Grouped Summary'!P65)*0.81818))/U38,0)</f>
        <v>47731.20082389288</v>
      </c>
      <c r="W38" s="141">
        <f t="shared" si="6"/>
        <v>46346995.99999999</v>
      </c>
      <c r="X38" s="118"/>
    </row>
    <row r="39" spans="1:24" ht="15">
      <c r="A39" s="118" t="s">
        <v>145</v>
      </c>
      <c r="B39" s="128" t="s">
        <v>726</v>
      </c>
      <c r="C39" s="128">
        <f>('Grouped Summary'!C58+'Grouped Summary'!C66)</f>
        <v>114</v>
      </c>
      <c r="D39" s="141">
        <f>IF(C39&gt;0,(('Grouped Summary'!C58*'Grouped Summary'!D58)+(('Grouped Summary'!C66*'Grouped Summary'!D66)*0.81818))/C39,0)</f>
        <v>56479.2631578947</v>
      </c>
      <c r="E39" s="141">
        <f aca="true" t="shared" si="7" ref="E39:E70">C39*D39</f>
        <v>6438635.999999995</v>
      </c>
      <c r="F39" s="128">
        <f>('Grouped Summary'!E58+'Grouped Summary'!E66)</f>
        <v>134</v>
      </c>
      <c r="G39" s="141">
        <f>IF(F39&gt;0,(('Grouped Summary'!E58*'Grouped Summary'!F58)+(('Grouped Summary'!E66*'Grouped Summary'!F66)*0.81818))/F39,0)</f>
        <v>46443.4850746269</v>
      </c>
      <c r="H39" s="141">
        <f aca="true" t="shared" si="8" ref="H39:H70">F39*G39</f>
        <v>6223427.000000005</v>
      </c>
      <c r="I39" s="128">
        <f>('Grouped Summary'!G58+'Grouped Summary'!G66)</f>
        <v>187</v>
      </c>
      <c r="J39" s="141">
        <f>IF(I39&gt;0,(('Grouped Summary'!G58*'Grouped Summary'!H58)+(('Grouped Summary'!G66*'Grouped Summary'!H66)*0.81818))/I39,0)</f>
        <v>40761.0695187166</v>
      </c>
      <c r="K39" s="141">
        <f aca="true" t="shared" si="9" ref="K39:K70">I39*J39</f>
        <v>7622320.000000004</v>
      </c>
      <c r="L39" s="128">
        <f>('Grouped Summary'!I58+'Grouped Summary'!I66)</f>
        <v>24</v>
      </c>
      <c r="M39" s="141">
        <f>IF(L39&gt;0,(('Grouped Summary'!I58*'Grouped Summary'!J58)+(('Grouped Summary'!I66*'Grouped Summary'!J66)*0.81818))/L39,0)</f>
        <v>35008.7916666667</v>
      </c>
      <c r="N39" s="141">
        <f aca="true" t="shared" si="10" ref="N39:N70">L39*M39</f>
        <v>840211.0000000008</v>
      </c>
      <c r="O39" s="128">
        <f>('Grouped Summary'!K58+'Grouped Summary'!K66)</f>
        <v>0</v>
      </c>
      <c r="P39" s="141">
        <f>IF(O39&gt;0,(('Grouped Summary'!K58*'Grouped Summary'!L58)+(('Grouped Summary'!K66*'Grouped Summary'!L66)*0.81818))/O39,0)</f>
        <v>0</v>
      </c>
      <c r="Q39" s="141">
        <f t="shared" si="4"/>
        <v>0</v>
      </c>
      <c r="R39" s="128">
        <f>('Grouped Summary'!M58+'Grouped Summary'!M66)</f>
        <v>0</v>
      </c>
      <c r="S39" s="141">
        <f>IF(R39&gt;0,(('Grouped Summary'!M58*'Grouped Summary'!N58)+(('Grouped Summary'!M66*'Grouped Summary'!N66)*0.81818))/R39,0)</f>
        <v>0</v>
      </c>
      <c r="T39" s="141">
        <f aca="true" t="shared" si="11" ref="T39:T70">R39*S39</f>
        <v>0</v>
      </c>
      <c r="U39" s="128">
        <f>('Grouped Summary'!O58+'Grouped Summary'!O66)</f>
        <v>459</v>
      </c>
      <c r="V39" s="141">
        <f>IF(U39&gt;0,(('Grouped Summary'!O58*'Grouped Summary'!P58)+(('Grouped Summary'!O66*'Grouped Summary'!P66)*0.81818))/U39,0)</f>
        <v>46023.080610021796</v>
      </c>
      <c r="W39" s="141">
        <f aca="true" t="shared" si="12" ref="W39:W70">U39*V39</f>
        <v>21124594.000000004</v>
      </c>
      <c r="X39" s="118"/>
    </row>
    <row r="40" spans="1:24" ht="15">
      <c r="A40" s="118"/>
      <c r="B40" s="142" t="s">
        <v>797</v>
      </c>
      <c r="C40" s="143">
        <f>SUM(C34:C39)</f>
        <v>1845</v>
      </c>
      <c r="D40" s="144">
        <f>((C34*D34)+(C35*D35)+(C36*D36)+(C37*D37)+(C38*D38)+(C39*D39))/C40</f>
        <v>72311.98482384822</v>
      </c>
      <c r="E40" s="141">
        <f t="shared" si="7"/>
        <v>133415611.99999997</v>
      </c>
      <c r="F40" s="143">
        <f>SUM(F34:F39)</f>
        <v>1716</v>
      </c>
      <c r="G40" s="144">
        <f>((F34*G34)+(F35*G35)+(F36*G36)+(F37*G37)+(F38*G38)+(F39*G39))/F40</f>
        <v>53844.91724941724</v>
      </c>
      <c r="H40" s="141">
        <f t="shared" si="8"/>
        <v>92397877.99999999</v>
      </c>
      <c r="I40" s="143">
        <f>SUM(I34:I39)</f>
        <v>1644</v>
      </c>
      <c r="J40" s="144">
        <f>((I34*J34)+(I35*J35)+(I36*J36)+(I37*J37)+(I38*J38)+(I39*J39))/I40</f>
        <v>44500.305352798045</v>
      </c>
      <c r="K40" s="141">
        <f t="shared" si="9"/>
        <v>73158501.99999999</v>
      </c>
      <c r="L40" s="143">
        <f>SUM(L34:L39)</f>
        <v>223</v>
      </c>
      <c r="M40" s="144">
        <f>((L34*M34)+(L35*M35)+(L36*M36)+(L37*M37)+(L38*M38)+(L39*M39))/L40</f>
        <v>35259.910313901346</v>
      </c>
      <c r="N40" s="141">
        <f t="shared" si="10"/>
        <v>7862960</v>
      </c>
      <c r="O40" s="143">
        <f>SUM(O34:O39)</f>
        <v>169</v>
      </c>
      <c r="P40" s="144">
        <f>IF(O40&gt;0,((O34*P34)+(O35*P35)+(O36*P36)+(O37*P37)+(O38*P38)+(O39*P39))/O40,0)</f>
        <v>46281.769230769234</v>
      </c>
      <c r="Q40" s="141">
        <f>IF(O40&gt;0,(O40*P40),0)</f>
        <v>7821619.000000001</v>
      </c>
      <c r="R40" s="143">
        <f>SUM(R34:R39)</f>
        <v>0</v>
      </c>
      <c r="S40" s="144">
        <f>IF(R40&gt;0,((R34*S34)+(R35*S35)+(R36*S36)+(R37*S37)+(R38*S38)+(R39*S39))/R40,0)</f>
        <v>0</v>
      </c>
      <c r="T40" s="141">
        <f t="shared" si="11"/>
        <v>0</v>
      </c>
      <c r="U40" s="143">
        <f>SUM(U34:U39)</f>
        <v>5597</v>
      </c>
      <c r="V40" s="144">
        <f>((U34*V34)+(U35*V35)+(U36*V36)+(U37*V37)+(U38*V38)+(U39*V39))/U40</f>
        <v>56218.79060210826</v>
      </c>
      <c r="W40" s="141">
        <f t="shared" si="12"/>
        <v>314656570.99999994</v>
      </c>
      <c r="X40" s="118"/>
    </row>
    <row r="41" spans="1:24" ht="15">
      <c r="A41" s="118" t="s">
        <v>145</v>
      </c>
      <c r="B41" s="128" t="s">
        <v>727</v>
      </c>
      <c r="C41" s="128">
        <f>('Grouped Summary'!C59+'Grouped Summary'!C67)</f>
        <v>163</v>
      </c>
      <c r="D41" s="141">
        <f>IF(C41&gt;0,(('Grouped Summary'!C59*'Grouped Summary'!D59)+(('Grouped Summary'!C67*'Grouped Summary'!D67)*0.81818))/C41,0)</f>
        <v>50808.1472392638</v>
      </c>
      <c r="E41" s="141">
        <f t="shared" si="7"/>
        <v>8281728</v>
      </c>
      <c r="F41" s="128">
        <f>('Grouped Summary'!E59+'Grouped Summary'!E67)</f>
        <v>281</v>
      </c>
      <c r="G41" s="141">
        <f>IF(F41&gt;0,(('Grouped Summary'!E59*'Grouped Summary'!F59)+(('Grouped Summary'!E67*'Grouped Summary'!F67)*0.81818))/F41,0)</f>
        <v>44306.2526690391</v>
      </c>
      <c r="H41" s="141">
        <f t="shared" si="8"/>
        <v>12450056.999999987</v>
      </c>
      <c r="I41" s="128">
        <f>('Grouped Summary'!G59+'Grouped Summary'!G67)</f>
        <v>517</v>
      </c>
      <c r="J41" s="141">
        <f>IF(I41&gt;0,(('Grouped Summary'!G59*'Grouped Summary'!H59)+(('Grouped Summary'!G67*'Grouped Summary'!H67)*0.81818))/I41,0)</f>
        <v>37910.5512572534</v>
      </c>
      <c r="K41" s="141">
        <f t="shared" si="9"/>
        <v>19599755.000000007</v>
      </c>
      <c r="L41" s="128">
        <f>('Grouped Summary'!I59+'Grouped Summary'!I67)</f>
        <v>140</v>
      </c>
      <c r="M41" s="141">
        <f>IF(L41&gt;0,(('Grouped Summary'!I59*'Grouped Summary'!J59)+(('Grouped Summary'!I67*'Grouped Summary'!J67)*0.81818))/L41,0)</f>
        <v>33468.3142857143</v>
      </c>
      <c r="N41" s="141">
        <f t="shared" si="10"/>
        <v>4685564.000000003</v>
      </c>
      <c r="O41" s="128">
        <f>('Grouped Summary'!K59+'Grouped Summary'!K67)</f>
        <v>0</v>
      </c>
      <c r="P41" s="141">
        <f>IF(O41&gt;0,(('Grouped Summary'!K59*'Grouped Summary'!L59)+(('Grouped Summary'!K67*'Grouped Summary'!L67)*0.81818))/O41,0)</f>
        <v>0</v>
      </c>
      <c r="Q41" s="141">
        <f aca="true" t="shared" si="13" ref="Q41:Q75">O41*P41</f>
        <v>0</v>
      </c>
      <c r="R41" s="128">
        <f>('Grouped Summary'!M59+'Grouped Summary'!M67)</f>
        <v>0</v>
      </c>
      <c r="S41" s="141">
        <f>IF(R41&gt;0,(('Grouped Summary'!M59*'Grouped Summary'!N59)+(('Grouped Summary'!M67*'Grouped Summary'!N67)*0.81818))/R41,0)</f>
        <v>0</v>
      </c>
      <c r="T41" s="141">
        <f t="shared" si="11"/>
        <v>0</v>
      </c>
      <c r="U41" s="128">
        <f>('Grouped Summary'!O59+'Grouped Summary'!O67)</f>
        <v>1101</v>
      </c>
      <c r="V41" s="141">
        <f>IF(U41&gt;0,(('Grouped Summary'!O59*'Grouped Summary'!P59)+(('Grouped Summary'!O67*'Grouped Summary'!P67)*0.81818))/U41,0)</f>
        <v>40887.46957311534</v>
      </c>
      <c r="W41" s="141">
        <f t="shared" si="12"/>
        <v>45017103.99999999</v>
      </c>
      <c r="X41" s="118"/>
    </row>
    <row r="42" spans="1:24" ht="15">
      <c r="A42" s="119" t="s">
        <v>145</v>
      </c>
      <c r="B42" s="137" t="s">
        <v>728</v>
      </c>
      <c r="C42" s="137">
        <f>('Grouped Summary'!C60+'Grouped Summary'!C68)</f>
        <v>0</v>
      </c>
      <c r="D42" s="145">
        <f>IF(C42&gt;0,(('Grouped Summary'!C60*'Grouped Summary'!D60)+(('Grouped Summary'!C68*'Grouped Summary'!D68)*0.81818))/C42,0)</f>
        <v>0</v>
      </c>
      <c r="E42" s="145">
        <f t="shared" si="7"/>
        <v>0</v>
      </c>
      <c r="F42" s="137">
        <f>('Grouped Summary'!E60+'Grouped Summary'!E68)</f>
        <v>0</v>
      </c>
      <c r="G42" s="145">
        <f>IF(F42&gt;0,(('Grouped Summary'!E60*'Grouped Summary'!F60)+(('Grouped Summary'!E68*'Grouped Summary'!F68)*0.81818))/F42,0)</f>
        <v>0</v>
      </c>
      <c r="H42" s="145">
        <f t="shared" si="8"/>
        <v>0</v>
      </c>
      <c r="I42" s="137">
        <f>('Grouped Summary'!G60+'Grouped Summary'!G68)</f>
        <v>0</v>
      </c>
      <c r="J42" s="145">
        <f>IF(I42&gt;0,(('Grouped Summary'!G60*'Grouped Summary'!H60)+(('Grouped Summary'!G68*'Grouped Summary'!H68)*0.81818))/I42,0)</f>
        <v>0</v>
      </c>
      <c r="K42" s="145">
        <f t="shared" si="9"/>
        <v>0</v>
      </c>
      <c r="L42" s="137">
        <f>('Grouped Summary'!I60+'Grouped Summary'!I68)</f>
        <v>0</v>
      </c>
      <c r="M42" s="145">
        <f>IF(L42&gt;0,(('Grouped Summary'!I60*'Grouped Summary'!J60)+(('Grouped Summary'!I68*'Grouped Summary'!J68)*0.81818))/L42,0)</f>
        <v>0</v>
      </c>
      <c r="N42" s="145">
        <f t="shared" si="10"/>
        <v>0</v>
      </c>
      <c r="O42" s="137">
        <f>('Grouped Summary'!K60+'Grouped Summary'!K68)</f>
        <v>0</v>
      </c>
      <c r="P42" s="145">
        <f>IF(O42&gt;0,(('Grouped Summary'!K60*'Grouped Summary'!L60)+(('Grouped Summary'!K68*'Grouped Summary'!L68)*0.81818))/O42,0)</f>
        <v>0</v>
      </c>
      <c r="Q42" s="145">
        <f t="shared" si="13"/>
        <v>0</v>
      </c>
      <c r="R42" s="137">
        <f>('Grouped Summary'!M60+'Grouped Summary'!M68)</f>
        <v>1586</v>
      </c>
      <c r="S42" s="145">
        <f>IF(R42&gt;0,(('Grouped Summary'!M60*'Grouped Summary'!N60)+(('Grouped Summary'!M68*'Grouped Summary'!N68)*0.81818))/R42,0)</f>
        <v>38430.08490441109</v>
      </c>
      <c r="T42" s="145">
        <f t="shared" si="11"/>
        <v>60950114.65839598</v>
      </c>
      <c r="U42" s="137">
        <f>('Grouped Summary'!O60+'Grouped Summary'!O68)</f>
        <v>1586</v>
      </c>
      <c r="V42" s="145">
        <f>IF(U42&gt;0,(('Grouped Summary'!O60*'Grouped Summary'!P60)+(('Grouped Summary'!O68*'Grouped Summary'!P68)*0.81818))/U42,0)</f>
        <v>38430.08490441109</v>
      </c>
      <c r="W42" s="145">
        <f t="shared" si="12"/>
        <v>60950114.65839598</v>
      </c>
      <c r="X42" s="118"/>
    </row>
    <row r="43" spans="1:24" ht="15">
      <c r="A43" s="118" t="s">
        <v>242</v>
      </c>
      <c r="B43" s="128" t="s">
        <v>721</v>
      </c>
      <c r="C43" s="128">
        <f>('Grouped Summary'!C69+'Grouped Summary'!C77)</f>
        <v>488</v>
      </c>
      <c r="D43" s="141">
        <f>IF(C43&gt;0,(('Grouped Summary'!C69*'Grouped Summary'!D69)+(('Grouped Summary'!C77*'Grouped Summary'!D77)*0.81818))/C43,0)</f>
        <v>71225.18406741804</v>
      </c>
      <c r="E43" s="141">
        <f t="shared" si="7"/>
        <v>34757889.8249</v>
      </c>
      <c r="F43" s="128">
        <f>('Grouped Summary'!E69+'Grouped Summary'!E77)</f>
        <v>473</v>
      </c>
      <c r="G43" s="141">
        <f>IF(F43&gt;0,(('Grouped Summary'!E69*'Grouped Summary'!F69)+(('Grouped Summary'!E77*'Grouped Summary'!F77)*0.81818))/F43,0)</f>
        <v>53048.15825674418</v>
      </c>
      <c r="H43" s="141">
        <f t="shared" si="8"/>
        <v>25091778.85544</v>
      </c>
      <c r="I43" s="128">
        <f>('Grouped Summary'!G69+'Grouped Summary'!G77)</f>
        <v>256</v>
      </c>
      <c r="J43" s="141">
        <f>IF(I43&gt;0,(('Grouped Summary'!G69*'Grouped Summary'!H69)+(('Grouped Summary'!G77*'Grouped Summary'!H77)*0.81818))/I43,0)</f>
        <v>45324.74435007812</v>
      </c>
      <c r="K43" s="141">
        <f t="shared" si="9"/>
        <v>11603134.55362</v>
      </c>
      <c r="L43" s="128">
        <f>('Grouped Summary'!I69+'Grouped Summary'!I77)</f>
        <v>5</v>
      </c>
      <c r="M43" s="141">
        <f>IF(L43&gt;0,(('Grouped Summary'!I69*'Grouped Summary'!J69)+(('Grouped Summary'!I77*'Grouped Summary'!J77)*0.81818))/L43,0)</f>
        <v>45745.430856000006</v>
      </c>
      <c r="N43" s="141">
        <f t="shared" si="10"/>
        <v>228727.15428000002</v>
      </c>
      <c r="O43" s="128">
        <f>('Grouped Summary'!K69+'Grouped Summary'!K77)</f>
        <v>0</v>
      </c>
      <c r="P43" s="141">
        <f>IF(O43&gt;0,(('Grouped Summary'!K69*'Grouped Summary'!L69)+(('Grouped Summary'!K77*'Grouped Summary'!L77)*0.81818))/O43,0)</f>
        <v>0</v>
      </c>
      <c r="Q43" s="141">
        <f t="shared" si="13"/>
        <v>0</v>
      </c>
      <c r="R43" s="128">
        <f>('Grouped Summary'!M69+'Grouped Summary'!M77)</f>
        <v>0</v>
      </c>
      <c r="S43" s="141">
        <f>IF(R43&gt;0,(('Grouped Summary'!M69*'Grouped Summary'!N69)+(('Grouped Summary'!M77*'Grouped Summary'!N77)*0.81818))/R43,0)</f>
        <v>0</v>
      </c>
      <c r="T43" s="141">
        <f t="shared" si="11"/>
        <v>0</v>
      </c>
      <c r="U43" s="128">
        <f>('Grouped Summary'!O69+'Grouped Summary'!O77)</f>
        <v>1222</v>
      </c>
      <c r="V43" s="141">
        <f>IF(U43&gt;0,(('Grouped Summary'!O69*'Grouped Summary'!P69)+(('Grouped Summary'!O77*'Grouped Summary'!P77)*0.81818))/U43,0)</f>
        <v>58659.19017040916</v>
      </c>
      <c r="W43" s="141">
        <f t="shared" si="12"/>
        <v>71681530.38824</v>
      </c>
      <c r="X43" s="118"/>
    </row>
    <row r="44" spans="1:24" ht="15">
      <c r="A44" s="118" t="s">
        <v>242</v>
      </c>
      <c r="B44" s="128" t="s">
        <v>722</v>
      </c>
      <c r="C44" s="128">
        <f>('Grouped Summary'!C70+'Grouped Summary'!C78)</f>
        <v>308</v>
      </c>
      <c r="D44" s="141">
        <f>IF(C44&gt;0,(('Grouped Summary'!C70*'Grouped Summary'!D70)+(('Grouped Summary'!C78*'Grouped Summary'!D78)*0.81818))/C44,0)</f>
        <v>66642.5462757143</v>
      </c>
      <c r="E44" s="141">
        <f t="shared" si="7"/>
        <v>20525904.25292</v>
      </c>
      <c r="F44" s="128">
        <f>('Grouped Summary'!E70+'Grouped Summary'!E78)</f>
        <v>207</v>
      </c>
      <c r="G44" s="141">
        <f>IF(F44&gt;0,(('Grouped Summary'!E70*'Grouped Summary'!F70)+(('Grouped Summary'!E78*'Grouped Summary'!F78)*0.81818))/F44,0)</f>
        <v>49318.80448695652</v>
      </c>
      <c r="H44" s="141">
        <f t="shared" si="8"/>
        <v>10208992.5288</v>
      </c>
      <c r="I44" s="128">
        <f>('Grouped Summary'!G70+'Grouped Summary'!G78)</f>
        <v>156</v>
      </c>
      <c r="J44" s="141">
        <f>IF(I44&gt;0,(('Grouped Summary'!G70*'Grouped Summary'!H70)+(('Grouped Summary'!G78*'Grouped Summary'!H78)*0.81818))/I44,0)</f>
        <v>41393.61346589743</v>
      </c>
      <c r="K44" s="141">
        <f t="shared" si="9"/>
        <v>6457403.70068</v>
      </c>
      <c r="L44" s="128">
        <f>('Grouped Summary'!I70+'Grouped Summary'!I78)</f>
        <v>17</v>
      </c>
      <c r="M44" s="141">
        <f>IF(L44&gt;0,(('Grouped Summary'!I70*'Grouped Summary'!J70)+(('Grouped Summary'!I78*'Grouped Summary'!J78)*0.81818))/L44,0)</f>
        <v>32982.754992941176</v>
      </c>
      <c r="N44" s="141">
        <f t="shared" si="10"/>
        <v>560706.83488</v>
      </c>
      <c r="O44" s="128">
        <f>('Grouped Summary'!K70+'Grouped Summary'!K78)</f>
        <v>16</v>
      </c>
      <c r="P44" s="141">
        <f>IF(O44&gt;0,(('Grouped Summary'!K70*'Grouped Summary'!L70)+(('Grouped Summary'!K78*'Grouped Summary'!L78)*0.81818))/O44,0)</f>
        <v>25649.3128925</v>
      </c>
      <c r="Q44" s="141">
        <f t="shared" si="13"/>
        <v>410389.00628</v>
      </c>
      <c r="R44" s="128">
        <f>('Grouped Summary'!M70+'Grouped Summary'!M78)</f>
        <v>0</v>
      </c>
      <c r="S44" s="141">
        <f>IF(R44&gt;0,(('Grouped Summary'!M70*'Grouped Summary'!N70)+(('Grouped Summary'!M78*'Grouped Summary'!N78)*0.81818))/R44,0)</f>
        <v>0</v>
      </c>
      <c r="T44" s="141">
        <f t="shared" si="11"/>
        <v>0</v>
      </c>
      <c r="U44" s="128">
        <f>('Grouped Summary'!O70+'Grouped Summary'!O78)</f>
        <v>704</v>
      </c>
      <c r="V44" s="141">
        <f>IF(U44&gt;0,(('Grouped Summary'!O70*'Grouped Summary'!P70)+(('Grouped Summary'!O78*'Grouped Summary'!P78)*0.81818))/U44,0)</f>
        <v>54209.36977778409</v>
      </c>
      <c r="W44" s="141">
        <f t="shared" si="12"/>
        <v>38163396.32356</v>
      </c>
      <c r="X44" s="118"/>
    </row>
    <row r="45" spans="1:24" ht="15">
      <c r="A45" s="118" t="s">
        <v>242</v>
      </c>
      <c r="B45" s="128" t="s">
        <v>723</v>
      </c>
      <c r="C45" s="128">
        <f>('Grouped Summary'!C71+'Grouped Summary'!C79)</f>
        <v>509</v>
      </c>
      <c r="D45" s="141">
        <f>IF(C45&gt;0,(('Grouped Summary'!C71*'Grouped Summary'!D71)+(('Grouped Summary'!C79*'Grouped Summary'!D79)*0.81818))/C45,0)</f>
        <v>58212.7815706876</v>
      </c>
      <c r="E45" s="141">
        <f t="shared" si="7"/>
        <v>29630305.819479987</v>
      </c>
      <c r="F45" s="128">
        <f>('Grouped Summary'!E71+'Grouped Summary'!E79)</f>
        <v>399</v>
      </c>
      <c r="G45" s="141">
        <f>IF(F45&gt;0,(('Grouped Summary'!E71*'Grouped Summary'!F71)+(('Grouped Summary'!E79*'Grouped Summary'!F79)*0.81818))/F45,0)</f>
        <v>47852.829148270685</v>
      </c>
      <c r="H45" s="141">
        <f t="shared" si="8"/>
        <v>19093278.830160003</v>
      </c>
      <c r="I45" s="128">
        <f>('Grouped Summary'!G71+'Grouped Summary'!G79)</f>
        <v>433</v>
      </c>
      <c r="J45" s="141">
        <f>IF(I45&gt;0,(('Grouped Summary'!G71*'Grouped Summary'!H71)+(('Grouped Summary'!G79*'Grouped Summary'!H79)*0.81818))/I45,0)</f>
        <v>39444.45954660511</v>
      </c>
      <c r="K45" s="141">
        <f t="shared" si="9"/>
        <v>17079450.983680014</v>
      </c>
      <c r="L45" s="128">
        <f>('Grouped Summary'!I71+'Grouped Summary'!I79)</f>
        <v>83</v>
      </c>
      <c r="M45" s="141">
        <f>IF(L45&gt;0,(('Grouped Summary'!I71*'Grouped Summary'!J71)+(('Grouped Summary'!I79*'Grouped Summary'!J79)*0.81818))/L45,0)</f>
        <v>30931.79036144579</v>
      </c>
      <c r="N45" s="141">
        <f t="shared" si="10"/>
        <v>2567338.6000000006</v>
      </c>
      <c r="O45" s="128">
        <f>('Grouped Summary'!K71+'Grouped Summary'!K79)</f>
        <v>58</v>
      </c>
      <c r="P45" s="141">
        <f>IF(O45&gt;0,(('Grouped Summary'!K71*'Grouped Summary'!L71)+(('Grouped Summary'!K79*'Grouped Summary'!L79)*0.81818))/O45,0)</f>
        <v>32934.61776931039</v>
      </c>
      <c r="Q45" s="141">
        <f t="shared" si="13"/>
        <v>1910207.8306200025</v>
      </c>
      <c r="R45" s="128">
        <f>('Grouped Summary'!M71+'Grouped Summary'!M79)</f>
        <v>0</v>
      </c>
      <c r="S45" s="141">
        <f>IF(R45&gt;0,(('Grouped Summary'!M71*'Grouped Summary'!N71)+(('Grouped Summary'!M79*'Grouped Summary'!N79)*0.81818))/R45,0)</f>
        <v>0</v>
      </c>
      <c r="T45" s="141">
        <f t="shared" si="11"/>
        <v>0</v>
      </c>
      <c r="U45" s="128">
        <f>('Grouped Summary'!O71+'Grouped Summary'!O79)</f>
        <v>1482</v>
      </c>
      <c r="V45" s="141">
        <f>IF(U45&gt;0,(('Grouped Summary'!O71*'Grouped Summary'!P71)+(('Grouped Summary'!O79*'Grouped Summary'!P79)*0.81818))/U45,0)</f>
        <v>47422.79491493927</v>
      </c>
      <c r="W45" s="141">
        <f t="shared" si="12"/>
        <v>70280582.06394</v>
      </c>
      <c r="X45" s="118"/>
    </row>
    <row r="46" spans="1:24" ht="15">
      <c r="A46" s="118" t="s">
        <v>242</v>
      </c>
      <c r="B46" s="128" t="s">
        <v>724</v>
      </c>
      <c r="C46" s="128">
        <f>('Grouped Summary'!C72+'Grouped Summary'!C80)</f>
        <v>66</v>
      </c>
      <c r="D46" s="141">
        <f>IF(C46&gt;0,(('Grouped Summary'!C72*'Grouped Summary'!D72)+(('Grouped Summary'!C80*'Grouped Summary'!D80)*0.81818))/C46,0)</f>
        <v>55776</v>
      </c>
      <c r="E46" s="141">
        <f t="shared" si="7"/>
        <v>3681216</v>
      </c>
      <c r="F46" s="128">
        <f>('Grouped Summary'!E72+'Grouped Summary'!E80)</f>
        <v>81</v>
      </c>
      <c r="G46" s="141">
        <f>IF(F46&gt;0,(('Grouped Summary'!E72*'Grouped Summary'!F72)+(('Grouped Summary'!E80*'Grouped Summary'!F80)*0.81818))/F46,0)</f>
        <v>43274</v>
      </c>
      <c r="H46" s="141">
        <f t="shared" si="8"/>
        <v>3505194</v>
      </c>
      <c r="I46" s="128">
        <f>('Grouped Summary'!G72+'Grouped Summary'!G80)</f>
        <v>148</v>
      </c>
      <c r="J46" s="141">
        <f>IF(I46&gt;0,(('Grouped Summary'!G72*'Grouped Summary'!H72)+(('Grouped Summary'!G80*'Grouped Summary'!H80)*0.81818))/I46,0)</f>
        <v>36911</v>
      </c>
      <c r="K46" s="141">
        <f t="shared" si="9"/>
        <v>5462828</v>
      </c>
      <c r="L46" s="128">
        <f>('Grouped Summary'!I72+'Grouped Summary'!I80)</f>
        <v>22</v>
      </c>
      <c r="M46" s="141">
        <f>IF(L46&gt;0,(('Grouped Summary'!I72*'Grouped Summary'!J72)+(('Grouped Summary'!I80*'Grouped Summary'!J80)*0.81818))/L46,0)</f>
        <v>25011</v>
      </c>
      <c r="N46" s="141">
        <f t="shared" si="10"/>
        <v>550242</v>
      </c>
      <c r="O46" s="128">
        <f>('Grouped Summary'!K72+'Grouped Summary'!K80)</f>
        <v>0</v>
      </c>
      <c r="P46" s="141">
        <f>IF(O46&gt;0,(('Grouped Summary'!K72*'Grouped Summary'!L72)+(('Grouped Summary'!K80*'Grouped Summary'!L80)*0.81818))/O46,0)</f>
        <v>0</v>
      </c>
      <c r="Q46" s="141">
        <f t="shared" si="13"/>
        <v>0</v>
      </c>
      <c r="R46" s="128">
        <f>('Grouped Summary'!M72+'Grouped Summary'!M80)</f>
        <v>0</v>
      </c>
      <c r="S46" s="141">
        <f>IF(R46&gt;0,(('Grouped Summary'!M72*'Grouped Summary'!N72)+(('Grouped Summary'!M80*'Grouped Summary'!N80)*0.81818))/R46,0)</f>
        <v>0</v>
      </c>
      <c r="T46" s="141">
        <f t="shared" si="11"/>
        <v>0</v>
      </c>
      <c r="U46" s="128">
        <f>('Grouped Summary'!O72+'Grouped Summary'!O80)</f>
        <v>317</v>
      </c>
      <c r="V46" s="141">
        <f>IF(U46&gt;0,(('Grouped Summary'!O72*'Grouped Summary'!P72)+(('Grouped Summary'!O80*'Grouped Summary'!P80)*0.81818))/U46,0)</f>
        <v>41638.738170347</v>
      </c>
      <c r="W46" s="141">
        <f t="shared" si="12"/>
        <v>13199480</v>
      </c>
      <c r="X46" s="118"/>
    </row>
    <row r="47" spans="1:24" ht="15">
      <c r="A47" s="118" t="s">
        <v>242</v>
      </c>
      <c r="B47" s="128" t="s">
        <v>725</v>
      </c>
      <c r="C47" s="128">
        <f>('Grouped Summary'!C73+'Grouped Summary'!C81)</f>
        <v>112</v>
      </c>
      <c r="D47" s="141">
        <f>IF(C47&gt;0,(('Grouped Summary'!C73*'Grouped Summary'!D73)+(('Grouped Summary'!C81*'Grouped Summary'!D81)*0.81818))/C47,0)</f>
        <v>61614.17578571429</v>
      </c>
      <c r="E47" s="141">
        <f t="shared" si="7"/>
        <v>6900787.688</v>
      </c>
      <c r="F47" s="128">
        <f>('Grouped Summary'!E73+'Grouped Summary'!E81)</f>
        <v>116</v>
      </c>
      <c r="G47" s="141">
        <f>IF(F47&gt;0,(('Grouped Summary'!E73*'Grouped Summary'!F73)+(('Grouped Summary'!E81*'Grouped Summary'!F81)*0.81818))/F47,0)</f>
        <v>45182.89915810345</v>
      </c>
      <c r="H47" s="141">
        <f t="shared" si="8"/>
        <v>5241216.30234</v>
      </c>
      <c r="I47" s="128">
        <f>('Grouped Summary'!G73+'Grouped Summary'!G81)</f>
        <v>76</v>
      </c>
      <c r="J47" s="141">
        <f>IF(I47&gt;0,(('Grouped Summary'!G73*'Grouped Summary'!H73)+(('Grouped Summary'!G81*'Grouped Summary'!H81)*0.81818))/I47,0)</f>
        <v>37731.39802631579</v>
      </c>
      <c r="K47" s="141">
        <f t="shared" si="9"/>
        <v>2867586.25</v>
      </c>
      <c r="L47" s="128">
        <f>('Grouped Summary'!I73+'Grouped Summary'!I81)</f>
        <v>6</v>
      </c>
      <c r="M47" s="141">
        <f>IF(L47&gt;0,(('Grouped Summary'!I73*'Grouped Summary'!J73)+(('Grouped Summary'!I81*'Grouped Summary'!J81)*0.81818))/L47,0)</f>
        <v>27205</v>
      </c>
      <c r="N47" s="141">
        <f t="shared" si="10"/>
        <v>163230</v>
      </c>
      <c r="O47" s="128">
        <f>('Grouped Summary'!K73+'Grouped Summary'!K81)</f>
        <v>68</v>
      </c>
      <c r="P47" s="141">
        <f>IF(O47&gt;0,(('Grouped Summary'!K73*'Grouped Summary'!L73)+(('Grouped Summary'!K81*'Grouped Summary'!L81)*0.81818))/O47,0)</f>
        <v>25885.910929411766</v>
      </c>
      <c r="Q47" s="141">
        <f t="shared" si="13"/>
        <v>1760241.9432</v>
      </c>
      <c r="R47" s="128">
        <f>('Grouped Summary'!M73+'Grouped Summary'!M81)</f>
        <v>0</v>
      </c>
      <c r="S47" s="141">
        <f>IF(R47&gt;0,(('Grouped Summary'!M73*'Grouped Summary'!N73)+(('Grouped Summary'!M81*'Grouped Summary'!N81)*0.81818))/R47,0)</f>
        <v>0</v>
      </c>
      <c r="T47" s="141">
        <f t="shared" si="11"/>
        <v>0</v>
      </c>
      <c r="U47" s="128">
        <f>('Grouped Summary'!O73+'Grouped Summary'!O81)</f>
        <v>378</v>
      </c>
      <c r="V47" s="141">
        <f>IF(U47&gt;0,(('Grouped Summary'!O73*'Grouped Summary'!P73)+(('Grouped Summary'!O81*'Grouped Summary'!P81)*0.81818))/U47,0)</f>
        <v>44796.46080301588</v>
      </c>
      <c r="W47" s="141">
        <f t="shared" si="12"/>
        <v>16933062.18354</v>
      </c>
      <c r="X47" s="118"/>
    </row>
    <row r="48" spans="1:24" ht="15">
      <c r="A48" s="118" t="s">
        <v>242</v>
      </c>
      <c r="B48" s="128" t="s">
        <v>726</v>
      </c>
      <c r="C48" s="128">
        <f>('Grouped Summary'!C74+'Grouped Summary'!C82)</f>
        <v>29</v>
      </c>
      <c r="D48" s="141">
        <f>IF(C48&gt;0,(('Grouped Summary'!C74*'Grouped Summary'!D74)+(('Grouped Summary'!C82*'Grouped Summary'!D82)*0.81818))/C48,0)</f>
        <v>52313.990746206895</v>
      </c>
      <c r="E48" s="141">
        <f t="shared" si="7"/>
        <v>1517105.73164</v>
      </c>
      <c r="F48" s="128">
        <f>('Grouped Summary'!E74+'Grouped Summary'!E82)</f>
        <v>36</v>
      </c>
      <c r="G48" s="141">
        <f>IF(F48&gt;0,(('Grouped Summary'!E74*'Grouped Summary'!F74)+(('Grouped Summary'!E82*'Grouped Summary'!F82)*0.81818))/F48,0)</f>
        <v>44343.36335</v>
      </c>
      <c r="H48" s="141">
        <f t="shared" si="8"/>
        <v>1596361.0806</v>
      </c>
      <c r="I48" s="128">
        <f>('Grouped Summary'!G74+'Grouped Summary'!G82)</f>
        <v>48</v>
      </c>
      <c r="J48" s="141">
        <f>IF(I48&gt;0,(('Grouped Summary'!G74*'Grouped Summary'!H74)+(('Grouped Summary'!G82*'Grouped Summary'!H82)*0.81818))/I48,0)</f>
        <v>37540.59768875</v>
      </c>
      <c r="K48" s="141">
        <f t="shared" si="9"/>
        <v>1801948.68906</v>
      </c>
      <c r="L48" s="128">
        <f>('Grouped Summary'!I74+'Grouped Summary'!I82)</f>
        <v>5</v>
      </c>
      <c r="M48" s="141">
        <f>IF(L48&gt;0,(('Grouped Summary'!I74*'Grouped Summary'!J74)+(('Grouped Summary'!I82*'Grouped Summary'!J82)*0.81818))/L48,0)</f>
        <v>29544</v>
      </c>
      <c r="N48" s="141">
        <f t="shared" si="10"/>
        <v>147720</v>
      </c>
      <c r="O48" s="128">
        <f>('Grouped Summary'!K74+'Grouped Summary'!K82)</f>
        <v>3</v>
      </c>
      <c r="P48" s="141">
        <f>IF(O48&gt;0,(('Grouped Summary'!K74*'Grouped Summary'!L74)+(('Grouped Summary'!K82*'Grouped Summary'!L82)*0.81818))/O48,0)</f>
        <v>28730</v>
      </c>
      <c r="Q48" s="141">
        <f t="shared" si="13"/>
        <v>86190</v>
      </c>
      <c r="R48" s="128">
        <f>('Grouped Summary'!M74+'Grouped Summary'!M82)</f>
        <v>0</v>
      </c>
      <c r="S48" s="141">
        <f>IF(R48&gt;0,(('Grouped Summary'!M74*'Grouped Summary'!N74)+(('Grouped Summary'!M82*'Grouped Summary'!N82)*0.81818))/R48,0)</f>
        <v>0</v>
      </c>
      <c r="T48" s="141">
        <f t="shared" si="11"/>
        <v>0</v>
      </c>
      <c r="U48" s="128">
        <f>('Grouped Summary'!O74+'Grouped Summary'!O82)</f>
        <v>121</v>
      </c>
      <c r="V48" s="141">
        <f>IF(U48&gt;0,(('Grouped Summary'!O74*'Grouped Summary'!P74)+(('Grouped Summary'!O82*'Grouped Summary'!P82)*0.81818))/U48,0)</f>
        <v>42556.40910165289</v>
      </c>
      <c r="W48" s="141">
        <f t="shared" si="12"/>
        <v>5149325.5013</v>
      </c>
      <c r="X48" s="118"/>
    </row>
    <row r="49" spans="1:24" ht="15">
      <c r="A49" s="118"/>
      <c r="B49" s="142" t="s">
        <v>797</v>
      </c>
      <c r="C49" s="143">
        <f>SUM(C43:C48)</f>
        <v>1512</v>
      </c>
      <c r="D49" s="144">
        <f>((C43*D43)+(C44*D44)+(C45*D45)+(C46*D46)+(C47*D47)+(C48*D48))/C49</f>
        <v>64162.17547416665</v>
      </c>
      <c r="E49" s="141">
        <f t="shared" si="7"/>
        <v>97013209.31693998</v>
      </c>
      <c r="F49" s="143">
        <f>SUM(F43:F48)</f>
        <v>1312</v>
      </c>
      <c r="G49" s="144">
        <f>((F43*G43)+(F44*G44)+(F45*G45)+(F46*G46)+(F47*G47)+(F48*G48))/F49</f>
        <v>49342.08963211891</v>
      </c>
      <c r="H49" s="141">
        <f t="shared" si="8"/>
        <v>64736821.59734</v>
      </c>
      <c r="I49" s="143">
        <f>SUM(I43:I48)</f>
        <v>1117</v>
      </c>
      <c r="J49" s="144">
        <f>((I43*J43)+(I44*J44)+(I45*J45)+(I46*J46)+(I47*J47)+(I48*J48))/I49</f>
        <v>40530.3063357565</v>
      </c>
      <c r="K49" s="141">
        <f t="shared" si="9"/>
        <v>45272352.17704001</v>
      </c>
      <c r="L49" s="143">
        <f>SUM(L43:L48)</f>
        <v>138</v>
      </c>
      <c r="M49" s="144">
        <f>((L43*M43)+(L44*M44)+(L45*M45)+(L46*M46)+(L47*M47)+(L48*M48))/L49</f>
        <v>30564.9607910145</v>
      </c>
      <c r="N49" s="141">
        <f t="shared" si="10"/>
        <v>4217964.589160001</v>
      </c>
      <c r="O49" s="143">
        <f>SUM(O43:O48)</f>
        <v>145</v>
      </c>
      <c r="P49" s="144">
        <f>((O43*P43)+(O44*P44)+(O45*P45)+(O46*P46)+(O47*P47)+(O48*P48))/O49</f>
        <v>28738.12951793105</v>
      </c>
      <c r="Q49" s="141">
        <f t="shared" si="13"/>
        <v>4167028.7801000024</v>
      </c>
      <c r="R49" s="143">
        <f>SUM(R43:R48)</f>
        <v>0</v>
      </c>
      <c r="S49" s="144">
        <f>IF(R49&gt;0,((R43*S43)+(R44*S44)+(R45*S45)+(R46*S46)+(R47*S47)+(R48*S48))/R49,0)</f>
        <v>0</v>
      </c>
      <c r="T49" s="141">
        <f t="shared" si="11"/>
        <v>0</v>
      </c>
      <c r="U49" s="143">
        <f>SUM(U43:U48)</f>
        <v>4224</v>
      </c>
      <c r="V49" s="144">
        <f>((U43*V43)+(U44*V44)+(U45*V45)+(U46*V46)+(U47*V47)+(U48*V48))/U49</f>
        <v>50996.064502978224</v>
      </c>
      <c r="W49" s="141">
        <f t="shared" si="12"/>
        <v>215407376.46058002</v>
      </c>
      <c r="X49" s="118"/>
    </row>
    <row r="50" spans="1:24" ht="15">
      <c r="A50" s="118" t="s">
        <v>242</v>
      </c>
      <c r="B50" s="128" t="s">
        <v>727</v>
      </c>
      <c r="C50" s="128">
        <f>('Grouped Summary'!C75+'Grouped Summary'!C83)</f>
        <v>205</v>
      </c>
      <c r="D50" s="141">
        <f>IF(C50&gt;0,(('Grouped Summary'!C75*'Grouped Summary'!D75)+(('Grouped Summary'!C83*'Grouped Summary'!D83)*0.81818))/C50,0)</f>
        <v>45885.11913170732</v>
      </c>
      <c r="E50" s="141">
        <f t="shared" si="7"/>
        <v>9406449.422</v>
      </c>
      <c r="F50" s="128">
        <f>('Grouped Summary'!E75+'Grouped Summary'!E83)</f>
        <v>465</v>
      </c>
      <c r="G50" s="141">
        <f>IF(F50&gt;0,(('Grouped Summary'!E75*'Grouped Summary'!F75)+(('Grouped Summary'!E83*'Grouped Summary'!F83)*0.81818))/F50,0)</f>
        <v>35940.1727392258</v>
      </c>
      <c r="H50" s="141">
        <f t="shared" si="8"/>
        <v>16712180.323739998</v>
      </c>
      <c r="I50" s="128">
        <f>('Grouped Summary'!G75+'Grouped Summary'!G83)</f>
        <v>165</v>
      </c>
      <c r="J50" s="141">
        <f>IF(I50&gt;0,(('Grouped Summary'!G75*'Grouped Summary'!H75)+(('Grouped Summary'!G83*'Grouped Summary'!H83)*0.81818))/I50,0)</f>
        <v>32355.108259636363</v>
      </c>
      <c r="K50" s="141">
        <f t="shared" si="9"/>
        <v>5338592.86284</v>
      </c>
      <c r="L50" s="128">
        <f>('Grouped Summary'!I75+'Grouped Summary'!I83)</f>
        <v>108</v>
      </c>
      <c r="M50" s="141">
        <f>IF(L50&gt;0,(('Grouped Summary'!I75*'Grouped Summary'!J75)+(('Grouped Summary'!I83*'Grouped Summary'!J83)*0.81818))/L50,0)</f>
        <v>29254.902265</v>
      </c>
      <c r="N50" s="141">
        <f t="shared" si="10"/>
        <v>3159529.44462</v>
      </c>
      <c r="O50" s="128">
        <f>('Grouped Summary'!K75+'Grouped Summary'!K83)</f>
        <v>0</v>
      </c>
      <c r="P50" s="141">
        <f>IF(O50&gt;0,(('Grouped Summary'!K75*'Grouped Summary'!L75)+(('Grouped Summary'!K83*'Grouped Summary'!L83)*0.81818))/O50,0)</f>
        <v>0</v>
      </c>
      <c r="Q50" s="141">
        <f t="shared" si="13"/>
        <v>0</v>
      </c>
      <c r="R50" s="128">
        <f>('Grouped Summary'!M75+'Grouped Summary'!M83)</f>
        <v>0</v>
      </c>
      <c r="S50" s="141">
        <f>IF(R50&gt;0,(('Grouped Summary'!M75*'Grouped Summary'!N75)+(('Grouped Summary'!M83*'Grouped Summary'!N83)*0.81818))/R50,0)</f>
        <v>0</v>
      </c>
      <c r="T50" s="141">
        <f t="shared" si="11"/>
        <v>0</v>
      </c>
      <c r="U50" s="128">
        <f>('Grouped Summary'!O75+'Grouped Summary'!O83)</f>
        <v>943</v>
      </c>
      <c r="V50" s="141">
        <f>IF(U50&gt;0,(('Grouped Summary'!O75*'Grouped Summary'!P75)+(('Grouped Summary'!O83*'Grouped Summary'!P83)*0.81818))/U50,0)</f>
        <v>36709.17502990456</v>
      </c>
      <c r="W50" s="141">
        <f t="shared" si="12"/>
        <v>34616752.0532</v>
      </c>
      <c r="X50" s="118"/>
    </row>
    <row r="51" spans="1:24" ht="15">
      <c r="A51" s="119" t="s">
        <v>242</v>
      </c>
      <c r="B51" s="137" t="s">
        <v>728</v>
      </c>
      <c r="C51" s="137">
        <f>('Grouped Summary'!C76+'Grouped Summary'!C84)</f>
        <v>0</v>
      </c>
      <c r="D51" s="145">
        <f>IF(C51&gt;0,(('Grouped Summary'!C76*'Grouped Summary'!D76)+(('Grouped Summary'!C84*'Grouped Summary'!D84)*0.81818))/C51,0)</f>
        <v>0</v>
      </c>
      <c r="E51" s="145">
        <f t="shared" si="7"/>
        <v>0</v>
      </c>
      <c r="F51" s="137">
        <f>('Grouped Summary'!E76+'Grouped Summary'!E84)</f>
        <v>0</v>
      </c>
      <c r="G51" s="145">
        <f>IF(F51&gt;0,(('Grouped Summary'!E76*'Grouped Summary'!F76)+(('Grouped Summary'!E84*'Grouped Summary'!F84)*0.81818))/F51,0)</f>
        <v>0</v>
      </c>
      <c r="H51" s="145">
        <f t="shared" si="8"/>
        <v>0</v>
      </c>
      <c r="I51" s="137">
        <f>('Grouped Summary'!G76+'Grouped Summary'!G84)</f>
        <v>0</v>
      </c>
      <c r="J51" s="145">
        <f>IF(I51&gt;0,(('Grouped Summary'!G76*'Grouped Summary'!H76)+(('Grouped Summary'!G84*'Grouped Summary'!H84)*0.81818))/I51,0)</f>
        <v>0</v>
      </c>
      <c r="K51" s="145">
        <f t="shared" si="9"/>
        <v>0</v>
      </c>
      <c r="L51" s="137">
        <f>('Grouped Summary'!I76+'Grouped Summary'!I84)</f>
        <v>0</v>
      </c>
      <c r="M51" s="145">
        <f>IF(L51&gt;0,(('Grouped Summary'!I76*'Grouped Summary'!J76)+(('Grouped Summary'!I84*'Grouped Summary'!J84)*0.81818))/L51,0)</f>
        <v>0</v>
      </c>
      <c r="N51" s="145">
        <f t="shared" si="10"/>
        <v>0</v>
      </c>
      <c r="O51" s="137">
        <f>('Grouped Summary'!K76+'Grouped Summary'!K84)</f>
        <v>0</v>
      </c>
      <c r="P51" s="145">
        <f>IF(O51&gt;0,(('Grouped Summary'!K76*'Grouped Summary'!L76)+(('Grouped Summary'!K84*'Grouped Summary'!L84)*0.81818))/O51,0)</f>
        <v>0</v>
      </c>
      <c r="Q51" s="145">
        <f t="shared" si="13"/>
        <v>0</v>
      </c>
      <c r="R51" s="137">
        <f>('Grouped Summary'!M76+'Grouped Summary'!M84)</f>
        <v>0</v>
      </c>
      <c r="S51" s="145">
        <f>IF(R51&gt;0,(('Grouped Summary'!M76*'Grouped Summary'!N76)+(('Grouped Summary'!M84*'Grouped Summary'!N84)*0.81818))/R51,0)</f>
        <v>0</v>
      </c>
      <c r="T51" s="145">
        <f t="shared" si="11"/>
        <v>0</v>
      </c>
      <c r="U51" s="137">
        <f>('Grouped Summary'!O76+'Grouped Summary'!O84)</f>
        <v>0</v>
      </c>
      <c r="V51" s="145">
        <f>IF(U51&gt;0,(('Grouped Summary'!O76*'Grouped Summary'!P76)+(('Grouped Summary'!O84*'Grouped Summary'!P84)*0.81818))/U51,0)</f>
        <v>0</v>
      </c>
      <c r="W51" s="145">
        <f t="shared" si="12"/>
        <v>0</v>
      </c>
      <c r="X51" s="118"/>
    </row>
    <row r="52" spans="1:24" ht="15">
      <c r="A52" s="118" t="s">
        <v>252</v>
      </c>
      <c r="B52" s="128" t="s">
        <v>721</v>
      </c>
      <c r="C52" s="128">
        <f>('Grouped Summary'!C85+'Grouped Summary'!C93)</f>
        <v>470</v>
      </c>
      <c r="D52" s="141">
        <f>IF(C52&gt;0,(('Grouped Summary'!C85*'Grouped Summary'!D85)+(('Grouped Summary'!C93*'Grouped Summary'!D93)*0.81818))/C52,0)</f>
        <v>68505</v>
      </c>
      <c r="E52" s="141">
        <f t="shared" si="7"/>
        <v>32197350</v>
      </c>
      <c r="F52" s="128">
        <f>('Grouped Summary'!E85+'Grouped Summary'!E93)</f>
        <v>309</v>
      </c>
      <c r="G52" s="141">
        <f>IF(F52&gt;0,(('Grouped Summary'!E85*'Grouped Summary'!F85)+(('Grouped Summary'!E93*'Grouped Summary'!F93)*0.81818))/F52,0)</f>
        <v>49805</v>
      </c>
      <c r="H52" s="141">
        <f t="shared" si="8"/>
        <v>15389745</v>
      </c>
      <c r="I52" s="128">
        <f>('Grouped Summary'!G85+'Grouped Summary'!G93)</f>
        <v>227</v>
      </c>
      <c r="J52" s="141">
        <f>IF(I52&gt;0,(('Grouped Summary'!G85*'Grouped Summary'!H85)+(('Grouped Summary'!G93*'Grouped Summary'!H93)*0.81818))/I52,0)</f>
        <v>41701</v>
      </c>
      <c r="K52" s="141">
        <f t="shared" si="9"/>
        <v>9466127</v>
      </c>
      <c r="L52" s="128">
        <f>('Grouped Summary'!I85+'Grouped Summary'!I93)</f>
        <v>295</v>
      </c>
      <c r="M52" s="141">
        <f>IF(L52&gt;0,(('Grouped Summary'!I85*'Grouped Summary'!J85)+(('Grouped Summary'!I93*'Grouped Summary'!J93)*0.81818))/L52,0)</f>
        <v>29269</v>
      </c>
      <c r="N52" s="141">
        <f t="shared" si="10"/>
        <v>8634355</v>
      </c>
      <c r="O52" s="128">
        <f>('Grouped Summary'!K85+'Grouped Summary'!K93)</f>
        <v>0</v>
      </c>
      <c r="P52" s="141">
        <f>IF(O52&gt;0,(('Grouped Summary'!K85*'Grouped Summary'!L85)+(('Grouped Summary'!K93*'Grouped Summary'!L93)*0.81818))/O52,0)</f>
        <v>0</v>
      </c>
      <c r="Q52" s="141">
        <f t="shared" si="13"/>
        <v>0</v>
      </c>
      <c r="R52" s="128">
        <f>('Grouped Summary'!M85+'Grouped Summary'!M93)</f>
        <v>0</v>
      </c>
      <c r="S52" s="141">
        <f>IF(R52&gt;0,(('Grouped Summary'!M85*'Grouped Summary'!N85)+(('Grouped Summary'!M93*'Grouped Summary'!N93)*0.81818))/R52,0)</f>
        <v>0</v>
      </c>
      <c r="T52" s="141">
        <f t="shared" si="11"/>
        <v>0</v>
      </c>
      <c r="U52" s="128">
        <f>('Grouped Summary'!O85+'Grouped Summary'!O93)</f>
        <v>1301</v>
      </c>
      <c r="V52" s="141">
        <f>IF(U52&gt;0,(('Grouped Summary'!O85*'Grouped Summary'!P85)+(('Grouped Summary'!O93*'Grouped Summary'!P93)*0.81818))/U52,0)</f>
        <v>50490.0668716372</v>
      </c>
      <c r="W52" s="141">
        <f t="shared" si="12"/>
        <v>65687577</v>
      </c>
      <c r="X52" s="118"/>
    </row>
    <row r="53" spans="1:24" ht="15">
      <c r="A53" s="118" t="s">
        <v>252</v>
      </c>
      <c r="B53" s="128" t="s">
        <v>722</v>
      </c>
      <c r="C53" s="128">
        <f>('Grouped Summary'!C86+'Grouped Summary'!C94)</f>
        <v>393</v>
      </c>
      <c r="D53" s="141">
        <f>IF(C53&gt;0,(('Grouped Summary'!C86*'Grouped Summary'!D86)+(('Grouped Summary'!C94*'Grouped Summary'!D94)*0.81818))/C53,0)</f>
        <v>63238.442748091606</v>
      </c>
      <c r="E53" s="141">
        <f t="shared" si="7"/>
        <v>24852708</v>
      </c>
      <c r="F53" s="128">
        <f>('Grouped Summary'!E86+'Grouped Summary'!E94)</f>
        <v>289</v>
      </c>
      <c r="G53" s="141">
        <f>IF(F53&gt;0,(('Grouped Summary'!E86*'Grouped Summary'!F86)+(('Grouped Summary'!E94*'Grouped Summary'!F94)*0.81818))/F53,0)</f>
        <v>46750.1730103806</v>
      </c>
      <c r="H53" s="141">
        <f t="shared" si="8"/>
        <v>13510799.999999993</v>
      </c>
      <c r="I53" s="128">
        <f>('Grouped Summary'!G86+'Grouped Summary'!G94)</f>
        <v>237</v>
      </c>
      <c r="J53" s="141">
        <f>IF(I53&gt;0,(('Grouped Summary'!G86*'Grouped Summary'!H86)+(('Grouped Summary'!G94*'Grouped Summary'!H94)*0.81818))/I53,0)</f>
        <v>40069.12236286921</v>
      </c>
      <c r="K53" s="141">
        <f t="shared" si="9"/>
        <v>9496382.000000002</v>
      </c>
      <c r="L53" s="128">
        <f>('Grouped Summary'!I86+'Grouped Summary'!I94)</f>
        <v>183</v>
      </c>
      <c r="M53" s="141">
        <f>IF(L53&gt;0,(('Grouped Summary'!I86*'Grouped Summary'!J86)+(('Grouped Summary'!I94*'Grouped Summary'!J94)*0.81818))/L53,0)</f>
        <v>29508.1202185792</v>
      </c>
      <c r="N53" s="141">
        <f t="shared" si="10"/>
        <v>5399985.9999999935</v>
      </c>
      <c r="O53" s="128">
        <f>('Grouped Summary'!K86+'Grouped Summary'!K94)</f>
        <v>0</v>
      </c>
      <c r="P53" s="141">
        <f>IF(O53&gt;0,(('Grouped Summary'!K86*'Grouped Summary'!L86)+(('Grouped Summary'!K94*'Grouped Summary'!L94)*0.81818))/O53,0)</f>
        <v>0</v>
      </c>
      <c r="Q53" s="141">
        <f t="shared" si="13"/>
        <v>0</v>
      </c>
      <c r="R53" s="128">
        <f>('Grouped Summary'!M86+'Grouped Summary'!M94)</f>
        <v>0</v>
      </c>
      <c r="S53" s="141">
        <f>IF(R53&gt;0,(('Grouped Summary'!M86*'Grouped Summary'!N86)+(('Grouped Summary'!M94*'Grouped Summary'!N94)*0.81818))/R53,0)</f>
        <v>0</v>
      </c>
      <c r="T53" s="141">
        <f t="shared" si="11"/>
        <v>0</v>
      </c>
      <c r="U53" s="128">
        <f>('Grouped Summary'!O86+'Grouped Summary'!O94)</f>
        <v>1102</v>
      </c>
      <c r="V53" s="141">
        <f>IF(U53&gt;0,(('Grouped Summary'!O86*'Grouped Summary'!P86)+(('Grouped Summary'!O94*'Grouped Summary'!P94)*0.81818))/U53,0)</f>
        <v>48330.19600725952</v>
      </c>
      <c r="W53" s="141">
        <f t="shared" si="12"/>
        <v>53259875.999999985</v>
      </c>
      <c r="X53" s="118"/>
    </row>
    <row r="54" spans="1:24" ht="15">
      <c r="A54" s="118" t="s">
        <v>252</v>
      </c>
      <c r="B54" s="128" t="s">
        <v>723</v>
      </c>
      <c r="C54" s="128">
        <f>('Grouped Summary'!C87+'Grouped Summary'!C95)</f>
        <v>435</v>
      </c>
      <c r="D54" s="141">
        <f>IF(C54&gt;0,(('Grouped Summary'!C87*'Grouped Summary'!D87)+(('Grouped Summary'!C95*'Grouped Summary'!D95)*0.81818))/C54,0)</f>
        <v>57258.767816092</v>
      </c>
      <c r="E54" s="141">
        <f t="shared" si="7"/>
        <v>24907564.00000002</v>
      </c>
      <c r="F54" s="128">
        <f>('Grouped Summary'!E87+'Grouped Summary'!E95)</f>
        <v>377</v>
      </c>
      <c r="G54" s="141">
        <f>IF(F54&gt;0,(('Grouped Summary'!E87*'Grouped Summary'!F87)+(('Grouped Summary'!E95*'Grouped Summary'!F95)*0.81818))/F54,0)</f>
        <v>45352.68965517239</v>
      </c>
      <c r="H54" s="141">
        <f t="shared" si="8"/>
        <v>17097963.999999993</v>
      </c>
      <c r="I54" s="128">
        <f>('Grouped Summary'!G87+'Grouped Summary'!G95)</f>
        <v>596</v>
      </c>
      <c r="J54" s="141">
        <f>IF(I54&gt;0,(('Grouped Summary'!G87*'Grouped Summary'!H87)+(('Grouped Summary'!G95*'Grouped Summary'!H95)*0.81818))/I54,0)</f>
        <v>38193.033557047</v>
      </c>
      <c r="K54" s="141">
        <f t="shared" si="9"/>
        <v>22763048.00000001</v>
      </c>
      <c r="L54" s="128">
        <f>('Grouped Summary'!I87+'Grouped Summary'!I95)</f>
        <v>308</v>
      </c>
      <c r="M54" s="141">
        <f>IF(L54&gt;0,(('Grouped Summary'!I87*'Grouped Summary'!J87)+(('Grouped Summary'!I95*'Grouped Summary'!J95)*0.81818))/L54,0)</f>
        <v>28607.5681818182</v>
      </c>
      <c r="N54" s="141">
        <f t="shared" si="10"/>
        <v>8811131.000000006</v>
      </c>
      <c r="O54" s="128">
        <f>('Grouped Summary'!K87+'Grouped Summary'!K95)</f>
        <v>0</v>
      </c>
      <c r="P54" s="141">
        <f>IF(O54&gt;0,(('Grouped Summary'!K87*'Grouped Summary'!L87)+(('Grouped Summary'!K95*'Grouped Summary'!L95)*0.81818))/O54,0)</f>
        <v>0</v>
      </c>
      <c r="Q54" s="141">
        <f t="shared" si="13"/>
        <v>0</v>
      </c>
      <c r="R54" s="128">
        <f>('Grouped Summary'!M87+'Grouped Summary'!M95)</f>
        <v>0</v>
      </c>
      <c r="S54" s="141">
        <f>IF(R54&gt;0,(('Grouped Summary'!M87*'Grouped Summary'!N87)+(('Grouped Summary'!M95*'Grouped Summary'!N95)*0.81818))/R54,0)</f>
        <v>0</v>
      </c>
      <c r="T54" s="141">
        <f t="shared" si="11"/>
        <v>0</v>
      </c>
      <c r="U54" s="128">
        <f>('Grouped Summary'!O87+'Grouped Summary'!O95)</f>
        <v>1716</v>
      </c>
      <c r="V54" s="141">
        <f>IF(U54&gt;0,(('Grouped Summary'!O87*'Grouped Summary'!P87)+(('Grouped Summary'!O95*'Grouped Summary'!P95)*0.81818))/U54,0)</f>
        <v>42878.61713286715</v>
      </c>
      <c r="W54" s="141">
        <f t="shared" si="12"/>
        <v>73579707.00000003</v>
      </c>
      <c r="X54" s="118"/>
    </row>
    <row r="55" spans="1:24" ht="15">
      <c r="A55" s="118" t="s">
        <v>252</v>
      </c>
      <c r="B55" s="128" t="s">
        <v>724</v>
      </c>
      <c r="C55" s="128">
        <f>('Grouped Summary'!C88+'Grouped Summary'!C96)</f>
        <v>208</v>
      </c>
      <c r="D55" s="141">
        <f>IF(C55&gt;0,(('Grouped Summary'!C88*'Grouped Summary'!D88)+(('Grouped Summary'!C96*'Grouped Summary'!D96)*0.81818))/C55,0)</f>
        <v>55057.7115384615</v>
      </c>
      <c r="E55" s="141">
        <f t="shared" si="7"/>
        <v>11452003.999999993</v>
      </c>
      <c r="F55" s="128">
        <f>('Grouped Summary'!E88+'Grouped Summary'!E96)</f>
        <v>223</v>
      </c>
      <c r="G55" s="141">
        <f>IF(F55&gt;0,(('Grouped Summary'!E88*'Grouped Summary'!F88)+(('Grouped Summary'!E96*'Grouped Summary'!F96)*0.81818))/F55,0)</f>
        <v>45556.4349775785</v>
      </c>
      <c r="H55" s="141">
        <f t="shared" si="8"/>
        <v>10159085.000000006</v>
      </c>
      <c r="I55" s="128">
        <f>('Grouped Summary'!G88+'Grouped Summary'!G96)</f>
        <v>435</v>
      </c>
      <c r="J55" s="141">
        <f>IF(I55&gt;0,(('Grouped Summary'!G88*'Grouped Summary'!H88)+(('Grouped Summary'!G96*'Grouped Summary'!H96)*0.81818))/I55,0)</f>
        <v>37225.1287356322</v>
      </c>
      <c r="K55" s="141">
        <f t="shared" si="9"/>
        <v>16192931.000000007</v>
      </c>
      <c r="L55" s="128">
        <f>('Grouped Summary'!I88+'Grouped Summary'!I96)</f>
        <v>273</v>
      </c>
      <c r="M55" s="141">
        <f>IF(L55&gt;0,(('Grouped Summary'!I88*'Grouped Summary'!J88)+(('Grouped Summary'!I96*'Grouped Summary'!J96)*0.81818))/L55,0)</f>
        <v>28563.5384615385</v>
      </c>
      <c r="N55" s="141">
        <f t="shared" si="10"/>
        <v>7797846.000000011</v>
      </c>
      <c r="O55" s="128">
        <f>('Grouped Summary'!K88+'Grouped Summary'!K96)</f>
        <v>0</v>
      </c>
      <c r="P55" s="141">
        <f>IF(O55&gt;0,(('Grouped Summary'!K88*'Grouped Summary'!L88)+(('Grouped Summary'!K96*'Grouped Summary'!L96)*0.81818))/O55,0)</f>
        <v>0</v>
      </c>
      <c r="Q55" s="141">
        <f t="shared" si="13"/>
        <v>0</v>
      </c>
      <c r="R55" s="128">
        <f>('Grouped Summary'!M88+'Grouped Summary'!M96)</f>
        <v>0</v>
      </c>
      <c r="S55" s="141">
        <f>IF(R55&gt;0,(('Grouped Summary'!M88*'Grouped Summary'!N88)+(('Grouped Summary'!M96*'Grouped Summary'!N96)*0.81818))/R55,0)</f>
        <v>0</v>
      </c>
      <c r="T55" s="141">
        <f t="shared" si="11"/>
        <v>0</v>
      </c>
      <c r="U55" s="128">
        <f>('Grouped Summary'!O88+'Grouped Summary'!O96)</f>
        <v>1139</v>
      </c>
      <c r="V55" s="141">
        <f>IF(U55&gt;0,(('Grouped Summary'!O88*'Grouped Summary'!P88)+(('Grouped Summary'!O96*'Grouped Summary'!P96)*0.81818))/U55,0)</f>
        <v>40036.75680421424</v>
      </c>
      <c r="W55" s="141">
        <f t="shared" si="12"/>
        <v>45601866.000000015</v>
      </c>
      <c r="X55" s="118"/>
    </row>
    <row r="56" spans="1:24" ht="15">
      <c r="A56" s="118" t="s">
        <v>252</v>
      </c>
      <c r="B56" s="128" t="s">
        <v>725</v>
      </c>
      <c r="C56" s="128">
        <f>('Grouped Summary'!C89+'Grouped Summary'!C97)</f>
        <v>148</v>
      </c>
      <c r="D56" s="141">
        <f>IF(C56&gt;0,(('Grouped Summary'!C89*'Grouped Summary'!D89)+(('Grouped Summary'!C97*'Grouped Summary'!D97)*0.81818))/C56,0)</f>
        <v>53478.222972973</v>
      </c>
      <c r="E56" s="141">
        <f t="shared" si="7"/>
        <v>7914777.000000005</v>
      </c>
      <c r="F56" s="128">
        <f>('Grouped Summary'!E89+'Grouped Summary'!E97)</f>
        <v>129</v>
      </c>
      <c r="G56" s="141">
        <f>IF(F56&gt;0,(('Grouped Summary'!E89*'Grouped Summary'!F89)+(('Grouped Summary'!E97*'Grouped Summary'!F97)*0.81818))/F56,0)</f>
        <v>43388.3178294574</v>
      </c>
      <c r="H56" s="141">
        <f t="shared" si="8"/>
        <v>5597093.000000005</v>
      </c>
      <c r="I56" s="128">
        <f>('Grouped Summary'!G89+'Grouped Summary'!G97)</f>
        <v>210</v>
      </c>
      <c r="J56" s="141">
        <f>IF(I56&gt;0,(('Grouped Summary'!G89*'Grouped Summary'!H89)+(('Grouped Summary'!G97*'Grouped Summary'!H97)*0.81818))/I56,0)</f>
        <v>37181.1523809524</v>
      </c>
      <c r="K56" s="141">
        <f t="shared" si="9"/>
        <v>7808042.000000004</v>
      </c>
      <c r="L56" s="128">
        <f>('Grouped Summary'!I89+'Grouped Summary'!I97)</f>
        <v>99</v>
      </c>
      <c r="M56" s="141">
        <f>IF(L56&gt;0,(('Grouped Summary'!I89*'Grouped Summary'!J89)+(('Grouped Summary'!I97*'Grouped Summary'!J97)*0.81818))/L56,0)</f>
        <v>28576.404040404</v>
      </c>
      <c r="N56" s="141">
        <f t="shared" si="10"/>
        <v>2829063.999999996</v>
      </c>
      <c r="O56" s="128">
        <f>('Grouped Summary'!K89+'Grouped Summary'!K97)</f>
        <v>0</v>
      </c>
      <c r="P56" s="141">
        <f>IF(O56&gt;0,(('Grouped Summary'!K89*'Grouped Summary'!L89)+(('Grouped Summary'!K97*'Grouped Summary'!L97)*0.81818))/O56,0)</f>
        <v>0</v>
      </c>
      <c r="Q56" s="141">
        <f t="shared" si="13"/>
        <v>0</v>
      </c>
      <c r="R56" s="128">
        <f>('Grouped Summary'!M89+'Grouped Summary'!M97)</f>
        <v>0</v>
      </c>
      <c r="S56" s="141">
        <f>IF(R56&gt;0,(('Grouped Summary'!M89*'Grouped Summary'!N89)+(('Grouped Summary'!M97*'Grouped Summary'!N97)*0.81818))/R56,0)</f>
        <v>0</v>
      </c>
      <c r="T56" s="141">
        <f t="shared" si="11"/>
        <v>0</v>
      </c>
      <c r="U56" s="128">
        <f>('Grouped Summary'!O89+'Grouped Summary'!O97)</f>
        <v>586</v>
      </c>
      <c r="V56" s="141">
        <f>IF(U56&gt;0,(('Grouped Summary'!O89*'Grouped Summary'!P89)+(('Grouped Summary'!O97*'Grouped Summary'!P97)*0.81818))/U56,0)</f>
        <v>41209.856655290125</v>
      </c>
      <c r="W56" s="141">
        <f t="shared" si="12"/>
        <v>24148976.000000015</v>
      </c>
      <c r="X56" s="118"/>
    </row>
    <row r="57" spans="1:24" ht="15">
      <c r="A57" s="118" t="s">
        <v>252</v>
      </c>
      <c r="B57" s="128" t="s">
        <v>726</v>
      </c>
      <c r="C57" s="128">
        <f>('Grouped Summary'!C90+'Grouped Summary'!C98)</f>
        <v>0</v>
      </c>
      <c r="D57" s="141">
        <f>IF(C57&gt;0,(('Grouped Summary'!C90*'Grouped Summary'!D90)+(('Grouped Summary'!C98*'Grouped Summary'!D98)*0.81818))/C57,0)</f>
        <v>0</v>
      </c>
      <c r="E57" s="141">
        <f t="shared" si="7"/>
        <v>0</v>
      </c>
      <c r="F57" s="128">
        <f>('Grouped Summary'!E90+'Grouped Summary'!E98)</f>
        <v>0</v>
      </c>
      <c r="G57" s="141">
        <f>IF(F57&gt;0,(('Grouped Summary'!E90*'Grouped Summary'!F90)+(('Grouped Summary'!E98*'Grouped Summary'!F98)*0.81818))/F57,0)</f>
        <v>0</v>
      </c>
      <c r="H57" s="141">
        <f t="shared" si="8"/>
        <v>0</v>
      </c>
      <c r="I57" s="128">
        <f>('Grouped Summary'!G90+'Grouped Summary'!G98)</f>
        <v>0</v>
      </c>
      <c r="J57" s="141">
        <f>IF(I57&gt;0,(('Grouped Summary'!G90*'Grouped Summary'!H90)+(('Grouped Summary'!G98*'Grouped Summary'!H98)*0.81818))/I57,0)</f>
        <v>0</v>
      </c>
      <c r="K57" s="141">
        <f t="shared" si="9"/>
        <v>0</v>
      </c>
      <c r="L57" s="128">
        <f>('Grouped Summary'!I90+'Grouped Summary'!I98)</f>
        <v>0</v>
      </c>
      <c r="M57" s="141">
        <f>IF(L57&gt;0,(('Grouped Summary'!I90*'Grouped Summary'!J90)+(('Grouped Summary'!I98*'Grouped Summary'!J98)*0.81818))/L57,0)</f>
        <v>0</v>
      </c>
      <c r="N57" s="141">
        <f t="shared" si="10"/>
        <v>0</v>
      </c>
      <c r="O57" s="128">
        <f>('Grouped Summary'!K90+'Grouped Summary'!K98)</f>
        <v>0</v>
      </c>
      <c r="P57" s="141">
        <f>IF(O57&gt;0,(('Grouped Summary'!K90*'Grouped Summary'!L90)+(('Grouped Summary'!K98*'Grouped Summary'!L98)*0.81818))/O57,0)</f>
        <v>0</v>
      </c>
      <c r="Q57" s="141">
        <f t="shared" si="13"/>
        <v>0</v>
      </c>
      <c r="R57" s="128">
        <f>('Grouped Summary'!M90+'Grouped Summary'!M98)</f>
        <v>0</v>
      </c>
      <c r="S57" s="141">
        <f>IF(R57&gt;0,(('Grouped Summary'!M90*'Grouped Summary'!N90)+(('Grouped Summary'!M98*'Grouped Summary'!N98)*0.81818))/R57,0)</f>
        <v>0</v>
      </c>
      <c r="T57" s="141">
        <f t="shared" si="11"/>
        <v>0</v>
      </c>
      <c r="U57" s="128">
        <f>('Grouped Summary'!O90+'Grouped Summary'!O98)</f>
        <v>0</v>
      </c>
      <c r="V57" s="141">
        <f>IF(U57&gt;0,(('Grouped Summary'!O90*'Grouped Summary'!P90)+(('Grouped Summary'!O98*'Grouped Summary'!P98)*0.81818))/U57,0)</f>
        <v>0</v>
      </c>
      <c r="W57" s="141">
        <f t="shared" si="12"/>
        <v>0</v>
      </c>
      <c r="X57" s="118"/>
    </row>
    <row r="58" spans="1:24" ht="15">
      <c r="A58" s="118"/>
      <c r="B58" s="142" t="s">
        <v>797</v>
      </c>
      <c r="C58" s="143">
        <f>SUM(C52:C57)</f>
        <v>1654</v>
      </c>
      <c r="D58" s="144">
        <f>((C52*D52)+(C53*D53)+(C54*D54)+(C55*D55)+(C56*D56)+(C57*D57))/C58</f>
        <v>61260.21946795647</v>
      </c>
      <c r="E58" s="141">
        <f t="shared" si="7"/>
        <v>101324403</v>
      </c>
      <c r="F58" s="143">
        <f>SUM(F52:F57)</f>
        <v>1327</v>
      </c>
      <c r="G58" s="144">
        <f>((F52*G52)+(F53*G53)+(F54*G54)+(F55*G55)+(F56*G56)+(F57*G57))/F58</f>
        <v>46537.066314996235</v>
      </c>
      <c r="H58" s="141">
        <f t="shared" si="8"/>
        <v>61754687</v>
      </c>
      <c r="I58" s="143">
        <f>SUM(I52:I57)</f>
        <v>1705</v>
      </c>
      <c r="J58" s="144">
        <f>((I52*J52)+(I53*J53)+(I54*J54)+(I55*J55)+(I56*J56)+(I57*J57))/I58</f>
        <v>38549.284457478025</v>
      </c>
      <c r="K58" s="141">
        <f t="shared" si="9"/>
        <v>65726530.00000003</v>
      </c>
      <c r="L58" s="143">
        <f>SUM(L52:L57)</f>
        <v>1158</v>
      </c>
      <c r="M58" s="144">
        <f>((L52*M52)+(L53*M53)+(L54*M54)+(L55*M55)+(L56*M56)+(L57*M57))/L58</f>
        <v>28905.33851468049</v>
      </c>
      <c r="N58" s="141">
        <f t="shared" si="10"/>
        <v>33472382.000000007</v>
      </c>
      <c r="O58" s="143">
        <f>SUM(O52:O57)</f>
        <v>0</v>
      </c>
      <c r="P58" s="144">
        <f>IF(O58&gt;0,((O52*P52)+(O53*P53)+(O54*P54)+(O55*P55)+(O56*P56)+(O57*P57))/O58,0)</f>
        <v>0</v>
      </c>
      <c r="Q58" s="141">
        <f t="shared" si="13"/>
        <v>0</v>
      </c>
      <c r="R58" s="143">
        <f>SUM(R52:R57)</f>
        <v>0</v>
      </c>
      <c r="S58" s="144">
        <f>IF(R58&gt;0,((R52*S52)+(R53*S53)+(R54*S54)+(R55*S55)+(R56*S56)+(R57*S57))/R58,0)</f>
        <v>0</v>
      </c>
      <c r="T58" s="141">
        <f t="shared" si="11"/>
        <v>0</v>
      </c>
      <c r="U58" s="143">
        <f>SUM(U52:U57)</f>
        <v>5844</v>
      </c>
      <c r="V58" s="144">
        <f>((U52*V52)+(U53*V53)+(U54*V54)+(U55*V55)+(U56*V56)+(U57*V57))/U58</f>
        <v>44879.87713894593</v>
      </c>
      <c r="W58" s="141">
        <f t="shared" si="12"/>
        <v>262278002</v>
      </c>
      <c r="X58" s="118"/>
    </row>
    <row r="59" spans="1:24" ht="15">
      <c r="A59" s="118" t="s">
        <v>252</v>
      </c>
      <c r="B59" s="128" t="s">
        <v>727</v>
      </c>
      <c r="C59" s="128">
        <f>('Grouped Summary'!C91+'Grouped Summary'!C99)</f>
        <v>76</v>
      </c>
      <c r="D59" s="141">
        <f>IF(C59&gt;0,(('Grouped Summary'!C91*'Grouped Summary'!D91)+(('Grouped Summary'!C99*'Grouped Summary'!D99)*0.81818))/C59,0)</f>
        <v>47762.25</v>
      </c>
      <c r="E59" s="141">
        <f t="shared" si="7"/>
        <v>3629931</v>
      </c>
      <c r="F59" s="128">
        <f>('Grouped Summary'!E91+'Grouped Summary'!E99)</f>
        <v>159</v>
      </c>
      <c r="G59" s="141">
        <f>IF(F59&gt;0,(('Grouped Summary'!E91*'Grouped Summary'!F91)+(('Grouped Summary'!E99*'Grouped Summary'!F99)*0.81818))/F59,0)</f>
        <v>39748.9496855346</v>
      </c>
      <c r="H59" s="141">
        <f t="shared" si="8"/>
        <v>6320083.000000002</v>
      </c>
      <c r="I59" s="128">
        <f>('Grouped Summary'!G91+'Grouped Summary'!G99)</f>
        <v>168</v>
      </c>
      <c r="J59" s="141">
        <f>IF(I59&gt;0,(('Grouped Summary'!G91*'Grouped Summary'!H91)+(('Grouped Summary'!G99*'Grouped Summary'!H99)*0.81818))/I59,0)</f>
        <v>33555.1726190476</v>
      </c>
      <c r="K59" s="141">
        <f t="shared" si="9"/>
        <v>5637268.999999996</v>
      </c>
      <c r="L59" s="128">
        <f>('Grouped Summary'!I91+'Grouped Summary'!I99)</f>
        <v>194</v>
      </c>
      <c r="M59" s="141">
        <f>IF(L59&gt;0,(('Grouped Summary'!I91*'Grouped Summary'!J91)+(('Grouped Summary'!I99*'Grouped Summary'!J99)*0.81818))/L59,0)</f>
        <v>28141.561855670105</v>
      </c>
      <c r="N59" s="141">
        <f t="shared" si="10"/>
        <v>5459463</v>
      </c>
      <c r="O59" s="128">
        <f>('Grouped Summary'!K91+'Grouped Summary'!K99)</f>
        <v>0</v>
      </c>
      <c r="P59" s="141">
        <f>IF(O59&gt;0,(('Grouped Summary'!K91*'Grouped Summary'!L91)+(('Grouped Summary'!K99*'Grouped Summary'!L99)*0.81818))/O59,0)</f>
        <v>0</v>
      </c>
      <c r="Q59" s="141">
        <f t="shared" si="13"/>
        <v>0</v>
      </c>
      <c r="R59" s="128">
        <f>'Grouped Summary'!M91+'Grouped Summary'!M99</f>
        <v>0</v>
      </c>
      <c r="S59" s="141">
        <f>IF(R59&gt;0,(('Grouped Summary'!M91*'Grouped Summary'!N91)+(('Grouped Summary'!M99*'Grouped Summary'!N99)*0.81818))/R59,0)</f>
        <v>0</v>
      </c>
      <c r="T59" s="141">
        <f t="shared" si="11"/>
        <v>0</v>
      </c>
      <c r="U59" s="128">
        <f>('Grouped Summary'!O91+'Grouped Summary'!O99)</f>
        <v>597</v>
      </c>
      <c r="V59" s="141">
        <f>IF(U59&gt;0,(('Grouped Summary'!O91*'Grouped Summary'!P91)+(('Grouped Summary'!O99*'Grouped Summary'!P99)*0.81818))/U59,0)</f>
        <v>35254.18090452261</v>
      </c>
      <c r="W59" s="141">
        <f t="shared" si="12"/>
        <v>21046746</v>
      </c>
      <c r="X59" s="118"/>
    </row>
    <row r="60" spans="1:24" ht="15">
      <c r="A60" s="119" t="s">
        <v>252</v>
      </c>
      <c r="B60" s="137" t="s">
        <v>728</v>
      </c>
      <c r="C60" s="137">
        <f>('Grouped Summary'!C92+'Grouped Summary'!C100)</f>
        <v>0</v>
      </c>
      <c r="D60" s="145">
        <f>IF(C60&gt;0,(('Grouped Summary'!C92*'Grouped Summary'!D92)+(('Grouped Summary'!C100*'Grouped Summary'!D100)*0.81818))/C60,0)</f>
        <v>0</v>
      </c>
      <c r="E60" s="145">
        <f t="shared" si="7"/>
        <v>0</v>
      </c>
      <c r="F60" s="137">
        <f>('Grouped Summary'!E92+'Grouped Summary'!E100)</f>
        <v>0</v>
      </c>
      <c r="G60" s="145">
        <f>IF(F60&gt;0,(('Grouped Summary'!E92*'Grouped Summary'!F92)+(('Grouped Summary'!E100*'Grouped Summary'!F100)*0.81818))/F60,0)</f>
        <v>0</v>
      </c>
      <c r="H60" s="145">
        <f t="shared" si="8"/>
        <v>0</v>
      </c>
      <c r="I60" s="137">
        <f>('Grouped Summary'!G92+'Grouped Summary'!G100)</f>
        <v>0</v>
      </c>
      <c r="J60" s="145">
        <f>IF(I60&gt;0,(('Grouped Summary'!G92*'Grouped Summary'!H92)+(('Grouped Summary'!G100*'Grouped Summary'!H100)*0.81818))/I60,0)</f>
        <v>0</v>
      </c>
      <c r="K60" s="145">
        <f t="shared" si="9"/>
        <v>0</v>
      </c>
      <c r="L60" s="137">
        <f>('Grouped Summary'!I92+'Grouped Summary'!I100)</f>
        <v>0</v>
      </c>
      <c r="M60" s="145">
        <f>IF(L60&gt;0,(('Grouped Summary'!I92*'Grouped Summary'!J92)+(('Grouped Summary'!I100*'Grouped Summary'!J100)*0.81818))/L60,0)</f>
        <v>0</v>
      </c>
      <c r="N60" s="145">
        <f t="shared" si="10"/>
        <v>0</v>
      </c>
      <c r="O60" s="137">
        <f>('Grouped Summary'!K92+'Grouped Summary'!K100)</f>
        <v>0</v>
      </c>
      <c r="P60" s="145">
        <f>IF(O60&gt;0,(('Grouped Summary'!K92*'Grouped Summary'!L92)+(('Grouped Summary'!K100*'Grouped Summary'!L100)*0.81818))/O60,0)</f>
        <v>0</v>
      </c>
      <c r="Q60" s="145">
        <f t="shared" si="13"/>
        <v>0</v>
      </c>
      <c r="R60" s="137">
        <f>'Grouped Summary'!M92+'Grouped Summary'!M100</f>
        <v>793</v>
      </c>
      <c r="S60" s="145">
        <f>IF(R60&gt;0,(('Grouped Summary'!M92*'Grouped Summary'!N92)+(('Grouped Summary'!M100*'Grouped Summary'!N100)*0.81818))/R60,0)</f>
        <v>33540.3177805801</v>
      </c>
      <c r="T60" s="145">
        <f t="shared" si="11"/>
        <v>26597472.000000022</v>
      </c>
      <c r="U60" s="137">
        <f>('Grouped Summary'!O92+'Grouped Summary'!O100)</f>
        <v>793</v>
      </c>
      <c r="V60" s="145">
        <f>IF(U60&gt;0,(('Grouped Summary'!O92*'Grouped Summary'!P92)+(('Grouped Summary'!O100*'Grouped Summary'!P100)*0.81818))/U60,0)</f>
        <v>33540.3177805801</v>
      </c>
      <c r="W60" s="145">
        <f t="shared" si="12"/>
        <v>26597472.000000022</v>
      </c>
      <c r="X60" s="118"/>
    </row>
    <row r="61" spans="1:24" ht="15">
      <c r="A61" s="118" t="s">
        <v>317</v>
      </c>
      <c r="B61" s="128" t="s">
        <v>721</v>
      </c>
      <c r="C61" s="128">
        <f>('Grouped Summary'!C101+'Grouped Summary'!C109)</f>
        <v>659</v>
      </c>
      <c r="D61" s="141">
        <f>IF(C61&gt;0,(('Grouped Summary'!C101*'Grouped Summary'!D101)+(('Grouped Summary'!C109*'Grouped Summary'!D109)*0.81818))/C61,0)</f>
        <v>80986.1458748711</v>
      </c>
      <c r="E61" s="141">
        <f t="shared" si="7"/>
        <v>53369870.13154005</v>
      </c>
      <c r="F61" s="128">
        <f>('Grouped Summary'!E101+'Grouped Summary'!E109)</f>
        <v>412</v>
      </c>
      <c r="G61" s="141">
        <f>IF(F61&gt;0,(('Grouped Summary'!E101*'Grouped Summary'!F101)+(('Grouped Summary'!E109*'Grouped Summary'!F109)*0.81818))/F61,0)</f>
        <v>56065.85618364081</v>
      </c>
      <c r="H61" s="141">
        <f t="shared" si="8"/>
        <v>23099132.747660015</v>
      </c>
      <c r="I61" s="128">
        <f>('Grouped Summary'!G101+'Grouped Summary'!G109)</f>
        <v>220</v>
      </c>
      <c r="J61" s="141">
        <f>IF(I61&gt;0,(('Grouped Summary'!G101*'Grouped Summary'!H101)+(('Grouped Summary'!G109*'Grouped Summary'!H109)*0.81818))/I61,0)</f>
        <v>49307.604666818195</v>
      </c>
      <c r="K61" s="141">
        <f t="shared" si="9"/>
        <v>10847673.026700003</v>
      </c>
      <c r="L61" s="128">
        <f>('Grouped Summary'!I101+'Grouped Summary'!I109)</f>
        <v>45</v>
      </c>
      <c r="M61" s="141">
        <f>IF(L61&gt;0,(('Grouped Summary'!I101*'Grouped Summary'!J101)+(('Grouped Summary'!I109*'Grouped Summary'!J109)*0.81818))/L61,0)</f>
        <v>37853.83018622223</v>
      </c>
      <c r="N61" s="141">
        <f t="shared" si="10"/>
        <v>1703422.3583800003</v>
      </c>
      <c r="O61" s="128">
        <f>('Grouped Summary'!K101+'Grouped Summary'!K109)</f>
        <v>183</v>
      </c>
      <c r="P61" s="141">
        <f>IF(O61&gt;0,(('Grouped Summary'!K101*'Grouped Summary'!L101)+(('Grouped Summary'!K109*'Grouped Summary'!L109)*0.81818))/O61,0)</f>
        <v>33796.43066469945</v>
      </c>
      <c r="Q61" s="141">
        <f t="shared" si="13"/>
        <v>6184746.81164</v>
      </c>
      <c r="R61" s="128">
        <f>('Grouped Summary'!M101+'Grouped Summary'!M109)</f>
        <v>0</v>
      </c>
      <c r="S61" s="141">
        <f>IF(R61&gt;0,(('Grouped Summary'!M101*'Grouped Summary'!N101)+(('Grouped Summary'!M109*'Grouped Summary'!N109)*0.81818))/R61,0)</f>
        <v>0</v>
      </c>
      <c r="T61" s="141">
        <f t="shared" si="11"/>
        <v>0</v>
      </c>
      <c r="U61" s="128">
        <f>('Grouped Summary'!O101+'Grouped Summary'!O109)</f>
        <v>1519</v>
      </c>
      <c r="V61" s="141">
        <f>IF(U61&gt;0,(('Grouped Summary'!O101*'Grouped Summary'!P101)+(('Grouped Summary'!O109*'Grouped Summary'!P109)*0.81818))/U61,0)</f>
        <v>62676.000708308144</v>
      </c>
      <c r="W61" s="141">
        <f t="shared" si="12"/>
        <v>95204845.07592008</v>
      </c>
      <c r="X61" s="118"/>
    </row>
    <row r="62" spans="1:24" ht="15">
      <c r="A62" s="118" t="s">
        <v>317</v>
      </c>
      <c r="B62" s="128" t="s">
        <v>722</v>
      </c>
      <c r="C62" s="128">
        <f>('Grouped Summary'!C102+'Grouped Summary'!C110)</f>
        <v>118</v>
      </c>
      <c r="D62" s="141">
        <f>IF(C62&gt;0,(('Grouped Summary'!C102*'Grouped Summary'!D102)+(('Grouped Summary'!C110*'Grouped Summary'!D110)*0.81818))/C62,0)</f>
        <v>73209.454319322</v>
      </c>
      <c r="E62" s="141">
        <f t="shared" si="7"/>
        <v>8638715.609679997</v>
      </c>
      <c r="F62" s="128">
        <f>('Grouped Summary'!E102+'Grouped Summary'!E110)</f>
        <v>131</v>
      </c>
      <c r="G62" s="141">
        <f>IF(F62&gt;0,(('Grouped Summary'!E102*'Grouped Summary'!F102)+(('Grouped Summary'!E110*'Grouped Summary'!F110)*0.81818))/F62,0)</f>
        <v>51264.15652641222</v>
      </c>
      <c r="H62" s="141">
        <f t="shared" si="8"/>
        <v>6715604.5049600005</v>
      </c>
      <c r="I62" s="128">
        <f>('Grouped Summary'!G102+'Grouped Summary'!G110)</f>
        <v>92</v>
      </c>
      <c r="J62" s="141">
        <f>IF(I62&gt;0,(('Grouped Summary'!G102*'Grouped Summary'!H102)+(('Grouped Summary'!G110*'Grouped Summary'!H110)*0.81818))/I62,0)</f>
        <v>45134.757229999996</v>
      </c>
      <c r="K62" s="141">
        <f t="shared" si="9"/>
        <v>4152397.6651599994</v>
      </c>
      <c r="L62" s="128">
        <f>('Grouped Summary'!I102+'Grouped Summary'!I110)</f>
        <v>21</v>
      </c>
      <c r="M62" s="141">
        <f>IF(L62&gt;0,(('Grouped Summary'!I102*'Grouped Summary'!J102)+(('Grouped Summary'!I110*'Grouped Summary'!J110)*0.81818))/L62,0)</f>
        <v>31840.08252571424</v>
      </c>
      <c r="N62" s="141">
        <f t="shared" si="10"/>
        <v>668641.733039999</v>
      </c>
      <c r="O62" s="128">
        <f>('Grouped Summary'!K102+'Grouped Summary'!K110)</f>
        <v>22</v>
      </c>
      <c r="P62" s="141">
        <f>IF(O62&gt;0,(('Grouped Summary'!K102*'Grouped Summary'!L102)+(('Grouped Summary'!K110*'Grouped Summary'!L110)*0.81818))/O62,0)</f>
        <v>33590.28249272724</v>
      </c>
      <c r="Q62" s="141">
        <f t="shared" si="13"/>
        <v>738986.2148399992</v>
      </c>
      <c r="R62" s="128">
        <f>('Grouped Summary'!M102+'Grouped Summary'!M110)</f>
        <v>0</v>
      </c>
      <c r="S62" s="141">
        <f>IF(R62&gt;0,(('Grouped Summary'!M102*'Grouped Summary'!N102)+(('Grouped Summary'!M110*'Grouped Summary'!N110)*0.81818))/R62,0)</f>
        <v>0</v>
      </c>
      <c r="T62" s="141">
        <f t="shared" si="11"/>
        <v>0</v>
      </c>
      <c r="U62" s="128">
        <f>('Grouped Summary'!O102+'Grouped Summary'!O110)</f>
        <v>384</v>
      </c>
      <c r="V62" s="141">
        <f>IF(U62&gt;0,(('Grouped Summary'!O102*'Grouped Summary'!P102)+(('Grouped Summary'!O110*'Grouped Summary'!P110)*0.81818))/U62,0)</f>
        <v>54464.44199916666</v>
      </c>
      <c r="W62" s="141">
        <f t="shared" si="12"/>
        <v>20914345.727679998</v>
      </c>
      <c r="X62" s="118"/>
    </row>
    <row r="63" spans="1:24" ht="15">
      <c r="A63" s="118" t="s">
        <v>317</v>
      </c>
      <c r="B63" s="128" t="s">
        <v>723</v>
      </c>
      <c r="C63" s="128">
        <f>('Grouped Summary'!C103+'Grouped Summary'!C111)</f>
        <v>0</v>
      </c>
      <c r="D63" s="141">
        <f>IF(C63&gt;0,(('Grouped Summary'!C103*'Grouped Summary'!D103)+(('Grouped Summary'!C111*'Grouped Summary'!D111)*0.81818))/C63,0)</f>
        <v>0</v>
      </c>
      <c r="E63" s="141">
        <f t="shared" si="7"/>
        <v>0</v>
      </c>
      <c r="F63" s="128">
        <f>('Grouped Summary'!E103+'Grouped Summary'!E111)</f>
        <v>0</v>
      </c>
      <c r="G63" s="141">
        <f>IF(F63&gt;0,(('Grouped Summary'!E103*'Grouped Summary'!F103)+(('Grouped Summary'!E111*'Grouped Summary'!F111)*0.81818))/F63,0)</f>
        <v>0</v>
      </c>
      <c r="H63" s="141">
        <f t="shared" si="8"/>
        <v>0</v>
      </c>
      <c r="I63" s="128">
        <f>('Grouped Summary'!G103+'Grouped Summary'!G111)</f>
        <v>0</v>
      </c>
      <c r="J63" s="141">
        <f>IF(I63&gt;0,(('Grouped Summary'!G103*'Grouped Summary'!H103)+(('Grouped Summary'!G111*'Grouped Summary'!H111)*0.81818))/I63,0)</f>
        <v>0</v>
      </c>
      <c r="K63" s="141">
        <f t="shared" si="9"/>
        <v>0</v>
      </c>
      <c r="L63" s="128">
        <f>('Grouped Summary'!I103+'Grouped Summary'!I111)</f>
        <v>0</v>
      </c>
      <c r="M63" s="141">
        <f>IF(L63&gt;0,(('Grouped Summary'!I103*'Grouped Summary'!J103)+(('Grouped Summary'!I111*'Grouped Summary'!J111)*0.81818))/L63,0)</f>
        <v>0</v>
      </c>
      <c r="N63" s="141">
        <f t="shared" si="10"/>
        <v>0</v>
      </c>
      <c r="O63" s="128">
        <f>('Grouped Summary'!K103+'Grouped Summary'!K111)</f>
        <v>0</v>
      </c>
      <c r="P63" s="141">
        <f>IF(O63&gt;0,(('Grouped Summary'!K103*'Grouped Summary'!L103)+(('Grouped Summary'!K111*'Grouped Summary'!L111)*0.81818))/O63,0)</f>
        <v>0</v>
      </c>
      <c r="Q63" s="141">
        <f t="shared" si="13"/>
        <v>0</v>
      </c>
      <c r="R63" s="128">
        <f>('Grouped Summary'!M103+'Grouped Summary'!M111)</f>
        <v>0</v>
      </c>
      <c r="S63" s="141">
        <f>IF(R63&gt;0,(('Grouped Summary'!M103*'Grouped Summary'!N103)+(('Grouped Summary'!M111*'Grouped Summary'!N111)*0.81818))/R63,0)</f>
        <v>0</v>
      </c>
      <c r="T63" s="141">
        <f t="shared" si="11"/>
        <v>0</v>
      </c>
      <c r="U63" s="128">
        <f>('Grouped Summary'!O103+'Grouped Summary'!O111)</f>
        <v>0</v>
      </c>
      <c r="V63" s="141">
        <f>IF(U63&gt;0,(('Grouped Summary'!O103*'Grouped Summary'!P103)+(('Grouped Summary'!O111*'Grouped Summary'!P111)*0.81818))/U63,0)</f>
        <v>0</v>
      </c>
      <c r="W63" s="141">
        <f t="shared" si="12"/>
        <v>0</v>
      </c>
      <c r="X63" s="118"/>
    </row>
    <row r="64" spans="1:24" ht="15">
      <c r="A64" s="118" t="s">
        <v>317</v>
      </c>
      <c r="B64" s="128" t="s">
        <v>724</v>
      </c>
      <c r="C64" s="128">
        <f>('Grouped Summary'!C104+'Grouped Summary'!C112)</f>
        <v>417</v>
      </c>
      <c r="D64" s="141">
        <f>IF(C64&gt;0,(('Grouped Summary'!C104*'Grouped Summary'!D104)+(('Grouped Summary'!C112*'Grouped Summary'!D112)*0.81818))/C64,0)</f>
        <v>62632.803939472404</v>
      </c>
      <c r="E64" s="141">
        <f t="shared" si="7"/>
        <v>26117879.24275999</v>
      </c>
      <c r="F64" s="128">
        <f>('Grouped Summary'!E104+'Grouped Summary'!E112)</f>
        <v>413</v>
      </c>
      <c r="G64" s="141">
        <f>IF(F64&gt;0,(('Grouped Summary'!E104*'Grouped Summary'!F104)+(('Grouped Summary'!E112*'Grouped Summary'!F112)*0.81818))/F64,0)</f>
        <v>50917.196379806286</v>
      </c>
      <c r="H64" s="141">
        <f t="shared" si="8"/>
        <v>21028802.104859997</v>
      </c>
      <c r="I64" s="128">
        <f>('Grouped Summary'!G104+'Grouped Summary'!G112)</f>
        <v>450</v>
      </c>
      <c r="J64" s="141">
        <f>IF(I64&gt;0,(('Grouped Summary'!G104*'Grouped Summary'!H104)+(('Grouped Summary'!G112*'Grouped Summary'!H112)*0.81818))/I64,0)</f>
        <v>42230.32393280004</v>
      </c>
      <c r="K64" s="141">
        <f t="shared" si="9"/>
        <v>19003645.76976002</v>
      </c>
      <c r="L64" s="128">
        <f>('Grouped Summary'!I104+'Grouped Summary'!I112)</f>
        <v>57</v>
      </c>
      <c r="M64" s="141">
        <f>IF(L64&gt;0,(('Grouped Summary'!I104*'Grouped Summary'!J104)+(('Grouped Summary'!I112*'Grouped Summary'!J112)*0.81818))/L64,0)</f>
        <v>36313.64636947369</v>
      </c>
      <c r="N64" s="141">
        <f t="shared" si="10"/>
        <v>2069877.8430600003</v>
      </c>
      <c r="O64" s="128">
        <f>('Grouped Summary'!K104+'Grouped Summary'!K112)</f>
        <v>118</v>
      </c>
      <c r="P64" s="141">
        <f>IF(O64&gt;0,(('Grouped Summary'!K104*'Grouped Summary'!L104)+(('Grouped Summary'!K112*'Grouped Summary'!L112)*0.81818))/O64,0)</f>
        <v>34420.66790084745</v>
      </c>
      <c r="Q64" s="141">
        <f t="shared" si="13"/>
        <v>4061638.8122999994</v>
      </c>
      <c r="R64" s="128">
        <f>('Grouped Summary'!M104+'Grouped Summary'!M112)</f>
        <v>0</v>
      </c>
      <c r="S64" s="141">
        <f>IF(R64&gt;0,(('Grouped Summary'!M104*'Grouped Summary'!N104)+(('Grouped Summary'!M112*'Grouped Summary'!N112)*0.81818))/R64,0)</f>
        <v>0</v>
      </c>
      <c r="T64" s="141">
        <f t="shared" si="11"/>
        <v>0</v>
      </c>
      <c r="U64" s="128">
        <f>('Grouped Summary'!O104+'Grouped Summary'!O112)</f>
        <v>1455</v>
      </c>
      <c r="V64" s="141">
        <f>IF(U64&gt;0,(('Grouped Summary'!O104*'Grouped Summary'!P104)+(('Grouped Summary'!O112*'Grouped Summary'!P112)*0.81818))/U64,0)</f>
        <v>49678.243142776635</v>
      </c>
      <c r="W64" s="141">
        <f t="shared" si="12"/>
        <v>72281843.77274</v>
      </c>
      <c r="X64" s="118"/>
    </row>
    <row r="65" spans="1:24" ht="15">
      <c r="A65" s="118" t="s">
        <v>317</v>
      </c>
      <c r="B65" s="128" t="s">
        <v>725</v>
      </c>
      <c r="C65" s="128">
        <f>('Grouped Summary'!C105+'Grouped Summary'!C113)</f>
        <v>44</v>
      </c>
      <c r="D65" s="141">
        <f>IF(C65&gt;0,(('Grouped Summary'!C105*'Grouped Summary'!D105)+(('Grouped Summary'!C113*'Grouped Summary'!D113)*0.81818))/C65,0)</f>
        <v>56343.49055272725</v>
      </c>
      <c r="E65" s="141">
        <f t="shared" si="7"/>
        <v>2479113.584319999</v>
      </c>
      <c r="F65" s="128">
        <f>('Grouped Summary'!E105+'Grouped Summary'!E113)</f>
        <v>75</v>
      </c>
      <c r="G65" s="141">
        <f>IF(F65&gt;0,(('Grouped Summary'!E105*'Grouped Summary'!F105)+(('Grouped Summary'!E113*'Grouped Summary'!F113)*0.81818))/F65,0)</f>
        <v>49513.562082399956</v>
      </c>
      <c r="H65" s="141">
        <f t="shared" si="8"/>
        <v>3713517.1561799967</v>
      </c>
      <c r="I65" s="128">
        <f>('Grouped Summary'!G105+'Grouped Summary'!G113)</f>
        <v>75</v>
      </c>
      <c r="J65" s="141">
        <f>IF(I65&gt;0,(('Grouped Summary'!G105*'Grouped Summary'!H105)+(('Grouped Summary'!G113*'Grouped Summary'!H113)*0.81818))/I65,0)</f>
        <v>42513.09387039996</v>
      </c>
      <c r="K65" s="141">
        <f t="shared" si="9"/>
        <v>3188482.040279997</v>
      </c>
      <c r="L65" s="128">
        <f>('Grouped Summary'!I105+'Grouped Summary'!I113)</f>
        <v>14</v>
      </c>
      <c r="M65" s="141">
        <f>IF(L65&gt;0,(('Grouped Summary'!I105*'Grouped Summary'!J105)+(('Grouped Summary'!I113*'Grouped Summary'!J113)*0.81818))/L65,0)</f>
        <v>35218.9823414286</v>
      </c>
      <c r="N65" s="141">
        <f t="shared" si="10"/>
        <v>493065.7527800004</v>
      </c>
      <c r="O65" s="128">
        <f>('Grouped Summary'!K105+'Grouped Summary'!K113)</f>
        <v>46</v>
      </c>
      <c r="P65" s="141">
        <f>IF(O65&gt;0,(('Grouped Summary'!K105*'Grouped Summary'!L105)+(('Grouped Summary'!K113*'Grouped Summary'!L113)*0.81818))/O65,0)</f>
        <v>31657.544414347838</v>
      </c>
      <c r="Q65" s="141">
        <f t="shared" si="13"/>
        <v>1456247.0430600005</v>
      </c>
      <c r="R65" s="128">
        <f>('Grouped Summary'!M105+'Grouped Summary'!M113)</f>
        <v>0</v>
      </c>
      <c r="S65" s="141">
        <f>IF(R65&gt;0,(('Grouped Summary'!M105*'Grouped Summary'!N105)+(('Grouped Summary'!M113*'Grouped Summary'!N113)*0.81818))/R65,0)</f>
        <v>0</v>
      </c>
      <c r="T65" s="141">
        <f t="shared" si="11"/>
        <v>0</v>
      </c>
      <c r="U65" s="128">
        <f>('Grouped Summary'!O105+'Grouped Summary'!O113)</f>
        <v>254</v>
      </c>
      <c r="V65" s="141">
        <f>IF(U65&gt;0,(('Grouped Summary'!O105*'Grouped Summary'!P105)+(('Grouped Summary'!O113*'Grouped Summary'!P113)*0.81818))/U65,0)</f>
        <v>44607.97471110234</v>
      </c>
      <c r="W65" s="141">
        <f t="shared" si="12"/>
        <v>11330425.576619994</v>
      </c>
      <c r="X65" s="118"/>
    </row>
    <row r="66" spans="1:24" ht="15">
      <c r="A66" s="118" t="s">
        <v>317</v>
      </c>
      <c r="B66" s="128" t="s">
        <v>726</v>
      </c>
      <c r="C66" s="128">
        <f>('Grouped Summary'!C106+'Grouped Summary'!C114)</f>
        <v>30</v>
      </c>
      <c r="D66" s="141">
        <f>IF(C66&gt;0,(('Grouped Summary'!C106*'Grouped Summary'!D106)+(('Grouped Summary'!C114*'Grouped Summary'!D114)*0.81818))/C66,0)</f>
        <v>68017.1</v>
      </c>
      <c r="E66" s="141">
        <f t="shared" si="7"/>
        <v>2040513.0000000002</v>
      </c>
      <c r="F66" s="128">
        <f>('Grouped Summary'!E106+'Grouped Summary'!E114)</f>
        <v>32</v>
      </c>
      <c r="G66" s="141">
        <f>IF(F66&gt;0,(('Grouped Summary'!E106*'Grouped Summary'!F106)+(('Grouped Summary'!E114*'Grouped Summary'!F114)*0.81818))/F66,0)</f>
        <v>53693.46875</v>
      </c>
      <c r="H66" s="141">
        <f t="shared" si="8"/>
        <v>1718191</v>
      </c>
      <c r="I66" s="128">
        <f>('Grouped Summary'!G106+'Grouped Summary'!G114)</f>
        <v>42</v>
      </c>
      <c r="J66" s="141">
        <f>IF(I66&gt;0,(('Grouped Summary'!G106*'Grouped Summary'!H106)+(('Grouped Summary'!G114*'Grouped Summary'!H114)*0.81818))/I66,0)</f>
        <v>39203.1428571429</v>
      </c>
      <c r="K66" s="141">
        <f t="shared" si="9"/>
        <v>1646532.0000000019</v>
      </c>
      <c r="L66" s="128">
        <f>('Grouped Summary'!I106+'Grouped Summary'!I114)</f>
        <v>5</v>
      </c>
      <c r="M66" s="141">
        <f>IF(L66&gt;0,(('Grouped Summary'!I106*'Grouped Summary'!J106)+(('Grouped Summary'!I114*'Grouped Summary'!J114)*0.81818))/L66,0)</f>
        <v>34938.6</v>
      </c>
      <c r="N66" s="141">
        <f t="shared" si="10"/>
        <v>174693</v>
      </c>
      <c r="O66" s="128">
        <f>('Grouped Summary'!K106+'Grouped Summary'!K114)</f>
        <v>0</v>
      </c>
      <c r="P66" s="141">
        <f>IF(O66&gt;0,(('Grouped Summary'!K106*'Grouped Summary'!L106)+(('Grouped Summary'!K114*'Grouped Summary'!L114)*0.81818))/O66,0)</f>
        <v>0</v>
      </c>
      <c r="Q66" s="141">
        <f t="shared" si="13"/>
        <v>0</v>
      </c>
      <c r="R66" s="128">
        <f>('Grouped Summary'!M106+'Grouped Summary'!M114)</f>
        <v>0</v>
      </c>
      <c r="S66" s="141">
        <f>IF(R66&gt;0,(('Grouped Summary'!M106*'Grouped Summary'!N106)+(('Grouped Summary'!M114*'Grouped Summary'!N114)*0.81818))/R66,0)</f>
        <v>0</v>
      </c>
      <c r="T66" s="141">
        <f t="shared" si="11"/>
        <v>0</v>
      </c>
      <c r="U66" s="128">
        <f>('Grouped Summary'!O106+'Grouped Summary'!O114)</f>
        <v>109</v>
      </c>
      <c r="V66" s="141">
        <f>IF(U66&gt;0,(('Grouped Summary'!O106*'Grouped Summary'!P106)+(('Grouped Summary'!O114*'Grouped Summary'!P114)*0.81818))/U66,0)</f>
        <v>51192.00917431194</v>
      </c>
      <c r="W66" s="141">
        <f t="shared" si="12"/>
        <v>5579929.000000002</v>
      </c>
      <c r="X66" s="118"/>
    </row>
    <row r="67" spans="1:24" ht="15">
      <c r="A67" s="118"/>
      <c r="B67" s="142" t="s">
        <v>797</v>
      </c>
      <c r="C67" s="143">
        <f>SUM(C61:C66)</f>
        <v>1268</v>
      </c>
      <c r="D67" s="144">
        <f>((C61*D61)+(C62*D62)+(C63*D63)+(C64*D64)+(C65*D65)+(C66*D66))/C67</f>
        <v>73064.74098446376</v>
      </c>
      <c r="E67" s="141">
        <f t="shared" si="7"/>
        <v>92646091.56830004</v>
      </c>
      <c r="F67" s="143">
        <f>SUM(F61:F66)</f>
        <v>1063</v>
      </c>
      <c r="G67" s="144">
        <f>((F61*G61)+(F62*G62)+(F63*G63)+(F64*G64)+(F65*G65)+(F66*G66))/F67</f>
        <v>52940.02588302917</v>
      </c>
      <c r="H67" s="141">
        <f t="shared" si="8"/>
        <v>56275247.513660006</v>
      </c>
      <c r="I67" s="143">
        <f>SUM(I61:I66)</f>
        <v>879</v>
      </c>
      <c r="J67" s="144">
        <f>((I61*J61)+(I62*J62)+(I63*J63)+(I64*J64)+(I65*J65)+(I66*J66))/I67</f>
        <v>44185.131401478975</v>
      </c>
      <c r="K67" s="141">
        <f t="shared" si="9"/>
        <v>38838730.50190002</v>
      </c>
      <c r="L67" s="143">
        <f>SUM(L61:L66)</f>
        <v>142</v>
      </c>
      <c r="M67" s="144">
        <f>((L61*M61)+(L62*M62)+(L63*M63)+(L64*M64)+(L65*M65)+(L66*M66))/L67</f>
        <v>35983.80765676057</v>
      </c>
      <c r="N67" s="141">
        <f t="shared" si="10"/>
        <v>5109700.687260001</v>
      </c>
      <c r="O67" s="143">
        <f>SUM(O61:O66)</f>
        <v>369</v>
      </c>
      <c r="P67" s="144">
        <f>((O61*P61)+(O62*P62)+(O63*P63)+(O64*P64)+(O65*P65)+(O66*P66))/O67</f>
        <v>33717.12434102981</v>
      </c>
      <c r="Q67" s="141">
        <f t="shared" si="13"/>
        <v>12441618.88184</v>
      </c>
      <c r="R67" s="143">
        <f>SUM(R61:R66)</f>
        <v>0</v>
      </c>
      <c r="S67" s="144">
        <f>IF(R67&gt;0,((R61*S61)+(R62*S62)+(R63*S63)+(R64*S64)+(R65*S65)+(R66*S66))/R67,0)</f>
        <v>0</v>
      </c>
      <c r="T67" s="141">
        <f t="shared" si="11"/>
        <v>0</v>
      </c>
      <c r="U67" s="143">
        <f>SUM(U61:U66)</f>
        <v>3721</v>
      </c>
      <c r="V67" s="144">
        <f>((U61*V61)+(U62*V62)+(U63*V63)+(U64*V64)+(U65*V65)+(U66*V66))/U67</f>
        <v>55176.401277334066</v>
      </c>
      <c r="W67" s="141">
        <f t="shared" si="12"/>
        <v>205311389.15296006</v>
      </c>
      <c r="X67" s="118"/>
    </row>
    <row r="68" spans="1:24" ht="15">
      <c r="A68" s="118" t="s">
        <v>317</v>
      </c>
      <c r="B68" s="128" t="s">
        <v>727</v>
      </c>
      <c r="C68" s="128">
        <f>('Grouped Summary'!C107+'Grouped Summary'!C115)</f>
        <v>742</v>
      </c>
      <c r="D68" s="141">
        <f>IF(C68&gt;0,(('Grouped Summary'!C107*'Grouped Summary'!D107)+(('Grouped Summary'!C115*'Grouped Summary'!D115)*0.81818))/C68,0)</f>
        <v>55900.98644943398</v>
      </c>
      <c r="E68" s="141">
        <f t="shared" si="7"/>
        <v>41478531.94548001</v>
      </c>
      <c r="F68" s="128">
        <f>('Grouped Summary'!E107+'Grouped Summary'!E115)</f>
        <v>543</v>
      </c>
      <c r="G68" s="141">
        <f>IF(F68&gt;0,(('Grouped Summary'!E107*'Grouped Summary'!F107)+(('Grouped Summary'!E115*'Grouped Summary'!F115)*0.81818))/F68,0)</f>
        <v>45677.96684346227</v>
      </c>
      <c r="H68" s="141">
        <f t="shared" si="8"/>
        <v>24803135.996000014</v>
      </c>
      <c r="I68" s="128">
        <f>('Grouped Summary'!G107+'Grouped Summary'!G115)</f>
        <v>474</v>
      </c>
      <c r="J68" s="141">
        <f>IF(I68&gt;0,(('Grouped Summary'!G107*'Grouped Summary'!H107)+(('Grouped Summary'!G115*'Grouped Summary'!H115)*0.81818))/I68,0)</f>
        <v>37670.182529789025</v>
      </c>
      <c r="K68" s="141">
        <f t="shared" si="9"/>
        <v>17855666.519119997</v>
      </c>
      <c r="L68" s="128">
        <f>('Grouped Summary'!I107+'Grouped Summary'!I115)</f>
        <v>127</v>
      </c>
      <c r="M68" s="141">
        <f>IF(L68&gt;0,(('Grouped Summary'!I107*'Grouped Summary'!J107)+(('Grouped Summary'!I115*'Grouped Summary'!J115)*0.81818))/L68,0)</f>
        <v>31902.276015905554</v>
      </c>
      <c r="N68" s="141">
        <f t="shared" si="10"/>
        <v>4051589.0540200053</v>
      </c>
      <c r="O68" s="128">
        <f>('Grouped Summary'!K107+'Grouped Summary'!K115)</f>
        <v>12</v>
      </c>
      <c r="P68" s="141">
        <f>IF(O68&gt;0,(('Grouped Summary'!K107*'Grouped Summary'!L107)+(('Grouped Summary'!K115*'Grouped Summary'!L115)*0.81818))/O68,0)</f>
        <v>34198.79703000008</v>
      </c>
      <c r="Q68" s="141">
        <f t="shared" si="13"/>
        <v>410385.564360001</v>
      </c>
      <c r="R68" s="128">
        <f>('Grouped Summary'!M107+'Grouped Summary'!M115)</f>
        <v>0</v>
      </c>
      <c r="S68" s="141">
        <f>IF(R68&gt;0,(('Grouped Summary'!M107*'Grouped Summary'!N107)+(('Grouped Summary'!M115*'Grouped Summary'!N115)*0.81818))/R68,0)</f>
        <v>0</v>
      </c>
      <c r="T68" s="141">
        <f t="shared" si="11"/>
        <v>0</v>
      </c>
      <c r="U68" s="128">
        <f>('Grouped Summary'!O107+'Grouped Summary'!O115)</f>
        <v>1898</v>
      </c>
      <c r="V68" s="141">
        <f>IF(U68&gt;0,(('Grouped Summary'!O107*'Grouped Summary'!P107)+(('Grouped Summary'!O115*'Grouped Summary'!P115)*0.81818))/U68,0)</f>
        <v>46680.35251790306</v>
      </c>
      <c r="W68" s="141">
        <f t="shared" si="12"/>
        <v>88599309.07898001</v>
      </c>
      <c r="X68" s="118"/>
    </row>
    <row r="69" spans="1:24" ht="15">
      <c r="A69" s="119" t="s">
        <v>317</v>
      </c>
      <c r="B69" s="137" t="s">
        <v>728</v>
      </c>
      <c r="C69" s="137">
        <f>('Grouped Summary'!C108+'Grouped Summary'!C116)</f>
        <v>0</v>
      </c>
      <c r="D69" s="145">
        <f>IF(C69&gt;0,(('Grouped Summary'!C108*'Grouped Summary'!D108)+(('Grouped Summary'!C116*'Grouped Summary'!D116)*0.81818))/C69,0)</f>
        <v>0</v>
      </c>
      <c r="E69" s="145">
        <f t="shared" si="7"/>
        <v>0</v>
      </c>
      <c r="F69" s="137">
        <f>('Grouped Summary'!E108+'Grouped Summary'!E116)</f>
        <v>0</v>
      </c>
      <c r="G69" s="145">
        <f>IF(F69&gt;0,(('Grouped Summary'!E108*'Grouped Summary'!F108)+(('Grouped Summary'!E116*'Grouped Summary'!F116)*0.81818))/F69,0)</f>
        <v>0</v>
      </c>
      <c r="H69" s="145">
        <f t="shared" si="8"/>
        <v>0</v>
      </c>
      <c r="I69" s="137">
        <f>('Grouped Summary'!G108+'Grouped Summary'!G116)</f>
        <v>0</v>
      </c>
      <c r="J69" s="145">
        <f>IF(I69&gt;0,(('Grouped Summary'!G108*'Grouped Summary'!H108)+(('Grouped Summary'!G116*'Grouped Summary'!H116)*0.81818))/I69,0)</f>
        <v>0</v>
      </c>
      <c r="K69" s="145">
        <f t="shared" si="9"/>
        <v>0</v>
      </c>
      <c r="L69" s="137">
        <f>('Grouped Summary'!I108+'Grouped Summary'!I116)</f>
        <v>0</v>
      </c>
      <c r="M69" s="145">
        <f>IF(L69&gt;0,(('Grouped Summary'!I108*'Grouped Summary'!J108)+(('Grouped Summary'!I116*'Grouped Summary'!J116)*0.81818))/L69,0)</f>
        <v>0</v>
      </c>
      <c r="N69" s="145">
        <f t="shared" si="10"/>
        <v>0</v>
      </c>
      <c r="O69" s="137">
        <f>('Grouped Summary'!K108+'Grouped Summary'!K116)</f>
        <v>0</v>
      </c>
      <c r="P69" s="145">
        <f>IF(O69&gt;0,(('Grouped Summary'!K108*'Grouped Summary'!L108)+(('Grouped Summary'!K116*'Grouped Summary'!L116)*0.81818))/O69,0)</f>
        <v>0</v>
      </c>
      <c r="Q69" s="145">
        <f t="shared" si="13"/>
        <v>0</v>
      </c>
      <c r="R69" s="137">
        <f>('Grouped Summary'!M108+'Grouped Summary'!M116)</f>
        <v>0</v>
      </c>
      <c r="S69" s="145">
        <f>IF(R69&gt;0,(('Grouped Summary'!M108*'Grouped Summary'!N108)+(('Grouped Summary'!M116*'Grouped Summary'!N116)*0.81818))/R69,0)</f>
        <v>0</v>
      </c>
      <c r="T69" s="145">
        <f t="shared" si="11"/>
        <v>0</v>
      </c>
      <c r="U69" s="137">
        <f>('Grouped Summary'!O108+'Grouped Summary'!O116)</f>
        <v>0</v>
      </c>
      <c r="V69" s="145">
        <f>IF(U69&gt;0,(('Grouped Summary'!O108*'Grouped Summary'!P108)+(('Grouped Summary'!O116*'Grouped Summary'!P116)*0.81818))/U69,0)</f>
        <v>0</v>
      </c>
      <c r="W69" s="145">
        <f t="shared" si="12"/>
        <v>0</v>
      </c>
      <c r="X69" s="118"/>
    </row>
    <row r="70" spans="1:24" ht="15">
      <c r="A70" s="118" t="s">
        <v>349</v>
      </c>
      <c r="B70" s="128" t="s">
        <v>721</v>
      </c>
      <c r="C70" s="128">
        <f>('Grouped Summary'!C117+'Grouped Summary'!C125)</f>
        <v>289</v>
      </c>
      <c r="D70" s="141">
        <f>IF(C70&gt;0,(('Grouped Summary'!C117*'Grouped Summary'!D117)+(('Grouped Summary'!C125*'Grouped Summary'!D125)*0.81818))/C70,0)</f>
        <v>61340.498996332186</v>
      </c>
      <c r="E70" s="141">
        <f t="shared" si="7"/>
        <v>17727404.20994</v>
      </c>
      <c r="F70" s="128">
        <f>('Grouped Summary'!E117+'Grouped Summary'!E125)</f>
        <v>209</v>
      </c>
      <c r="G70" s="141">
        <f>IF(F70&gt;0,(('Grouped Summary'!E117*'Grouped Summary'!F117)+(('Grouped Summary'!E125*'Grouped Summary'!F125)*0.81818))/F70,0)</f>
        <v>48964.22652066986</v>
      </c>
      <c r="H70" s="141">
        <f t="shared" si="8"/>
        <v>10233523.34282</v>
      </c>
      <c r="I70" s="128">
        <f>('Grouped Summary'!G117+'Grouped Summary'!G125)</f>
        <v>204</v>
      </c>
      <c r="J70" s="141">
        <f>IF(I70&gt;0,(('Grouped Summary'!G117*'Grouped Summary'!H117)+(('Grouped Summary'!G125*'Grouped Summary'!H125)*0.81818))/I70,0)</f>
        <v>42046.80570117647</v>
      </c>
      <c r="K70" s="141">
        <f t="shared" si="9"/>
        <v>8577548.36304</v>
      </c>
      <c r="L70" s="128">
        <f>('Grouped Summary'!I117+'Grouped Summary'!I125)</f>
        <v>60</v>
      </c>
      <c r="M70" s="141">
        <f>IF(L70&gt;0,(('Grouped Summary'!I117*'Grouped Summary'!J117)+(('Grouped Summary'!I125*'Grouped Summary'!J125)*0.81818))/L70,0)</f>
        <v>28433.99343866667</v>
      </c>
      <c r="N70" s="141">
        <f t="shared" si="10"/>
        <v>1706039.60632</v>
      </c>
      <c r="O70" s="128">
        <f>('Grouped Summary'!K117+'Grouped Summary'!K125)</f>
        <v>60</v>
      </c>
      <c r="P70" s="141">
        <f>IF(O70&gt;0,(('Grouped Summary'!K117*'Grouped Summary'!L117)+(('Grouped Summary'!K125*'Grouped Summary'!L125)*0.81818))/O70,0)</f>
        <v>23127.583333333332</v>
      </c>
      <c r="Q70" s="141">
        <f t="shared" si="13"/>
        <v>1387655</v>
      </c>
      <c r="R70" s="128">
        <f>('Grouped Summary'!M117+'Grouped Summary'!M125)</f>
        <v>0</v>
      </c>
      <c r="S70" s="141">
        <f>IF(R70&gt;0,(('Grouped Summary'!M117*'Grouped Summary'!N117)+(('Grouped Summary'!M125*'Grouped Summary'!N125)*0.81818))/R70,0)</f>
        <v>0</v>
      </c>
      <c r="T70" s="141">
        <f t="shared" si="11"/>
        <v>0</v>
      </c>
      <c r="U70" s="128">
        <f>('Grouped Summary'!O117+'Grouped Summary'!O125)</f>
        <v>822</v>
      </c>
      <c r="V70" s="141">
        <f>IF(U70&gt;0,(('Grouped Summary'!O117*'Grouped Summary'!P117)+(('Grouped Summary'!O125*'Grouped Summary'!P125)*0.81818))/U70,0)</f>
        <v>48214.31936997567</v>
      </c>
      <c r="W70" s="141">
        <f t="shared" si="12"/>
        <v>39632170.52212</v>
      </c>
      <c r="X70" s="118"/>
    </row>
    <row r="71" spans="1:24" ht="15">
      <c r="A71" s="118" t="s">
        <v>349</v>
      </c>
      <c r="B71" s="128" t="s">
        <v>722</v>
      </c>
      <c r="C71" s="128">
        <f>('Grouped Summary'!C118+'Grouped Summary'!C126)</f>
        <v>332</v>
      </c>
      <c r="D71" s="141">
        <f>IF(C71&gt;0,(('Grouped Summary'!C118*'Grouped Summary'!D118)+(('Grouped Summary'!C126*'Grouped Summary'!D126)*0.81818))/C71,0)</f>
        <v>63939.097115120516</v>
      </c>
      <c r="E71" s="141">
        <f aca="true" t="shared" si="14" ref="E71:E102">C71*D71</f>
        <v>21227780.24222001</v>
      </c>
      <c r="F71" s="128">
        <f>('Grouped Summary'!E118+'Grouped Summary'!E126)</f>
        <v>319</v>
      </c>
      <c r="G71" s="141">
        <f>IF(F71&gt;0,(('Grouped Summary'!E118*'Grouped Summary'!F118)+(('Grouped Summary'!E126*'Grouped Summary'!F126)*0.81818))/F71,0)</f>
        <v>49282.54091122258</v>
      </c>
      <c r="H71" s="141">
        <f aca="true" t="shared" si="15" ref="H71:H102">F71*G71</f>
        <v>15721130.550680004</v>
      </c>
      <c r="I71" s="128">
        <f>('Grouped Summary'!G118+'Grouped Summary'!G126)</f>
        <v>304</v>
      </c>
      <c r="J71" s="141">
        <f>IF(I71&gt;0,(('Grouped Summary'!G118*'Grouped Summary'!H118)+(('Grouped Summary'!G126*'Grouped Summary'!H126)*0.81818))/I71,0)</f>
        <v>40463.7309689474</v>
      </c>
      <c r="K71" s="141">
        <f aca="true" t="shared" si="16" ref="K71:K102">I71*J71</f>
        <v>12300974.21456001</v>
      </c>
      <c r="L71" s="128">
        <f>('Grouped Summary'!I118+'Grouped Summary'!I126)</f>
        <v>110</v>
      </c>
      <c r="M71" s="141">
        <f>IF(L71&gt;0,(('Grouped Summary'!I118*'Grouped Summary'!J118)+(('Grouped Summary'!I126*'Grouped Summary'!J126)*0.81818))/L71,0)</f>
        <v>30883.715032000022</v>
      </c>
      <c r="N71" s="141">
        <f aca="true" t="shared" si="17" ref="N71:N102">L71*M71</f>
        <v>3397208.6535200025</v>
      </c>
      <c r="O71" s="128">
        <f>('Grouped Summary'!K118+'Grouped Summary'!K126)</f>
        <v>2</v>
      </c>
      <c r="P71" s="141">
        <f>IF(O71&gt;0,(('Grouped Summary'!K118*'Grouped Summary'!L118)+(('Grouped Summary'!K126*'Grouped Summary'!L126)*0.81818))/O71,0)</f>
        <v>21760.5</v>
      </c>
      <c r="Q71" s="141">
        <f t="shared" si="13"/>
        <v>43521</v>
      </c>
      <c r="R71" s="128">
        <f>('Grouped Summary'!M118+'Grouped Summary'!M126)</f>
        <v>0</v>
      </c>
      <c r="S71" s="141">
        <f>IF(R71&gt;0,(('Grouped Summary'!M118*'Grouped Summary'!N118)+(('Grouped Summary'!M126*'Grouped Summary'!N126)*0.81818))/R71,0)</f>
        <v>0</v>
      </c>
      <c r="T71" s="141">
        <f aca="true" t="shared" si="18" ref="T71:T102">R71*S71</f>
        <v>0</v>
      </c>
      <c r="U71" s="128">
        <f>('Grouped Summary'!O118+'Grouped Summary'!O126)</f>
        <v>1067</v>
      </c>
      <c r="V71" s="141">
        <f>IF(U71&gt;0,(('Grouped Summary'!O118*'Grouped Summary'!P118)+(('Grouped Summary'!O126*'Grouped Summary'!P126)*0.81818))/U71,0)</f>
        <v>49382.01936361764</v>
      </c>
      <c r="W71" s="141">
        <f aca="true" t="shared" si="19" ref="W71:W102">U71*V71</f>
        <v>52690614.66098002</v>
      </c>
      <c r="X71" s="118"/>
    </row>
    <row r="72" spans="1:24" ht="15">
      <c r="A72" s="118" t="s">
        <v>349</v>
      </c>
      <c r="B72" s="128" t="s">
        <v>723</v>
      </c>
      <c r="C72" s="128">
        <f>('Grouped Summary'!C119+'Grouped Summary'!C127)</f>
        <v>67</v>
      </c>
      <c r="D72" s="141">
        <f>IF(C72&gt;0,(('Grouped Summary'!C119*'Grouped Summary'!D119)+(('Grouped Summary'!C127*'Grouped Summary'!D127)*0.81818))/C72,0)</f>
        <v>51739.14594268657</v>
      </c>
      <c r="E72" s="141">
        <f t="shared" si="14"/>
        <v>3466522.77816</v>
      </c>
      <c r="F72" s="128">
        <f>('Grouped Summary'!E119+'Grouped Summary'!E127)</f>
        <v>80</v>
      </c>
      <c r="G72" s="141">
        <f>IF(F72&gt;0,(('Grouped Summary'!E119*'Grouped Summary'!F119)+(('Grouped Summary'!E127*'Grouped Summary'!F127)*0.81818))/F72,0)</f>
        <v>46399.19370625</v>
      </c>
      <c r="H72" s="141">
        <f t="shared" si="15"/>
        <v>3711935.4965</v>
      </c>
      <c r="I72" s="128">
        <f>('Grouped Summary'!G119+'Grouped Summary'!G127)</f>
        <v>114</v>
      </c>
      <c r="J72" s="141">
        <f>IF(I72&gt;0,(('Grouped Summary'!G119*'Grouped Summary'!H119)+(('Grouped Summary'!G127*'Grouped Summary'!H127)*0.81818))/I72,0)</f>
        <v>39021.56411877193</v>
      </c>
      <c r="K72" s="141">
        <f t="shared" si="16"/>
        <v>4448458.30954</v>
      </c>
      <c r="L72" s="128">
        <f>('Grouped Summary'!I119+'Grouped Summary'!I127)</f>
        <v>54</v>
      </c>
      <c r="M72" s="141">
        <f>IF(L72&gt;0,(('Grouped Summary'!I119*'Grouped Summary'!J119)+(('Grouped Summary'!I127*'Grouped Summary'!J127)*0.81818))/L72,0)</f>
        <v>30727.680766296296</v>
      </c>
      <c r="N72" s="141">
        <f t="shared" si="17"/>
        <v>1659294.76138</v>
      </c>
      <c r="O72" s="128">
        <f>('Grouped Summary'!K119+'Grouped Summary'!K127)</f>
        <v>0</v>
      </c>
      <c r="P72" s="141">
        <f>IF(O72&gt;0,(('Grouped Summary'!K119*'Grouped Summary'!L119)+(('Grouped Summary'!K127*'Grouped Summary'!L127)*0.81818))/O72,0)</f>
        <v>0</v>
      </c>
      <c r="Q72" s="141">
        <f t="shared" si="13"/>
        <v>0</v>
      </c>
      <c r="R72" s="128">
        <f>('Grouped Summary'!M119+'Grouped Summary'!M127)</f>
        <v>0</v>
      </c>
      <c r="S72" s="141">
        <f>IF(R72&gt;0,(('Grouped Summary'!M119*'Grouped Summary'!N119)+(('Grouped Summary'!M127*'Grouped Summary'!N127)*0.81818))/R72,0)</f>
        <v>0</v>
      </c>
      <c r="T72" s="141">
        <f t="shared" si="18"/>
        <v>0</v>
      </c>
      <c r="U72" s="128">
        <f>('Grouped Summary'!O119+'Grouped Summary'!O127)</f>
        <v>315</v>
      </c>
      <c r="V72" s="141">
        <f>IF(U72&gt;0,(('Grouped Summary'!O119*'Grouped Summary'!P119)+(('Grouped Summary'!O127*'Grouped Summary'!P127)*0.81818))/U72,0)</f>
        <v>42178.448716126986</v>
      </c>
      <c r="W72" s="141">
        <f t="shared" si="19"/>
        <v>13286211.34558</v>
      </c>
      <c r="X72" s="118"/>
    </row>
    <row r="73" spans="1:24" ht="15">
      <c r="A73" s="118" t="s">
        <v>349</v>
      </c>
      <c r="B73" s="128" t="s">
        <v>724</v>
      </c>
      <c r="C73" s="128">
        <f>('Grouped Summary'!C120+'Grouped Summary'!C128)</f>
        <v>0</v>
      </c>
      <c r="D73" s="141">
        <f>IF(C73&gt;0,(('Grouped Summary'!C120*'Grouped Summary'!D120)+(('Grouped Summary'!C128*'Grouped Summary'!D128)*0.81818))/C73,0)</f>
        <v>0</v>
      </c>
      <c r="E73" s="141">
        <f t="shared" si="14"/>
        <v>0</v>
      </c>
      <c r="F73" s="128">
        <f>('Grouped Summary'!E120+'Grouped Summary'!E128)</f>
        <v>0</v>
      </c>
      <c r="G73" s="141">
        <f>IF(F73&gt;0,(('Grouped Summary'!E120*'Grouped Summary'!F120)+(('Grouped Summary'!E128*'Grouped Summary'!F128)*0.81818))/F73,0)</f>
        <v>0</v>
      </c>
      <c r="H73" s="141">
        <f t="shared" si="15"/>
        <v>0</v>
      </c>
      <c r="I73" s="128">
        <f>('Grouped Summary'!G120+'Grouped Summary'!G128)</f>
        <v>0</v>
      </c>
      <c r="J73" s="141">
        <f>IF(I73&gt;0,(('Grouped Summary'!G120*'Grouped Summary'!H120)+(('Grouped Summary'!G128*'Grouped Summary'!H128)*0.81818))/I73,0)</f>
        <v>0</v>
      </c>
      <c r="K73" s="141">
        <f t="shared" si="16"/>
        <v>0</v>
      </c>
      <c r="L73" s="128">
        <f>('Grouped Summary'!I120+'Grouped Summary'!I128)</f>
        <v>0</v>
      </c>
      <c r="M73" s="141">
        <f>IF(L73&gt;0,(('Grouped Summary'!I120*'Grouped Summary'!J120)+(('Grouped Summary'!I128*'Grouped Summary'!J128)*0.81818))/L73,0)</f>
        <v>0</v>
      </c>
      <c r="N73" s="141">
        <f t="shared" si="17"/>
        <v>0</v>
      </c>
      <c r="O73" s="128">
        <f>('Grouped Summary'!K120+'Grouped Summary'!K128)</f>
        <v>0</v>
      </c>
      <c r="P73" s="141">
        <f>IF(O73&gt;0,(('Grouped Summary'!K120*'Grouped Summary'!L120)+(('Grouped Summary'!K128*'Grouped Summary'!L128)*0.81818))/O73,0)</f>
        <v>0</v>
      </c>
      <c r="Q73" s="141">
        <f t="shared" si="13"/>
        <v>0</v>
      </c>
      <c r="R73" s="128">
        <f>('Grouped Summary'!M120+'Grouped Summary'!M128)</f>
        <v>0</v>
      </c>
      <c r="S73" s="141">
        <f>IF(R73&gt;0,(('Grouped Summary'!M120*'Grouped Summary'!N120)+(('Grouped Summary'!M128*'Grouped Summary'!N128)*0.81818))/R73,0)</f>
        <v>0</v>
      </c>
      <c r="T73" s="141">
        <f t="shared" si="18"/>
        <v>0</v>
      </c>
      <c r="U73" s="128">
        <f>('Grouped Summary'!O120+'Grouped Summary'!O128)</f>
        <v>0</v>
      </c>
      <c r="V73" s="141">
        <f>IF(U73&gt;0,(('Grouped Summary'!O120*'Grouped Summary'!P120)+(('Grouped Summary'!O128*'Grouped Summary'!P128)*0.81818))/U73,0)</f>
        <v>0</v>
      </c>
      <c r="W73" s="141">
        <f t="shared" si="19"/>
        <v>0</v>
      </c>
      <c r="X73" s="118"/>
    </row>
    <row r="74" spans="1:24" ht="15">
      <c r="A74" s="118" t="s">
        <v>349</v>
      </c>
      <c r="B74" s="128" t="s">
        <v>725</v>
      </c>
      <c r="C74" s="128">
        <f>('Grouped Summary'!C121+'Grouped Summary'!C129)</f>
        <v>114</v>
      </c>
      <c r="D74" s="141">
        <f>IF(C74&gt;0,(('Grouped Summary'!C121*'Grouped Summary'!D121)+(('Grouped Summary'!C129*'Grouped Summary'!D129)*0.81818))/C74,0)</f>
        <v>48425.208363684214</v>
      </c>
      <c r="E74" s="141">
        <f t="shared" si="14"/>
        <v>5520473.75346</v>
      </c>
      <c r="F74" s="128">
        <f>('Grouped Summary'!E121+'Grouped Summary'!E129)</f>
        <v>57</v>
      </c>
      <c r="G74" s="141">
        <f>IF(F74&gt;0,(('Grouped Summary'!E121*'Grouped Summary'!F121)+(('Grouped Summary'!E129*'Grouped Summary'!F129)*0.81818))/F74,0)</f>
        <v>41733.96075894737</v>
      </c>
      <c r="H74" s="141">
        <f t="shared" si="15"/>
        <v>2378835.76326</v>
      </c>
      <c r="I74" s="128">
        <f>('Grouped Summary'!G121+'Grouped Summary'!G129)</f>
        <v>103</v>
      </c>
      <c r="J74" s="141">
        <f>IF(I74&gt;0,(('Grouped Summary'!G121*'Grouped Summary'!H121)+(('Grouped Summary'!G129*'Grouped Summary'!H129)*0.81818))/I74,0)</f>
        <v>38686.3127481553</v>
      </c>
      <c r="K74" s="141">
        <f t="shared" si="16"/>
        <v>3984690.2130599963</v>
      </c>
      <c r="L74" s="128">
        <f>('Grouped Summary'!I121+'Grouped Summary'!I129)</f>
        <v>72</v>
      </c>
      <c r="M74" s="141">
        <f>IF(L74&gt;0,(('Grouped Summary'!I121*'Grouped Summary'!J121)+(('Grouped Summary'!I129*'Grouped Summary'!J129)*0.81818))/L74,0)</f>
        <v>29236.743543055556</v>
      </c>
      <c r="N74" s="141">
        <f t="shared" si="17"/>
        <v>2105045.5351</v>
      </c>
      <c r="O74" s="128">
        <f>('Grouped Summary'!K121+'Grouped Summary'!K129)</f>
        <v>0</v>
      </c>
      <c r="P74" s="141">
        <f>IF(O74&gt;0,(('Grouped Summary'!K121*'Grouped Summary'!L121)+(('Grouped Summary'!K129*'Grouped Summary'!L129)*0.81818))/O74,0)</f>
        <v>0</v>
      </c>
      <c r="Q74" s="141">
        <f t="shared" si="13"/>
        <v>0</v>
      </c>
      <c r="R74" s="128">
        <f>('Grouped Summary'!M121+'Grouped Summary'!M129)</f>
        <v>0</v>
      </c>
      <c r="S74" s="141">
        <f>IF(R74&gt;0,(('Grouped Summary'!M121*'Grouped Summary'!N121)+(('Grouped Summary'!M129*'Grouped Summary'!N129)*0.81818))/R74,0)</f>
        <v>0</v>
      </c>
      <c r="T74" s="141">
        <f t="shared" si="18"/>
        <v>0</v>
      </c>
      <c r="U74" s="128">
        <f>('Grouped Summary'!O121+'Grouped Summary'!O129)</f>
        <v>346</v>
      </c>
      <c r="V74" s="141">
        <f>IF(U74&gt;0,(('Grouped Summary'!O121*'Grouped Summary'!P121)+(('Grouped Summary'!O129*'Grouped Summary'!P129)*0.81818))/U74,0)</f>
        <v>40430.76666150288</v>
      </c>
      <c r="W74" s="141">
        <f t="shared" si="19"/>
        <v>13989045.264879996</v>
      </c>
      <c r="X74" s="118"/>
    </row>
    <row r="75" spans="1:24" ht="15">
      <c r="A75" s="118" t="s">
        <v>349</v>
      </c>
      <c r="B75" s="128" t="s">
        <v>726</v>
      </c>
      <c r="C75" s="128">
        <f>('Grouped Summary'!C122+'Grouped Summary'!C130)</f>
        <v>50</v>
      </c>
      <c r="D75" s="141">
        <f>IF(C75&gt;0,(('Grouped Summary'!C122*'Grouped Summary'!D122)+(('Grouped Summary'!C130*'Grouped Summary'!D130)*0.81818))/C75,0)</f>
        <v>46456.36156599999</v>
      </c>
      <c r="E75" s="141">
        <f t="shared" si="14"/>
        <v>2322818.0782999997</v>
      </c>
      <c r="F75" s="128">
        <f>('Grouped Summary'!E122+'Grouped Summary'!E130)</f>
        <v>34</v>
      </c>
      <c r="G75" s="141">
        <f>IF(F75&gt;0,(('Grouped Summary'!E122*'Grouped Summary'!F122)+(('Grouped Summary'!E130*'Grouped Summary'!F130)*0.81818))/F75,0)</f>
        <v>40537.306312352965</v>
      </c>
      <c r="H75" s="141">
        <f t="shared" si="15"/>
        <v>1378268.4146200009</v>
      </c>
      <c r="I75" s="128">
        <f>('Grouped Summary'!G122+'Grouped Summary'!G130)</f>
        <v>124</v>
      </c>
      <c r="J75" s="141">
        <f>IF(I75&gt;0,(('Grouped Summary'!G122*'Grouped Summary'!H122)+(('Grouped Summary'!G130*'Grouped Summary'!H130)*0.81818))/I75,0)</f>
        <v>33936.919863709656</v>
      </c>
      <c r="K75" s="141">
        <f t="shared" si="16"/>
        <v>4208178.063099997</v>
      </c>
      <c r="L75" s="128">
        <f>('Grouped Summary'!I122+'Grouped Summary'!I130)</f>
        <v>41</v>
      </c>
      <c r="M75" s="141">
        <f>IF(L75&gt;0,(('Grouped Summary'!I122*'Grouped Summary'!J122)+(('Grouped Summary'!I130*'Grouped Summary'!J130)*0.81818))/L75,0)</f>
        <v>31746.469980975606</v>
      </c>
      <c r="N75" s="141">
        <f t="shared" si="17"/>
        <v>1301605.26922</v>
      </c>
      <c r="O75" s="128">
        <f>('Grouped Summary'!K122+'Grouped Summary'!K130)</f>
        <v>0</v>
      </c>
      <c r="P75" s="141">
        <f>IF(O75&gt;0,(('Grouped Summary'!K122*'Grouped Summary'!L122)+(('Grouped Summary'!K130*'Grouped Summary'!L130)*0.81818))/O75,0)</f>
        <v>0</v>
      </c>
      <c r="Q75" s="141">
        <f t="shared" si="13"/>
        <v>0</v>
      </c>
      <c r="R75" s="128">
        <f>('Grouped Summary'!M122+'Grouped Summary'!M130)</f>
        <v>0</v>
      </c>
      <c r="S75" s="141">
        <f>IF(R75&gt;0,(('Grouped Summary'!M122*'Grouped Summary'!N122)+(('Grouped Summary'!M130*'Grouped Summary'!N130)*0.81818))/R75,0)</f>
        <v>0</v>
      </c>
      <c r="T75" s="141">
        <f t="shared" si="18"/>
        <v>0</v>
      </c>
      <c r="U75" s="128">
        <f>('Grouped Summary'!O122+'Grouped Summary'!O130)</f>
        <v>249</v>
      </c>
      <c r="V75" s="141">
        <f>IF(U75&gt;0,(('Grouped Summary'!O122*'Grouped Summary'!P122)+(('Grouped Summary'!O130*'Grouped Summary'!P130)*0.81818))/U75,0)</f>
        <v>36991.44508128513</v>
      </c>
      <c r="W75" s="141">
        <f t="shared" si="19"/>
        <v>9210869.825239997</v>
      </c>
      <c r="X75" s="118"/>
    </row>
    <row r="76" spans="1:24" ht="15">
      <c r="A76" s="118"/>
      <c r="B76" s="142" t="s">
        <v>797</v>
      </c>
      <c r="C76" s="143">
        <f>SUM(C70:C75)</f>
        <v>852</v>
      </c>
      <c r="D76" s="144">
        <f>((C70*D70)+(C71*D71)+(C72*D72)+(C73*D73)+(C74*D74)+(C75*D75))/C76</f>
        <v>58996.47777239438</v>
      </c>
      <c r="E76" s="141">
        <f t="shared" si="14"/>
        <v>50264999.06208001</v>
      </c>
      <c r="F76" s="143">
        <f>SUM(F70:F75)</f>
        <v>699</v>
      </c>
      <c r="G76" s="144">
        <f>((F70*G70)+(F71*G71)+(F72*G72)+(F73*G73)+(F74*G74)+(F75*G75))/F76</f>
        <v>47816.44287250358</v>
      </c>
      <c r="H76" s="141">
        <f t="shared" si="15"/>
        <v>33423693.567880005</v>
      </c>
      <c r="I76" s="143">
        <f>SUM(I70:I75)</f>
        <v>849</v>
      </c>
      <c r="J76" s="144">
        <f>((I70*J70)+(I71*J71)+(I72*J72)+(I73*J73)+(I74*J74)+(I75*J75))/I76</f>
        <v>39481.56556336867</v>
      </c>
      <c r="K76" s="141">
        <f t="shared" si="16"/>
        <v>33519849.1633</v>
      </c>
      <c r="L76" s="143">
        <f>SUM(L70:L75)</f>
        <v>337</v>
      </c>
      <c r="M76" s="144">
        <f>((L70*M70)+(L71*M71)+(L72*M72)+(L73*M73)+(L74*M74)+(L75*M75))/L76</f>
        <v>30175.649333946596</v>
      </c>
      <c r="N76" s="141">
        <f t="shared" si="17"/>
        <v>10169193.825540002</v>
      </c>
      <c r="O76" s="143">
        <f>SUM(O70:O75)</f>
        <v>62</v>
      </c>
      <c r="P76" s="144">
        <f>IF(O76&gt;0,((O70*P70)+(O71*P71)+(O72*P72)+(O73*P73)+(O74*P74)+(O75*P75))/O76,0)</f>
        <v>23083.483870967742</v>
      </c>
      <c r="Q76" s="141">
        <f>IF(O76&gt;0,(O76*P76),0)</f>
        <v>1431176</v>
      </c>
      <c r="R76" s="143">
        <f>SUM(R70:R75)</f>
        <v>0</v>
      </c>
      <c r="S76" s="144">
        <f>IF(R76&gt;0,((R70*S70)+(R71*S71)+(R72*S72)+(R73*S73)+(R74*S74)+(R75*S75))/R76,0)</f>
        <v>0</v>
      </c>
      <c r="T76" s="141">
        <f t="shared" si="18"/>
        <v>0</v>
      </c>
      <c r="U76" s="143">
        <f>SUM(U70:U75)</f>
        <v>2799</v>
      </c>
      <c r="V76" s="144">
        <f>((U70*V70)+(U71*V71)+(U72*V72)+(U73*V73)+(U74*V74)+(U75*V75))/U76</f>
        <v>46019.61829896392</v>
      </c>
      <c r="W76" s="141">
        <f t="shared" si="19"/>
        <v>128808911.61880001</v>
      </c>
      <c r="X76" s="118"/>
    </row>
    <row r="77" spans="1:24" ht="15">
      <c r="A77" s="118" t="s">
        <v>349</v>
      </c>
      <c r="B77" s="128" t="s">
        <v>727</v>
      </c>
      <c r="C77" s="128">
        <f>('Grouped Summary'!C123+'Grouped Summary'!C131)</f>
        <v>0</v>
      </c>
      <c r="D77" s="141">
        <f>IF(C77&gt;0,(('Grouped Summary'!C123*'Grouped Summary'!D123)+(('Grouped Summary'!C131*'Grouped Summary'!D131)*0.81818))/C77,0)</f>
        <v>0</v>
      </c>
      <c r="E77" s="141">
        <f t="shared" si="14"/>
        <v>0</v>
      </c>
      <c r="F77" s="128">
        <f>('Grouped Summary'!E123+'Grouped Summary'!E131)</f>
        <v>0</v>
      </c>
      <c r="G77" s="141">
        <f>IF(F77&gt;0,(('Grouped Summary'!E123*'Grouped Summary'!F123)+(('Grouped Summary'!E131*'Grouped Summary'!F131)*0.81818))/F77,0)</f>
        <v>0</v>
      </c>
      <c r="H77" s="141">
        <f t="shared" si="15"/>
        <v>0</v>
      </c>
      <c r="I77" s="128">
        <f>('Grouped Summary'!G123+'Grouped Summary'!G131)</f>
        <v>0</v>
      </c>
      <c r="J77" s="141">
        <f>IF(I77&gt;0,(('Grouped Summary'!G123*'Grouped Summary'!H123)+(('Grouped Summary'!G131*'Grouped Summary'!H131)*0.81818))/I77,0)</f>
        <v>0</v>
      </c>
      <c r="K77" s="141">
        <f t="shared" si="16"/>
        <v>0</v>
      </c>
      <c r="L77" s="128">
        <f>('Grouped Summary'!I123+'Grouped Summary'!I131)</f>
        <v>0</v>
      </c>
      <c r="M77" s="141">
        <f>IF(L77&gt;0,(('Grouped Summary'!I123*'Grouped Summary'!J123)+(('Grouped Summary'!I131*'Grouped Summary'!J131)*0.81818))/L77,0)</f>
        <v>0</v>
      </c>
      <c r="N77" s="141">
        <f t="shared" si="17"/>
        <v>0</v>
      </c>
      <c r="O77" s="128">
        <f>('Grouped Summary'!K123+'Grouped Summary'!K131)</f>
        <v>0</v>
      </c>
      <c r="P77" s="141">
        <f>IF(O77&gt;0,(('Grouped Summary'!K123*'Grouped Summary'!L123)+(('Grouped Summary'!K131*'Grouped Summary'!L131)*0.81818))/O77,0)</f>
        <v>0</v>
      </c>
      <c r="Q77" s="141">
        <f aca="true" t="shared" si="20" ref="Q77:Q93">O77*P77</f>
        <v>0</v>
      </c>
      <c r="R77" s="128">
        <f>('Grouped Summary'!M123+'Grouped Summary'!M131)</f>
        <v>2202.3</v>
      </c>
      <c r="S77" s="141">
        <f>IF(R77&gt;0,(('Grouped Summary'!M123*'Grouped Summary'!N123)+(('Grouped Summary'!M131*'Grouped Summary'!N131)*0.81818))/R77,0)</f>
        <v>36880.277422996835</v>
      </c>
      <c r="T77" s="141">
        <f t="shared" si="18"/>
        <v>81221434.96866594</v>
      </c>
      <c r="U77" s="128">
        <f>('Grouped Summary'!O123+'Grouped Summary'!O131)</f>
        <v>2202.3</v>
      </c>
      <c r="V77" s="141">
        <f>IF(U77&gt;0,(('Grouped Summary'!O123*'Grouped Summary'!P123)+(('Grouped Summary'!O131*'Grouped Summary'!P131)*0.81818))/U77,0)</f>
        <v>36880.277422996835</v>
      </c>
      <c r="W77" s="141">
        <f t="shared" si="19"/>
        <v>81221434.96866594</v>
      </c>
      <c r="X77" s="118"/>
    </row>
    <row r="78" spans="1:24" ht="15">
      <c r="A78" s="119" t="s">
        <v>349</v>
      </c>
      <c r="B78" s="137" t="s">
        <v>728</v>
      </c>
      <c r="C78" s="137">
        <f>('Grouped Summary'!C124+'Grouped Summary'!C132)</f>
        <v>0</v>
      </c>
      <c r="D78" s="145">
        <f>IF(C78&gt;0,(('Grouped Summary'!C124*'Grouped Summary'!D124)+(('Grouped Summary'!C132*'Grouped Summary'!D132)*0.81818))/C78,0)</f>
        <v>0</v>
      </c>
      <c r="E78" s="145">
        <f t="shared" si="14"/>
        <v>0</v>
      </c>
      <c r="F78" s="137">
        <f>('Grouped Summary'!E124+'Grouped Summary'!E132)</f>
        <v>0</v>
      </c>
      <c r="G78" s="145">
        <f>IF(F78&gt;0,(('Grouped Summary'!E124*'Grouped Summary'!F124)+(('Grouped Summary'!E132*'Grouped Summary'!F132)*0.81818))/F78,0)</f>
        <v>0</v>
      </c>
      <c r="H78" s="145">
        <f t="shared" si="15"/>
        <v>0</v>
      </c>
      <c r="I78" s="137">
        <f>('Grouped Summary'!G124+'Grouped Summary'!G132)</f>
        <v>0</v>
      </c>
      <c r="J78" s="145">
        <f>IF(I78&gt;0,(('Grouped Summary'!G124*'Grouped Summary'!H124)+(('Grouped Summary'!G132*'Grouped Summary'!H132)*0.81818))/I78,0)</f>
        <v>0</v>
      </c>
      <c r="K78" s="145">
        <f t="shared" si="16"/>
        <v>0</v>
      </c>
      <c r="L78" s="137">
        <f>('Grouped Summary'!I124+'Grouped Summary'!I132)</f>
        <v>0</v>
      </c>
      <c r="M78" s="145">
        <f>IF(L78&gt;0,(('Grouped Summary'!I124*'Grouped Summary'!J124)+(('Grouped Summary'!I132*'Grouped Summary'!J132)*0.81818))/L78,0)</f>
        <v>0</v>
      </c>
      <c r="N78" s="145">
        <f t="shared" si="17"/>
        <v>0</v>
      </c>
      <c r="O78" s="137">
        <f>('Grouped Summary'!K124+'Grouped Summary'!K132)</f>
        <v>0</v>
      </c>
      <c r="P78" s="145">
        <f>IF(O78&gt;0,(('Grouped Summary'!K124*'Grouped Summary'!L124)+(('Grouped Summary'!K132*'Grouped Summary'!L132)*0.81818))/O78,0)</f>
        <v>0</v>
      </c>
      <c r="Q78" s="145">
        <f t="shared" si="20"/>
        <v>0</v>
      </c>
      <c r="R78" s="137">
        <f>('Grouped Summary'!M124+'Grouped Summary'!M132)</f>
        <v>0</v>
      </c>
      <c r="S78" s="145">
        <f>IF(R78&gt;0,(('Grouped Summary'!M124*'Grouped Summary'!N124)+(('Grouped Summary'!M132*'Grouped Summary'!N132)*0.81818))/R78,0)</f>
        <v>0</v>
      </c>
      <c r="T78" s="145">
        <f t="shared" si="18"/>
        <v>0</v>
      </c>
      <c r="U78" s="137">
        <f>('Grouped Summary'!O124+'Grouped Summary'!O132)</f>
        <v>0</v>
      </c>
      <c r="V78" s="145">
        <f>IF(U78&gt;0,(('Grouped Summary'!O124*'Grouped Summary'!P124)+(('Grouped Summary'!O132*'Grouped Summary'!P132)*0.81818))/U78,0)</f>
        <v>0</v>
      </c>
      <c r="W78" s="145">
        <f t="shared" si="19"/>
        <v>0</v>
      </c>
      <c r="X78" s="118"/>
    </row>
    <row r="79" spans="1:24" ht="15">
      <c r="A79" s="118" t="s">
        <v>373</v>
      </c>
      <c r="B79" s="128" t="s">
        <v>721</v>
      </c>
      <c r="C79" s="128">
        <f>('Grouped Summary'!C133+'Grouped Summary'!C141)</f>
        <v>1038</v>
      </c>
      <c r="D79" s="141">
        <f>IF(C79&gt;0,(('Grouped Summary'!C133*'Grouped Summary'!D133)+(('Grouped Summary'!C141*'Grouped Summary'!D141)*0.81818))/C79,0)</f>
        <v>83278.86883036606</v>
      </c>
      <c r="E79" s="141">
        <f t="shared" si="14"/>
        <v>86443465.84591997</v>
      </c>
      <c r="F79" s="128">
        <f>('Grouped Summary'!E133+'Grouped Summary'!E141)</f>
        <v>636</v>
      </c>
      <c r="G79" s="141">
        <f>IF(F79&gt;0,(('Grouped Summary'!E133*'Grouped Summary'!F133)+(('Grouped Summary'!E141*'Grouped Summary'!F141)*0.81818))/F79,0)</f>
        <v>59304.28562534593</v>
      </c>
      <c r="H79" s="141">
        <f t="shared" si="15"/>
        <v>37717525.657720014</v>
      </c>
      <c r="I79" s="128">
        <f>('Grouped Summary'!G133+'Grouped Summary'!G141)</f>
        <v>425</v>
      </c>
      <c r="J79" s="141">
        <f>IF(I79&gt;0,(('Grouped Summary'!G133*'Grouped Summary'!H133)+(('Grouped Summary'!G141*'Grouped Summary'!H141)*0.81818))/I79,0)</f>
        <v>49807.619789835306</v>
      </c>
      <c r="K79" s="141">
        <f t="shared" si="16"/>
        <v>21168238.410680003</v>
      </c>
      <c r="L79" s="128">
        <f>('Grouped Summary'!I133+'Grouped Summary'!I141)</f>
        <v>21</v>
      </c>
      <c r="M79" s="141">
        <f>IF(L79&gt;0,(('Grouped Summary'!I133*'Grouped Summary'!J133)+(('Grouped Summary'!I141*'Grouped Summary'!J141)*0.81818))/L79,0)</f>
        <v>39094.733135238115</v>
      </c>
      <c r="N79" s="141">
        <f t="shared" si="17"/>
        <v>820989.3958400004</v>
      </c>
      <c r="O79" s="128">
        <f>('Grouped Summary'!K133+'Grouped Summary'!K141)</f>
        <v>317</v>
      </c>
      <c r="P79" s="141">
        <f>IF(O79&gt;0,(('Grouped Summary'!K133*'Grouped Summary'!L133)+(('Grouped Summary'!K141*'Grouped Summary'!L141)*0.81818))/O79,0)</f>
        <v>40896.69107558357</v>
      </c>
      <c r="Q79" s="141">
        <f t="shared" si="20"/>
        <v>12964251.070959993</v>
      </c>
      <c r="R79" s="128">
        <f>('Grouped Summary'!M133+'Grouped Summary'!M141)</f>
        <v>0</v>
      </c>
      <c r="S79" s="141">
        <f>IF(R79&gt;0,(('Grouped Summary'!M133*'Grouped Summary'!N133)+(('Grouped Summary'!M141*'Grouped Summary'!N141)*0.81818))/R79,0)</f>
        <v>0</v>
      </c>
      <c r="T79" s="141">
        <f t="shared" si="18"/>
        <v>0</v>
      </c>
      <c r="U79" s="128">
        <f>('Grouped Summary'!O133+'Grouped Summary'!O141)</f>
        <v>2437</v>
      </c>
      <c r="V79" s="141">
        <f>IF(U79&gt;0,(('Grouped Summary'!O133*'Grouped Summary'!P133)+(('Grouped Summary'!O141*'Grouped Summary'!P141)*0.81818))/U79,0)</f>
        <v>65291.12448958554</v>
      </c>
      <c r="W79" s="141">
        <f t="shared" si="19"/>
        <v>159114470.38111997</v>
      </c>
      <c r="X79" s="118"/>
    </row>
    <row r="80" spans="1:24" ht="15">
      <c r="A80" s="118" t="s">
        <v>373</v>
      </c>
      <c r="B80" s="128" t="s">
        <v>722</v>
      </c>
      <c r="C80" s="128">
        <f>('Grouped Summary'!C134+'Grouped Summary'!C142)</f>
        <v>138</v>
      </c>
      <c r="D80" s="141">
        <f>IF(C80&gt;0,(('Grouped Summary'!C134*'Grouped Summary'!D134)+(('Grouped Summary'!C142*'Grouped Summary'!D142)*0.81818))/C80,0)</f>
        <v>71726.19354608696</v>
      </c>
      <c r="E80" s="141">
        <f t="shared" si="14"/>
        <v>9898214.70936</v>
      </c>
      <c r="F80" s="128">
        <f>('Grouped Summary'!E134+'Grouped Summary'!E142)</f>
        <v>170</v>
      </c>
      <c r="G80" s="141">
        <f>IF(F80&gt;0,(('Grouped Summary'!E134*'Grouped Summary'!F134)+(('Grouped Summary'!E142*'Grouped Summary'!F142)*0.81818))/F80,0)</f>
        <v>52032.5459477647</v>
      </c>
      <c r="H80" s="141">
        <f t="shared" si="15"/>
        <v>8845532.81112</v>
      </c>
      <c r="I80" s="128">
        <f>('Grouped Summary'!G134+'Grouped Summary'!G142)</f>
        <v>129</v>
      </c>
      <c r="J80" s="141">
        <f>IF(I80&gt;0,(('Grouped Summary'!G134*'Grouped Summary'!H134)+(('Grouped Summary'!G142*'Grouped Summary'!H142)*0.81818))/I80,0)</f>
        <v>41204.22415953488</v>
      </c>
      <c r="K80" s="141">
        <f t="shared" si="16"/>
        <v>5315344.91658</v>
      </c>
      <c r="L80" s="128">
        <f>('Grouped Summary'!I134+'Grouped Summary'!I142)</f>
        <v>9</v>
      </c>
      <c r="M80" s="141">
        <f>IF(L80&gt;0,(('Grouped Summary'!I134*'Grouped Summary'!J134)+(('Grouped Summary'!I142*'Grouped Summary'!J142)*0.81818))/L80,0)</f>
        <v>46343</v>
      </c>
      <c r="N80" s="141">
        <f t="shared" si="17"/>
        <v>417087</v>
      </c>
      <c r="O80" s="128">
        <f>('Grouped Summary'!K134+'Grouped Summary'!K142)</f>
        <v>119</v>
      </c>
      <c r="P80" s="141">
        <f>IF(O80&gt;0,(('Grouped Summary'!K134*'Grouped Summary'!L134)+(('Grouped Summary'!K142*'Grouped Summary'!L142)*0.81818))/O80,0)</f>
        <v>33304.033983529414</v>
      </c>
      <c r="Q80" s="141">
        <f t="shared" si="20"/>
        <v>3963180.0440400005</v>
      </c>
      <c r="R80" s="128">
        <f>('Grouped Summary'!M134+'Grouped Summary'!M142)</f>
        <v>0</v>
      </c>
      <c r="S80" s="141">
        <f>IF(R80&gt;0,(('Grouped Summary'!M134*'Grouped Summary'!N134)+(('Grouped Summary'!M142*'Grouped Summary'!N142)*0.81818))/R80,0)</f>
        <v>0</v>
      </c>
      <c r="T80" s="141">
        <f t="shared" si="18"/>
        <v>0</v>
      </c>
      <c r="U80" s="128">
        <f>('Grouped Summary'!O134+'Grouped Summary'!O142)</f>
        <v>565</v>
      </c>
      <c r="V80" s="141">
        <f>IF(U80&gt;0,(('Grouped Summary'!O134*'Grouped Summary'!P134)+(('Grouped Summary'!O142*'Grouped Summary'!P142)*0.81818))/U80,0)</f>
        <v>50335.149524070795</v>
      </c>
      <c r="W80" s="141">
        <f t="shared" si="19"/>
        <v>28439359.4811</v>
      </c>
      <c r="X80" s="118"/>
    </row>
    <row r="81" spans="1:24" ht="15">
      <c r="A81" s="118" t="s">
        <v>373</v>
      </c>
      <c r="B81" s="128" t="s">
        <v>723</v>
      </c>
      <c r="C81" s="128">
        <f>('Grouped Summary'!C135+'Grouped Summary'!C143)</f>
        <v>825</v>
      </c>
      <c r="D81" s="141">
        <f>IF(C81&gt;0,(('Grouped Summary'!C135*'Grouped Summary'!D135)+(('Grouped Summary'!C143*'Grouped Summary'!D143)*0.81818))/C81,0)</f>
        <v>63179.87268610908</v>
      </c>
      <c r="E81" s="141">
        <f t="shared" si="14"/>
        <v>52123394.96603999</v>
      </c>
      <c r="F81" s="128">
        <f>('Grouped Summary'!E135+'Grouped Summary'!E143)</f>
        <v>917</v>
      </c>
      <c r="G81" s="141">
        <f>IF(F81&gt;0,(('Grouped Summary'!E135*'Grouped Summary'!F135)+(('Grouped Summary'!E143*'Grouped Summary'!F143)*0.81818))/F81,0)</f>
        <v>50655.43756089419</v>
      </c>
      <c r="H81" s="141">
        <f t="shared" si="15"/>
        <v>46451036.24333997</v>
      </c>
      <c r="I81" s="128">
        <f>('Grouped Summary'!G135+'Grouped Summary'!G143)</f>
        <v>789</v>
      </c>
      <c r="J81" s="141">
        <f>IF(I81&gt;0,(('Grouped Summary'!G135*'Grouped Summary'!H135)+(('Grouped Summary'!G143*'Grouped Summary'!H143)*0.81818))/I81,0)</f>
        <v>43564.97814068441</v>
      </c>
      <c r="K81" s="141">
        <f t="shared" si="16"/>
        <v>34372767.753</v>
      </c>
      <c r="L81" s="128">
        <f>('Grouped Summary'!I135+'Grouped Summary'!I143)</f>
        <v>39</v>
      </c>
      <c r="M81" s="141">
        <f>IF(L81&gt;0,(('Grouped Summary'!I135*'Grouped Summary'!J135)+(('Grouped Summary'!I143*'Grouped Summary'!J143)*0.81818))/L81,0)</f>
        <v>38137.57849794873</v>
      </c>
      <c r="N81" s="141">
        <f t="shared" si="17"/>
        <v>1487365.5614200004</v>
      </c>
      <c r="O81" s="128">
        <f>('Grouped Summary'!K135+'Grouped Summary'!K143)</f>
        <v>445</v>
      </c>
      <c r="P81" s="141">
        <f>IF(O81&gt;0,(('Grouped Summary'!K135*'Grouped Summary'!L135)+(('Grouped Summary'!K143*'Grouped Summary'!L143)*0.81818))/O81,0)</f>
        <v>35075.73004831461</v>
      </c>
      <c r="Q81" s="141">
        <f t="shared" si="20"/>
        <v>15608699.871500002</v>
      </c>
      <c r="R81" s="128">
        <f>('Grouped Summary'!M135+'Grouped Summary'!M143)</f>
        <v>0</v>
      </c>
      <c r="S81" s="141">
        <f>IF(R81&gt;0,(('Grouped Summary'!M135*'Grouped Summary'!N135)+(('Grouped Summary'!M143*'Grouped Summary'!N143)*0.81818))/R81,0)</f>
        <v>0</v>
      </c>
      <c r="T81" s="141">
        <f t="shared" si="18"/>
        <v>0</v>
      </c>
      <c r="U81" s="128">
        <f>('Grouped Summary'!O135+'Grouped Summary'!O143)</f>
        <v>3015</v>
      </c>
      <c r="V81" s="141">
        <f>IF(U81&gt;0,(('Grouped Summary'!O135*'Grouped Summary'!P135)+(('Grouped Summary'!O143*'Grouped Summary'!P143)*0.81818))/U81,0)</f>
        <v>49765.59349761193</v>
      </c>
      <c r="W81" s="141">
        <f t="shared" si="19"/>
        <v>150043264.39529997</v>
      </c>
      <c r="X81" s="118"/>
    </row>
    <row r="82" spans="1:24" ht="15">
      <c r="A82" s="118" t="s">
        <v>373</v>
      </c>
      <c r="B82" s="128" t="s">
        <v>724</v>
      </c>
      <c r="C82" s="128">
        <f>('Grouped Summary'!C136+'Grouped Summary'!C144)</f>
        <v>153</v>
      </c>
      <c r="D82" s="141">
        <f>IF(C82&gt;0,(('Grouped Summary'!C136*'Grouped Summary'!D136)+(('Grouped Summary'!C144*'Grouped Summary'!D144)*0.81818))/C82,0)</f>
        <v>62472.89934679737</v>
      </c>
      <c r="E82" s="141">
        <f t="shared" si="14"/>
        <v>9558353.600059997</v>
      </c>
      <c r="F82" s="128">
        <f>('Grouped Summary'!E136+'Grouped Summary'!E144)</f>
        <v>199</v>
      </c>
      <c r="G82" s="141">
        <f>IF(F82&gt;0,(('Grouped Summary'!E136*'Grouped Summary'!F136)+(('Grouped Summary'!E144*'Grouped Summary'!F144)*0.81818))/F82,0)</f>
        <v>49586.93468281403</v>
      </c>
      <c r="H82" s="141">
        <f t="shared" si="15"/>
        <v>9867800.001879992</v>
      </c>
      <c r="I82" s="128">
        <f>('Grouped Summary'!G136+'Grouped Summary'!G144)</f>
        <v>158</v>
      </c>
      <c r="J82" s="141">
        <f>IF(I82&gt;0,(('Grouped Summary'!G136*'Grouped Summary'!H136)+(('Grouped Summary'!G144*'Grouped Summary'!H144)*0.81818))/I82,0)</f>
        <v>42991.5163240506</v>
      </c>
      <c r="K82" s="141">
        <f t="shared" si="16"/>
        <v>6792659.579199995</v>
      </c>
      <c r="L82" s="128">
        <f>('Grouped Summary'!I136+'Grouped Summary'!I144)</f>
        <v>4</v>
      </c>
      <c r="M82" s="141">
        <f>IF(L82&gt;0,(('Grouped Summary'!I136*'Grouped Summary'!J136)+(('Grouped Summary'!I144*'Grouped Summary'!J144)*0.81818))/L82,0)</f>
        <v>30660.427799999998</v>
      </c>
      <c r="N82" s="141">
        <f t="shared" si="17"/>
        <v>122641.71119999999</v>
      </c>
      <c r="O82" s="128">
        <f>('Grouped Summary'!K136+'Grouped Summary'!K144)</f>
        <v>76</v>
      </c>
      <c r="P82" s="141">
        <f>IF(O82&gt;0,(('Grouped Summary'!K136*'Grouped Summary'!L136)+(('Grouped Summary'!K144*'Grouped Summary'!L144)*0.81818))/O82,0)</f>
        <v>35572.085152105254</v>
      </c>
      <c r="Q82" s="141">
        <f t="shared" si="20"/>
        <v>2703478.4715599995</v>
      </c>
      <c r="R82" s="128">
        <f>('Grouped Summary'!M136+'Grouped Summary'!M144)</f>
        <v>0</v>
      </c>
      <c r="S82" s="141">
        <f>IF(R82&gt;0,(('Grouped Summary'!M136*'Grouped Summary'!N136)+(('Grouped Summary'!M144*'Grouped Summary'!N144)*0.81818))/R82,0)</f>
        <v>0</v>
      </c>
      <c r="T82" s="141">
        <f t="shared" si="18"/>
        <v>0</v>
      </c>
      <c r="U82" s="128">
        <f>('Grouped Summary'!O136+'Grouped Summary'!O144)</f>
        <v>590</v>
      </c>
      <c r="V82" s="141">
        <f>IF(U82&gt;0,(('Grouped Summary'!O136*'Grouped Summary'!P136)+(('Grouped Summary'!O144*'Grouped Summary'!P144)*0.81818))/U82,0)</f>
        <v>49228.700616779635</v>
      </c>
      <c r="W82" s="141">
        <f t="shared" si="19"/>
        <v>29044933.363899983</v>
      </c>
      <c r="X82" s="118"/>
    </row>
    <row r="83" spans="1:24" ht="15">
      <c r="A83" s="118" t="s">
        <v>373</v>
      </c>
      <c r="B83" s="128" t="s">
        <v>725</v>
      </c>
      <c r="C83" s="128">
        <f>('Grouped Summary'!C137+'Grouped Summary'!C145)</f>
        <v>44</v>
      </c>
      <c r="D83" s="141">
        <f>IF(C83&gt;0,(('Grouped Summary'!C137*'Grouped Summary'!D137)+(('Grouped Summary'!C145*'Grouped Summary'!D145)*0.81818))/C83,0)</f>
        <v>64536.137153636366</v>
      </c>
      <c r="E83" s="141">
        <f t="shared" si="14"/>
        <v>2839590.03476</v>
      </c>
      <c r="F83" s="128">
        <f>('Grouped Summary'!E137+'Grouped Summary'!E145)</f>
        <v>32</v>
      </c>
      <c r="G83" s="141">
        <f>IF(F83&gt;0,(('Grouped Summary'!E137*'Grouped Summary'!F137)+(('Grouped Summary'!E145*'Grouped Summary'!F145)*0.81818))/F83,0)</f>
        <v>48998.996875</v>
      </c>
      <c r="H83" s="141">
        <f t="shared" si="15"/>
        <v>1567967.9</v>
      </c>
      <c r="I83" s="128">
        <f>('Grouped Summary'!G137+'Grouped Summary'!G145)</f>
        <v>43</v>
      </c>
      <c r="J83" s="141">
        <f>IF(I83&gt;0,(('Grouped Summary'!G137*'Grouped Summary'!H137)+(('Grouped Summary'!G145*'Grouped Summary'!H145)*0.81818))/I83,0)</f>
        <v>40395.1875855814</v>
      </c>
      <c r="K83" s="141">
        <f t="shared" si="16"/>
        <v>1736993.06618</v>
      </c>
      <c r="L83" s="128">
        <f>('Grouped Summary'!I137+'Grouped Summary'!I145)</f>
        <v>2</v>
      </c>
      <c r="M83" s="141">
        <f>IF(L83&gt;0,(('Grouped Summary'!I137*'Grouped Summary'!J137)+(('Grouped Summary'!I145*'Grouped Summary'!J145)*0.81818))/L83,0)</f>
        <v>36410</v>
      </c>
      <c r="N83" s="141">
        <f t="shared" si="17"/>
        <v>72820</v>
      </c>
      <c r="O83" s="128">
        <f>('Grouped Summary'!K137+'Grouped Summary'!K145)</f>
        <v>22</v>
      </c>
      <c r="P83" s="141">
        <f>IF(O83&gt;0,(('Grouped Summary'!K137*'Grouped Summary'!L137)+(('Grouped Summary'!K145*'Grouped Summary'!L145)*0.81818))/O83,0)</f>
        <v>36377.99636363637</v>
      </c>
      <c r="Q83" s="141">
        <f t="shared" si="20"/>
        <v>800315.9200000002</v>
      </c>
      <c r="R83" s="128">
        <f>('Grouped Summary'!M137+'Grouped Summary'!M145)</f>
        <v>0</v>
      </c>
      <c r="S83" s="141">
        <f>IF(R83&gt;0,(('Grouped Summary'!M137*'Grouped Summary'!N137)+(('Grouped Summary'!M145*'Grouped Summary'!N145)*0.81818))/R83,0)</f>
        <v>0</v>
      </c>
      <c r="T83" s="141">
        <f t="shared" si="18"/>
        <v>0</v>
      </c>
      <c r="U83" s="128">
        <f>('Grouped Summary'!O137+'Grouped Summary'!O145)</f>
        <v>143</v>
      </c>
      <c r="V83" s="141">
        <f>IF(U83&gt;0,(('Grouped Summary'!O137*'Grouped Summary'!P137)+(('Grouped Summary'!O145*'Grouped Summary'!P145)*0.81818))/U83,0)</f>
        <v>49074.73371286713</v>
      </c>
      <c r="W83" s="141">
        <f t="shared" si="19"/>
        <v>7017686.92094</v>
      </c>
      <c r="X83" s="118"/>
    </row>
    <row r="84" spans="1:24" ht="15">
      <c r="A84" s="118" t="s">
        <v>373</v>
      </c>
      <c r="B84" s="128" t="s">
        <v>726</v>
      </c>
      <c r="C84" s="128">
        <f>('Grouped Summary'!C138+'Grouped Summary'!C146)</f>
        <v>122</v>
      </c>
      <c r="D84" s="141">
        <f>IF(C84&gt;0,(('Grouped Summary'!C138*'Grouped Summary'!D138)+(('Grouped Summary'!C146*'Grouped Summary'!D146)*0.81818))/C84,0)</f>
        <v>57624.69356393439</v>
      </c>
      <c r="E84" s="141">
        <f t="shared" si="14"/>
        <v>7030212.614799995</v>
      </c>
      <c r="F84" s="128">
        <f>('Grouped Summary'!E138+'Grouped Summary'!E146)</f>
        <v>116</v>
      </c>
      <c r="G84" s="141">
        <f>IF(F84&gt;0,(('Grouped Summary'!E138*'Grouped Summary'!F138)+(('Grouped Summary'!E146*'Grouped Summary'!F146)*0.81818))/F84,0)</f>
        <v>48997.81855603448</v>
      </c>
      <c r="H84" s="141">
        <f t="shared" si="15"/>
        <v>5683746.9525</v>
      </c>
      <c r="I84" s="128">
        <f>('Grouped Summary'!G138+'Grouped Summary'!G146)</f>
        <v>93</v>
      </c>
      <c r="J84" s="141">
        <f>IF(I84&gt;0,(('Grouped Summary'!G138*'Grouped Summary'!H138)+(('Grouped Summary'!G146*'Grouped Summary'!H146)*0.81818))/I84,0)</f>
        <v>39446.17268129033</v>
      </c>
      <c r="K84" s="141">
        <f t="shared" si="16"/>
        <v>3668494.059360001</v>
      </c>
      <c r="L84" s="128">
        <f>('Grouped Summary'!I138+'Grouped Summary'!I146)</f>
        <v>9</v>
      </c>
      <c r="M84" s="141">
        <f>IF(L84&gt;0,(('Grouped Summary'!I138*'Grouped Summary'!J138)+(('Grouped Summary'!I146*'Grouped Summary'!J146)*0.81818))/L84,0)</f>
        <v>37201.3333333333</v>
      </c>
      <c r="N84" s="141">
        <f t="shared" si="17"/>
        <v>334811.9999999997</v>
      </c>
      <c r="O84" s="128">
        <f>('Grouped Summary'!K138+'Grouped Summary'!K146)</f>
        <v>59</v>
      </c>
      <c r="P84" s="141">
        <f>IF(O84&gt;0,(('Grouped Summary'!K138*'Grouped Summary'!L138)+(('Grouped Summary'!K146*'Grouped Summary'!L146)*0.81818))/O84,0)</f>
        <v>39231.50398169488</v>
      </c>
      <c r="Q84" s="141">
        <f t="shared" si="20"/>
        <v>2314658.734919998</v>
      </c>
      <c r="R84" s="128">
        <f>('Grouped Summary'!M138+'Grouped Summary'!M146)</f>
        <v>0</v>
      </c>
      <c r="S84" s="141">
        <f>IF(R84&gt;0,(('Grouped Summary'!M138*'Grouped Summary'!N138)+(('Grouped Summary'!M146*'Grouped Summary'!N146)*0.81818))/R84,0)</f>
        <v>0</v>
      </c>
      <c r="T84" s="141">
        <f t="shared" si="18"/>
        <v>0</v>
      </c>
      <c r="U84" s="128">
        <f>('Grouped Summary'!O138+'Grouped Summary'!O146)</f>
        <v>399</v>
      </c>
      <c r="V84" s="141">
        <f>IF(U84&gt;0,(('Grouped Summary'!O138*'Grouped Summary'!P138)+(('Grouped Summary'!O146*'Grouped Summary'!P146)*0.81818))/U84,0)</f>
        <v>47699.0585503258</v>
      </c>
      <c r="W84" s="141">
        <f t="shared" si="19"/>
        <v>19031924.361579992</v>
      </c>
      <c r="X84" s="118"/>
    </row>
    <row r="85" spans="1:24" ht="15">
      <c r="A85" s="118"/>
      <c r="B85" s="142" t="s">
        <v>797</v>
      </c>
      <c r="C85" s="143">
        <f>SUM(C79:C84)</f>
        <v>2320</v>
      </c>
      <c r="D85" s="144">
        <f>((C79*D79)+(C80*D80)+(C81*D81)+(C82*D82)+(C83*D83)+(C84*D84))/C85</f>
        <v>72367.77231506033</v>
      </c>
      <c r="E85" s="141">
        <f t="shared" si="14"/>
        <v>167893231.77093995</v>
      </c>
      <c r="F85" s="143">
        <f>SUM(F79:F84)</f>
        <v>2070</v>
      </c>
      <c r="G85" s="144">
        <f>((F79*G79)+(F80*G80)+(F81*G81)+(F82*G82)+(F83*G83)+(F84*G84))/F85</f>
        <v>53204.642302685985</v>
      </c>
      <c r="H85" s="141">
        <f t="shared" si="15"/>
        <v>110133609.56655999</v>
      </c>
      <c r="I85" s="143">
        <f>SUM(I79:I84)</f>
        <v>1637</v>
      </c>
      <c r="J85" s="144">
        <f>((I79*J79)+(I80*J80)+(I81*J81)+(I82*J82)+(I83*J83)+(I84*J84))/I85</f>
        <v>44627.06034514355</v>
      </c>
      <c r="K85" s="141">
        <f t="shared" si="16"/>
        <v>73054497.785</v>
      </c>
      <c r="L85" s="143">
        <f>SUM(L79:L84)</f>
        <v>84</v>
      </c>
      <c r="M85" s="144">
        <f>((L79*M79)+(L80*M80)+(L81*M81)+(L82*M82)+(L83*M83)+(L84*M84))/L85</f>
        <v>38758.51986261905</v>
      </c>
      <c r="N85" s="141">
        <f t="shared" si="17"/>
        <v>3255715.66846</v>
      </c>
      <c r="O85" s="143">
        <f>SUM(O79:O84)</f>
        <v>1038</v>
      </c>
      <c r="P85" s="144">
        <f>((O79*P79)+(O80*P80)+(O81*P81)+(O82*P82)+(O83*P83)+(O84*P84))/O85</f>
        <v>36950.466390154135</v>
      </c>
      <c r="Q85" s="141">
        <f t="shared" si="20"/>
        <v>38354584.11297999</v>
      </c>
      <c r="R85" s="143">
        <f>SUM(R79:R84)</f>
        <v>0</v>
      </c>
      <c r="S85" s="144">
        <f>IF(R85&gt;0,((R79*S79)+(R80*S80)+(R81*S81)+(R82*S82)+(R83*S83)+(R84*S84))/R85,0)</f>
        <v>0</v>
      </c>
      <c r="T85" s="141">
        <f t="shared" si="18"/>
        <v>0</v>
      </c>
      <c r="U85" s="143">
        <f>SUM(U79:U84)</f>
        <v>7149</v>
      </c>
      <c r="V85" s="144">
        <f>((U79*V79)+(U80*V80)+(U81*V81)+(U82*V82)+(U83*V83)+(U84*V84))/U85</f>
        <v>54929.589999152326</v>
      </c>
      <c r="W85" s="141">
        <f t="shared" si="19"/>
        <v>392691638.90393996</v>
      </c>
      <c r="X85" s="118"/>
    </row>
    <row r="86" spans="1:24" ht="15">
      <c r="A86" s="118" t="s">
        <v>373</v>
      </c>
      <c r="B86" s="128" t="s">
        <v>727</v>
      </c>
      <c r="C86" s="128">
        <f>('Grouped Summary'!C139+'Grouped Summary'!C147)</f>
        <v>0</v>
      </c>
      <c r="D86" s="141">
        <f>IF(C86&gt;0,(('Grouped Summary'!C139*'Grouped Summary'!D139)+(('Grouped Summary'!C147*'Grouped Summary'!D147)*0.81818))/C86,0)</f>
        <v>0</v>
      </c>
      <c r="E86" s="141">
        <f t="shared" si="14"/>
        <v>0</v>
      </c>
      <c r="F86" s="128">
        <f>('Grouped Summary'!E139+'Grouped Summary'!E147)</f>
        <v>0</v>
      </c>
      <c r="G86" s="141">
        <f>IF(F86&gt;0,(('Grouped Summary'!E139*'Grouped Summary'!F139)+(('Grouped Summary'!E147*'Grouped Summary'!F147)*0.81818))/F86,0)</f>
        <v>0</v>
      </c>
      <c r="H86" s="141">
        <f t="shared" si="15"/>
        <v>0</v>
      </c>
      <c r="I86" s="128">
        <f>('Grouped Summary'!G139+'Grouped Summary'!G147)</f>
        <v>0</v>
      </c>
      <c r="J86" s="141">
        <f>IF(I86&gt;0,(('Grouped Summary'!G139*'Grouped Summary'!H139)+(('Grouped Summary'!G147*'Grouped Summary'!H147)*0.81818))/I86,0)</f>
        <v>0</v>
      </c>
      <c r="K86" s="141">
        <f t="shared" si="16"/>
        <v>0</v>
      </c>
      <c r="L86" s="128">
        <f>('Grouped Summary'!I139+'Grouped Summary'!I147)</f>
        <v>0</v>
      </c>
      <c r="M86" s="141">
        <f>IF(L86&gt;0,(('Grouped Summary'!I139*'Grouped Summary'!J139)+(('Grouped Summary'!I147*'Grouped Summary'!J147)*0.81818))/L86,0)</f>
        <v>0</v>
      </c>
      <c r="N86" s="141">
        <f t="shared" si="17"/>
        <v>0</v>
      </c>
      <c r="O86" s="128">
        <f>('Grouped Summary'!K139+'Grouped Summary'!K147)</f>
        <v>0</v>
      </c>
      <c r="P86" s="141">
        <f>IF(O86&gt;0,(('Grouped Summary'!K139*'Grouped Summary'!L139)+(('Grouped Summary'!K147*'Grouped Summary'!L147)*0.81818))/O86,0)</f>
        <v>0</v>
      </c>
      <c r="Q86" s="141">
        <f t="shared" si="20"/>
        <v>0</v>
      </c>
      <c r="R86" s="128">
        <f>('Grouped Summary'!M139+'Grouped Summary'!M147)</f>
        <v>4026</v>
      </c>
      <c r="S86" s="141">
        <f>IF(R86&gt;0,(('Grouped Summary'!M139*'Grouped Summary'!N139)+(('Grouped Summary'!M147*'Grouped Summary'!N147)*0.81818))/R86,0)</f>
        <v>32205.7891207154</v>
      </c>
      <c r="T86" s="141">
        <f t="shared" si="18"/>
        <v>129660507.0000002</v>
      </c>
      <c r="U86" s="128">
        <f>('Grouped Summary'!O139+'Grouped Summary'!O147)</f>
        <v>4026</v>
      </c>
      <c r="V86" s="141">
        <f>IF(U86&gt;0,(('Grouped Summary'!O139*'Grouped Summary'!P139)+(('Grouped Summary'!O147*'Grouped Summary'!P147)*0.81818))/U86,0)</f>
        <v>32205.7891207154</v>
      </c>
      <c r="W86" s="141">
        <f t="shared" si="19"/>
        <v>129660507.0000002</v>
      </c>
      <c r="X86" s="118"/>
    </row>
    <row r="87" spans="1:24" ht="15">
      <c r="A87" s="119" t="s">
        <v>373</v>
      </c>
      <c r="B87" s="137" t="s">
        <v>728</v>
      </c>
      <c r="C87" s="137">
        <f>('Grouped Summary'!C140+'Grouped Summary'!C148)</f>
        <v>0</v>
      </c>
      <c r="D87" s="145">
        <f>IF(C87&gt;0,(('Grouped Summary'!C140*'Grouped Summary'!D140)+(('Grouped Summary'!C148*'Grouped Summary'!D148)*0.81818))/C87,0)</f>
        <v>0</v>
      </c>
      <c r="E87" s="145">
        <f t="shared" si="14"/>
        <v>0</v>
      </c>
      <c r="F87" s="137">
        <f>('Grouped Summary'!E140+'Grouped Summary'!E148)</f>
        <v>0</v>
      </c>
      <c r="G87" s="145">
        <f>IF(F87&gt;0,(('Grouped Summary'!E140*'Grouped Summary'!F140)+(('Grouped Summary'!E148*'Grouped Summary'!F148)*0.81818))/F87,0)</f>
        <v>0</v>
      </c>
      <c r="H87" s="145">
        <f t="shared" si="15"/>
        <v>0</v>
      </c>
      <c r="I87" s="137">
        <f>('Grouped Summary'!G140+'Grouped Summary'!G148)</f>
        <v>0</v>
      </c>
      <c r="J87" s="145">
        <f>IF(I87&gt;0,(('Grouped Summary'!G140*'Grouped Summary'!H140)+(('Grouped Summary'!G148*'Grouped Summary'!H148)*0.81818))/I87,0)</f>
        <v>0</v>
      </c>
      <c r="K87" s="145">
        <f t="shared" si="16"/>
        <v>0</v>
      </c>
      <c r="L87" s="137">
        <f>('Grouped Summary'!I140+'Grouped Summary'!I148)</f>
        <v>0</v>
      </c>
      <c r="M87" s="145">
        <f>IF(L87&gt;0,(('Grouped Summary'!I140*'Grouped Summary'!J140)+(('Grouped Summary'!I148*'Grouped Summary'!J148)*0.81818))/L87,0)</f>
        <v>0</v>
      </c>
      <c r="N87" s="145">
        <f t="shared" si="17"/>
        <v>0</v>
      </c>
      <c r="O87" s="137">
        <f>('Grouped Summary'!K140+'Grouped Summary'!K148)</f>
        <v>0</v>
      </c>
      <c r="P87" s="145">
        <f>IF(O87&gt;0,(('Grouped Summary'!K140*'Grouped Summary'!L140)+(('Grouped Summary'!K148*'Grouped Summary'!L148)*0.81818))/O87,0)</f>
        <v>0</v>
      </c>
      <c r="Q87" s="145">
        <f t="shared" si="20"/>
        <v>0</v>
      </c>
      <c r="R87" s="137">
        <f>('Grouped Summary'!M140+'Grouped Summary'!M148)</f>
        <v>0</v>
      </c>
      <c r="S87" s="145">
        <f>IF(R87&gt;0,(('Grouped Summary'!M140*'Grouped Summary'!N140)+(('Grouped Summary'!M148*'Grouped Summary'!N148)*0.81818))/R87,0)</f>
        <v>0</v>
      </c>
      <c r="T87" s="145">
        <f t="shared" si="18"/>
        <v>0</v>
      </c>
      <c r="U87" s="137">
        <f>('Grouped Summary'!O140+'Grouped Summary'!O148)</f>
        <v>0</v>
      </c>
      <c r="V87" s="145">
        <f>IF(U87&gt;0,(('Grouped Summary'!O140*'Grouped Summary'!P140)+(('Grouped Summary'!O148*'Grouped Summary'!P148)*0.81818))/U87,0)</f>
        <v>0</v>
      </c>
      <c r="W87" s="145">
        <f t="shared" si="19"/>
        <v>0</v>
      </c>
      <c r="X87" s="118"/>
    </row>
    <row r="88" spans="1:24" ht="15">
      <c r="A88" s="118" t="s">
        <v>462</v>
      </c>
      <c r="B88" s="128" t="s">
        <v>721</v>
      </c>
      <c r="C88" s="128">
        <f>('Grouped Summary'!C149+'Grouped Summary'!C157)</f>
        <v>570</v>
      </c>
      <c r="D88" s="141">
        <f>IF(C88&gt;0,(('Grouped Summary'!C149*'Grouped Summary'!D149)+(('Grouped Summary'!C157*'Grouped Summary'!D157)*0.81818))/C88,0)</f>
        <v>70759.51282947368</v>
      </c>
      <c r="E88" s="141">
        <f t="shared" si="14"/>
        <v>40332922.3128</v>
      </c>
      <c r="F88" s="128">
        <f>('Grouped Summary'!E149+'Grouped Summary'!E157)</f>
        <v>507</v>
      </c>
      <c r="G88" s="141">
        <f>IF(F88&gt;0,(('Grouped Summary'!E149*'Grouped Summary'!F149)+(('Grouped Summary'!E157*'Grouped Summary'!F157)*0.81818))/F88,0)</f>
        <v>48479.53496402367</v>
      </c>
      <c r="H88" s="141">
        <f t="shared" si="15"/>
        <v>24579124.22676</v>
      </c>
      <c r="I88" s="128">
        <f>('Grouped Summary'!G149+'Grouped Summary'!G157)</f>
        <v>367</v>
      </c>
      <c r="J88" s="141">
        <f>IF(I88&gt;0,(('Grouped Summary'!G149*'Grouped Summary'!H149)+(('Grouped Summary'!G157*'Grouped Summary'!H157)*0.81818))/I88,0)</f>
        <v>40357.85015215264</v>
      </c>
      <c r="K88" s="141">
        <f t="shared" si="16"/>
        <v>14811331.00584002</v>
      </c>
      <c r="L88" s="128">
        <f>('Grouped Summary'!I149+'Grouped Summary'!I157)</f>
        <v>81</v>
      </c>
      <c r="M88" s="141">
        <f>IF(L88&gt;0,(('Grouped Summary'!I149*'Grouped Summary'!J149)+(('Grouped Summary'!I157*'Grouped Summary'!J157)*0.81818))/L88,0)</f>
        <v>25138.508429629648</v>
      </c>
      <c r="N88" s="141">
        <f t="shared" si="17"/>
        <v>2036219.1828000015</v>
      </c>
      <c r="O88" s="128">
        <f>('Grouped Summary'!K149+'Grouped Summary'!K157)</f>
        <v>0</v>
      </c>
      <c r="P88" s="141">
        <f>IF(O88&gt;0,(('Grouped Summary'!K149*'Grouped Summary'!L149)+(('Grouped Summary'!K157*'Grouped Summary'!L157)*0.81818))/O88,0)</f>
        <v>0</v>
      </c>
      <c r="Q88" s="141">
        <f t="shared" si="20"/>
        <v>0</v>
      </c>
      <c r="R88" s="128">
        <f>('Grouped Summary'!M149+'Grouped Summary'!M157)</f>
        <v>0</v>
      </c>
      <c r="S88" s="141">
        <f>IF(R88&gt;0,(('Grouped Summary'!M149*'Grouped Summary'!N149)+(('Grouped Summary'!M157*'Grouped Summary'!N157)*0.81818))/R88,0)</f>
        <v>0</v>
      </c>
      <c r="T88" s="141">
        <f t="shared" si="18"/>
        <v>0</v>
      </c>
      <c r="U88" s="128">
        <f>('Grouped Summary'!O149+'Grouped Summary'!O157)</f>
        <v>1525</v>
      </c>
      <c r="V88" s="141">
        <f>IF(U88&gt;0,(('Grouped Summary'!O149*'Grouped Summary'!P149)+(('Grouped Summary'!O157*'Grouped Summary'!P157)*0.81818))/U88,0)</f>
        <v>53612.850313573785</v>
      </c>
      <c r="W88" s="141">
        <f t="shared" si="19"/>
        <v>81759596.72820002</v>
      </c>
      <c r="X88" s="118"/>
    </row>
    <row r="89" spans="1:24" ht="15">
      <c r="A89" s="118" t="s">
        <v>462</v>
      </c>
      <c r="B89" s="128" t="s">
        <v>722</v>
      </c>
      <c r="C89" s="128">
        <f>('Grouped Summary'!C150+'Grouped Summary'!C158)</f>
        <v>0</v>
      </c>
      <c r="D89" s="141">
        <f>IF(C89&gt;0,(('Grouped Summary'!C150*'Grouped Summary'!D150)+(('Grouped Summary'!C158*'Grouped Summary'!D158)*0.81818))/C89,0)</f>
        <v>0</v>
      </c>
      <c r="E89" s="141">
        <f t="shared" si="14"/>
        <v>0</v>
      </c>
      <c r="F89" s="128">
        <f>('Grouped Summary'!E150+'Grouped Summary'!E158)</f>
        <v>0</v>
      </c>
      <c r="G89" s="141">
        <f>IF(F89&gt;0,(('Grouped Summary'!E150*'Grouped Summary'!F150)+(('Grouped Summary'!E158*'Grouped Summary'!F158)*0.81818))/F89,0)</f>
        <v>0</v>
      </c>
      <c r="H89" s="141">
        <f t="shared" si="15"/>
        <v>0</v>
      </c>
      <c r="I89" s="128">
        <f>('Grouped Summary'!G150+'Grouped Summary'!G158)</f>
        <v>0</v>
      </c>
      <c r="J89" s="141">
        <f>IF(I89&gt;0,(('Grouped Summary'!G150*'Grouped Summary'!H150)+(('Grouped Summary'!G158*'Grouped Summary'!H158)*0.81818))/I89,0)</f>
        <v>0</v>
      </c>
      <c r="K89" s="141">
        <f t="shared" si="16"/>
        <v>0</v>
      </c>
      <c r="L89" s="128">
        <f>('Grouped Summary'!I150+'Grouped Summary'!I158)</f>
        <v>0</v>
      </c>
      <c r="M89" s="141">
        <f>IF(L89&gt;0,(('Grouped Summary'!I150*'Grouped Summary'!J150)+(('Grouped Summary'!I158*'Grouped Summary'!J158)*0.81818))/L89,0)</f>
        <v>0</v>
      </c>
      <c r="N89" s="141">
        <f t="shared" si="17"/>
        <v>0</v>
      </c>
      <c r="O89" s="128">
        <f>('Grouped Summary'!K150+'Grouped Summary'!K158)</f>
        <v>0</v>
      </c>
      <c r="P89" s="141">
        <f>IF(O89&gt;0,(('Grouped Summary'!K150*'Grouped Summary'!L150)+(('Grouped Summary'!K158*'Grouped Summary'!L158)*0.81818))/O89,0)</f>
        <v>0</v>
      </c>
      <c r="Q89" s="141">
        <f t="shared" si="20"/>
        <v>0</v>
      </c>
      <c r="R89" s="128">
        <f>('Grouped Summary'!M150+'Grouped Summary'!M158)</f>
        <v>0</v>
      </c>
      <c r="S89" s="141">
        <f>IF(R89&gt;0,(('Grouped Summary'!M150*'Grouped Summary'!N150)+(('Grouped Summary'!M158*'Grouped Summary'!N158)*0.81818))/R89,0)</f>
        <v>0</v>
      </c>
      <c r="T89" s="141">
        <f t="shared" si="18"/>
        <v>0</v>
      </c>
      <c r="U89" s="128">
        <f>('Grouped Summary'!O150+'Grouped Summary'!O158)</f>
        <v>0</v>
      </c>
      <c r="V89" s="141">
        <f>IF(U89&gt;0,(('Grouped Summary'!O150*'Grouped Summary'!P150)+(('Grouped Summary'!O158*'Grouped Summary'!P158)*0.81818))/U89,0)</f>
        <v>0</v>
      </c>
      <c r="W89" s="141">
        <f t="shared" si="19"/>
        <v>0</v>
      </c>
      <c r="X89" s="118"/>
    </row>
    <row r="90" spans="1:24" ht="15">
      <c r="A90" s="118" t="s">
        <v>462</v>
      </c>
      <c r="B90" s="128" t="s">
        <v>723</v>
      </c>
      <c r="C90" s="128">
        <f>('Grouped Summary'!C151+'Grouped Summary'!C159)</f>
        <v>115</v>
      </c>
      <c r="D90" s="141">
        <f>IF(C90&gt;0,(('Grouped Summary'!C151*'Grouped Summary'!D151)+(('Grouped Summary'!C159*'Grouped Summary'!D159)*0.81818))/C90,0)</f>
        <v>55667</v>
      </c>
      <c r="E90" s="141">
        <f t="shared" si="14"/>
        <v>6401705</v>
      </c>
      <c r="F90" s="128">
        <f>('Grouped Summary'!E151+'Grouped Summary'!E159)</f>
        <v>86</v>
      </c>
      <c r="G90" s="141">
        <f>IF(F90&gt;0,(('Grouped Summary'!E151*'Grouped Summary'!F151)+(('Grouped Summary'!E159*'Grouped Summary'!F159)*0.81818))/F90,0)</f>
        <v>48973</v>
      </c>
      <c r="H90" s="141">
        <f t="shared" si="15"/>
        <v>4211678</v>
      </c>
      <c r="I90" s="128">
        <f>('Grouped Summary'!G151+'Grouped Summary'!G159)</f>
        <v>133</v>
      </c>
      <c r="J90" s="141">
        <f>IF(I90&gt;0,(('Grouped Summary'!G151*'Grouped Summary'!H151)+(('Grouped Summary'!G159*'Grouped Summary'!H159)*0.81818))/I90,0)</f>
        <v>43610</v>
      </c>
      <c r="K90" s="141">
        <f t="shared" si="16"/>
        <v>5800130</v>
      </c>
      <c r="L90" s="128">
        <f>('Grouped Summary'!I151+'Grouped Summary'!I159)</f>
        <v>45</v>
      </c>
      <c r="M90" s="141">
        <f>IF(L90&gt;0,(('Grouped Summary'!I151*'Grouped Summary'!J151)+(('Grouped Summary'!I159*'Grouped Summary'!J159)*0.81818))/L90,0)</f>
        <v>35392</v>
      </c>
      <c r="N90" s="141">
        <f t="shared" si="17"/>
        <v>1592640</v>
      </c>
      <c r="O90" s="128">
        <f>('Grouped Summary'!K151+'Grouped Summary'!K159)</f>
        <v>0</v>
      </c>
      <c r="P90" s="141">
        <f>IF(O90&gt;0,(('Grouped Summary'!K151*'Grouped Summary'!L151)+(('Grouped Summary'!K159*'Grouped Summary'!L159)*0.81818))/O90,0)</f>
        <v>0</v>
      </c>
      <c r="Q90" s="141">
        <f t="shared" si="20"/>
        <v>0</v>
      </c>
      <c r="R90" s="128">
        <f>('Grouped Summary'!M151+'Grouped Summary'!M159)</f>
        <v>0</v>
      </c>
      <c r="S90" s="141">
        <f>IF(R90&gt;0,(('Grouped Summary'!M151*'Grouped Summary'!N151)+(('Grouped Summary'!M159*'Grouped Summary'!N159)*0.81818))/R90,0)</f>
        <v>0</v>
      </c>
      <c r="T90" s="141">
        <f t="shared" si="18"/>
        <v>0</v>
      </c>
      <c r="U90" s="128">
        <f>('Grouped Summary'!O151+'Grouped Summary'!O159)</f>
        <v>379</v>
      </c>
      <c r="V90" s="141">
        <f>IF(U90&gt;0,(('Grouped Summary'!O151*'Grouped Summary'!P151)+(('Grouped Summary'!O159*'Grouped Summary'!P159)*0.81818))/U90,0)</f>
        <v>47509.63852242744</v>
      </c>
      <c r="W90" s="141">
        <f t="shared" si="19"/>
        <v>18006153</v>
      </c>
      <c r="X90" s="118"/>
    </row>
    <row r="91" spans="1:24" ht="15">
      <c r="A91" s="118" t="s">
        <v>462</v>
      </c>
      <c r="B91" s="128" t="s">
        <v>724</v>
      </c>
      <c r="C91" s="128">
        <f>('Grouped Summary'!C152+'Grouped Summary'!C160)</f>
        <v>126</v>
      </c>
      <c r="D91" s="141">
        <f>IF(C91&gt;0,(('Grouped Summary'!C152*'Grouped Summary'!D152)+(('Grouped Summary'!C160*'Grouped Summary'!D160)*0.81818))/C91,0)</f>
        <v>51793.57643063496</v>
      </c>
      <c r="E91" s="141">
        <f t="shared" si="14"/>
        <v>6525990.630260005</v>
      </c>
      <c r="F91" s="128">
        <f>('Grouped Summary'!E152+'Grouped Summary'!E160)</f>
        <v>92</v>
      </c>
      <c r="G91" s="141">
        <f>IF(F91&gt;0,(('Grouped Summary'!E152*'Grouped Summary'!F152)+(('Grouped Summary'!E160*'Grouped Summary'!F160)*0.81818))/F91,0)</f>
        <v>44246.71835913046</v>
      </c>
      <c r="H91" s="141">
        <f t="shared" si="15"/>
        <v>4070698.089040002</v>
      </c>
      <c r="I91" s="128">
        <f>('Grouped Summary'!G152+'Grouped Summary'!G160)</f>
        <v>160</v>
      </c>
      <c r="J91" s="141">
        <f>IF(I91&gt;0,(('Grouped Summary'!G152*'Grouped Summary'!H152)+(('Grouped Summary'!G160*'Grouped Summary'!H160)*0.81818))/I91,0)</f>
        <v>39270.41730600001</v>
      </c>
      <c r="K91" s="141">
        <f t="shared" si="16"/>
        <v>6283266.768960002</v>
      </c>
      <c r="L91" s="128">
        <f>('Grouped Summary'!I152+'Grouped Summary'!I160)</f>
        <v>106</v>
      </c>
      <c r="M91" s="141">
        <f>IF(L91&gt;0,(('Grouped Summary'!I152*'Grouped Summary'!J152)+(('Grouped Summary'!I160*'Grouped Summary'!J160)*0.81818))/L91,0)</f>
        <v>32581.851018867914</v>
      </c>
      <c r="N91" s="141">
        <f t="shared" si="17"/>
        <v>3453676.2079999987</v>
      </c>
      <c r="O91" s="128">
        <f>('Grouped Summary'!K152+'Grouped Summary'!K160)</f>
        <v>0</v>
      </c>
      <c r="P91" s="141">
        <f>IF(O91&gt;0,(('Grouped Summary'!K152*'Grouped Summary'!L152)+(('Grouped Summary'!K160*'Grouped Summary'!L160)*0.81818))/O91,0)</f>
        <v>0</v>
      </c>
      <c r="Q91" s="141">
        <f t="shared" si="20"/>
        <v>0</v>
      </c>
      <c r="R91" s="128">
        <f>('Grouped Summary'!M152+'Grouped Summary'!M160)</f>
        <v>0</v>
      </c>
      <c r="S91" s="141">
        <f>IF(R91&gt;0,(('Grouped Summary'!M152*'Grouped Summary'!N152)+(('Grouped Summary'!M160*'Grouped Summary'!N160)*0.81818))/R91,0)</f>
        <v>0</v>
      </c>
      <c r="T91" s="141">
        <f t="shared" si="18"/>
        <v>0</v>
      </c>
      <c r="U91" s="128">
        <f>('Grouped Summary'!O152+'Grouped Summary'!O160)</f>
        <v>484</v>
      </c>
      <c r="V91" s="141">
        <f>IF(U91&gt;0,(('Grouped Summary'!O152*'Grouped Summary'!P152)+(('Grouped Summary'!O160*'Grouped Summary'!P160)*0.81818))/U91,0)</f>
        <v>42011.63573607439</v>
      </c>
      <c r="W91" s="141">
        <f t="shared" si="19"/>
        <v>20333631.696260005</v>
      </c>
      <c r="X91" s="118"/>
    </row>
    <row r="92" spans="1:24" ht="15">
      <c r="A92" s="118" t="s">
        <v>462</v>
      </c>
      <c r="B92" s="128" t="s">
        <v>725</v>
      </c>
      <c r="C92" s="128">
        <f>('Grouped Summary'!C153+'Grouped Summary'!C161)</f>
        <v>126</v>
      </c>
      <c r="D92" s="141">
        <f>IF(C92&gt;0,(('Grouped Summary'!C153*'Grouped Summary'!D153)+(('Grouped Summary'!C161*'Grouped Summary'!D161)*0.81818))/C92,0)</f>
        <v>50085.65989206349</v>
      </c>
      <c r="E92" s="141">
        <f t="shared" si="14"/>
        <v>6310793.1464</v>
      </c>
      <c r="F92" s="128">
        <f>('Grouped Summary'!E153+'Grouped Summary'!E161)</f>
        <v>108</v>
      </c>
      <c r="G92" s="141">
        <f>IF(F92&gt;0,(('Grouped Summary'!E153*'Grouped Summary'!F153)+(('Grouped Summary'!E161*'Grouped Summary'!F161)*0.81818))/F92,0)</f>
        <v>43136.5555555556</v>
      </c>
      <c r="H92" s="141">
        <f t="shared" si="15"/>
        <v>4658748.000000005</v>
      </c>
      <c r="I92" s="128">
        <f>('Grouped Summary'!G153+'Grouped Summary'!G161)</f>
        <v>206</v>
      </c>
      <c r="J92" s="141">
        <f>IF(I92&gt;0,(('Grouped Summary'!G153*'Grouped Summary'!H153)+(('Grouped Summary'!G161*'Grouped Summary'!H161)*0.81818))/I92,0)</f>
        <v>37853.1844660194</v>
      </c>
      <c r="K92" s="141">
        <f t="shared" si="16"/>
        <v>7797755.999999995</v>
      </c>
      <c r="L92" s="128">
        <f>('Grouped Summary'!I153+'Grouped Summary'!I161)</f>
        <v>113</v>
      </c>
      <c r="M92" s="141">
        <f>IF(L92&gt;0,(('Grouped Summary'!I153*'Grouped Summary'!J153)+(('Grouped Summary'!I161*'Grouped Summary'!J161)*0.81818))/L92,0)</f>
        <v>31667.823243893774</v>
      </c>
      <c r="N92" s="141">
        <f t="shared" si="17"/>
        <v>3578464.0265599964</v>
      </c>
      <c r="O92" s="128">
        <f>('Grouped Summary'!K153+'Grouped Summary'!K161)</f>
        <v>0</v>
      </c>
      <c r="P92" s="141">
        <f>IF(O92&gt;0,(('Grouped Summary'!K153*'Grouped Summary'!L153)+(('Grouped Summary'!K161*'Grouped Summary'!L161)*0.81818))/O92,0)</f>
        <v>0</v>
      </c>
      <c r="Q92" s="141">
        <f t="shared" si="20"/>
        <v>0</v>
      </c>
      <c r="R92" s="128">
        <f>('Grouped Summary'!M153+'Grouped Summary'!M161)</f>
        <v>0</v>
      </c>
      <c r="S92" s="141">
        <f>IF(R92&gt;0,(('Grouped Summary'!M153*'Grouped Summary'!N153)+(('Grouped Summary'!M161*'Grouped Summary'!N161)*0.81818))/R92,0)</f>
        <v>0</v>
      </c>
      <c r="T92" s="141">
        <f t="shared" si="18"/>
        <v>0</v>
      </c>
      <c r="U92" s="128">
        <f>('Grouped Summary'!O153+'Grouped Summary'!O161)</f>
        <v>553</v>
      </c>
      <c r="V92" s="141">
        <f>IF(U92&gt;0,(('Grouped Summary'!O153*'Grouped Summary'!P153)+(('Grouped Summary'!O161*'Grouped Summary'!P161)*0.81818))/U92,0)</f>
        <v>40408.24805236889</v>
      </c>
      <c r="W92" s="141">
        <f t="shared" si="19"/>
        <v>22345761.172959995</v>
      </c>
      <c r="X92" s="118"/>
    </row>
    <row r="93" spans="1:24" ht="15">
      <c r="A93" s="118" t="s">
        <v>462</v>
      </c>
      <c r="B93" s="128" t="s">
        <v>726</v>
      </c>
      <c r="C93" s="128">
        <f>('Grouped Summary'!C154+'Grouped Summary'!C162)</f>
        <v>26</v>
      </c>
      <c r="D93" s="141">
        <f>IF(C93&gt;0,(('Grouped Summary'!C154*'Grouped Summary'!D154)+(('Grouped Summary'!C162*'Grouped Summary'!D162)*0.81818))/C93,0)</f>
        <v>45740.15858461541</v>
      </c>
      <c r="E93" s="141">
        <f t="shared" si="14"/>
        <v>1189244.1232000007</v>
      </c>
      <c r="F93" s="128">
        <f>('Grouped Summary'!E154+'Grouped Summary'!E162)</f>
        <v>59</v>
      </c>
      <c r="G93" s="141">
        <f>IF(F93&gt;0,(('Grouped Summary'!E154*'Grouped Summary'!F154)+(('Grouped Summary'!E162*'Grouped Summary'!F162)*0.81818))/F93,0)</f>
        <v>41576.720077966114</v>
      </c>
      <c r="H93" s="141">
        <f t="shared" si="15"/>
        <v>2453026.4846000005</v>
      </c>
      <c r="I93" s="128">
        <f>('Grouped Summary'!G154+'Grouped Summary'!G162)</f>
        <v>77</v>
      </c>
      <c r="J93" s="141">
        <f>IF(I93&gt;0,(('Grouped Summary'!G154*'Grouped Summary'!H154)+(('Grouped Summary'!G162*'Grouped Summary'!H162)*0.81818))/I93,0)</f>
        <v>35152.41817142854</v>
      </c>
      <c r="K93" s="141">
        <f t="shared" si="16"/>
        <v>2706736.1991999974</v>
      </c>
      <c r="L93" s="128">
        <f>('Grouped Summary'!I154+'Grouped Summary'!I162)</f>
        <v>62</v>
      </c>
      <c r="M93" s="141">
        <f>IF(L93&gt;0,(('Grouped Summary'!I154*'Grouped Summary'!J154)+(('Grouped Summary'!I162*'Grouped Summary'!J162)*0.81818))/L93,0)</f>
        <v>30696.48938387095</v>
      </c>
      <c r="N93" s="141">
        <f t="shared" si="17"/>
        <v>1903182.341799999</v>
      </c>
      <c r="O93" s="128">
        <f>('Grouped Summary'!K154+'Grouped Summary'!K162)</f>
        <v>0</v>
      </c>
      <c r="P93" s="141">
        <f>IF(O93&gt;0,(('Grouped Summary'!K154*'Grouped Summary'!L154)+(('Grouped Summary'!K162*'Grouped Summary'!L162)*0.81818))/O93,0)</f>
        <v>0</v>
      </c>
      <c r="Q93" s="141">
        <f t="shared" si="20"/>
        <v>0</v>
      </c>
      <c r="R93" s="128">
        <f>('Grouped Summary'!M154+'Grouped Summary'!M162)</f>
        <v>0</v>
      </c>
      <c r="S93" s="141">
        <f>IF(R93&gt;0,(('Grouped Summary'!M154*'Grouped Summary'!N154)+(('Grouped Summary'!M162*'Grouped Summary'!N162)*0.81818))/R93,0)</f>
        <v>0</v>
      </c>
      <c r="T93" s="141">
        <f t="shared" si="18"/>
        <v>0</v>
      </c>
      <c r="U93" s="128">
        <f>('Grouped Summary'!O154+'Grouped Summary'!O162)</f>
        <v>224</v>
      </c>
      <c r="V93" s="141">
        <f>IF(U93&gt;0,(('Grouped Summary'!O154*'Grouped Summary'!P154)+(('Grouped Summary'!O162*'Grouped Summary'!P162)*0.81818))/U93,0)</f>
        <v>36840.130128571414</v>
      </c>
      <c r="W93" s="141">
        <f t="shared" si="19"/>
        <v>8252189.148799997</v>
      </c>
      <c r="X93" s="118"/>
    </row>
    <row r="94" spans="1:24" ht="15">
      <c r="A94" s="118"/>
      <c r="B94" s="142" t="s">
        <v>797</v>
      </c>
      <c r="C94" s="143">
        <f>SUM(C88:C93)</f>
        <v>963</v>
      </c>
      <c r="D94" s="144">
        <f>((C88*D88)+(C89*D89)+(C90*D90)+(C91*D91)+(C92*D92)+(C93*D93))/C94</f>
        <v>63095.17675250259</v>
      </c>
      <c r="E94" s="141">
        <f t="shared" si="14"/>
        <v>60760655.21266</v>
      </c>
      <c r="F94" s="143">
        <f>SUM(F88:F93)</f>
        <v>852</v>
      </c>
      <c r="G94" s="144">
        <f>((F88*G88)+(F89*G89)+(F90*G90)+(F91*G91)+(F92*G92)+(F93*G93))/F94</f>
        <v>46916.98920234743</v>
      </c>
      <c r="H94" s="141">
        <f t="shared" si="15"/>
        <v>39973274.80040001</v>
      </c>
      <c r="I94" s="143">
        <f>SUM(I88:I93)</f>
        <v>943</v>
      </c>
      <c r="J94" s="144">
        <f>((I88*J88)+(I89*J89)+(I90*J90)+(I91*J91)+(I92*J92)+(I93*J93))/I94</f>
        <v>39659.830301166505</v>
      </c>
      <c r="K94" s="141">
        <f t="shared" si="16"/>
        <v>37399219.974000014</v>
      </c>
      <c r="L94" s="143">
        <f>SUM(L88:L93)</f>
        <v>407</v>
      </c>
      <c r="M94" s="144">
        <f>((L88*M88)+(L89*M89)+(L90*M90)+(L91*M91)+(L92*M92)+(L93*M93))/L94</f>
        <v>30870.22545248156</v>
      </c>
      <c r="N94" s="141">
        <f t="shared" si="17"/>
        <v>12564181.759159995</v>
      </c>
      <c r="O94" s="143">
        <f>SUM(O88:O93)</f>
        <v>0</v>
      </c>
      <c r="P94" s="144">
        <f>IF(O94&gt;0,((O88*P88)+(O89*P89)+(O90*P90)+(O91*P91)+(O92*P92)+(O93*P93))/O94,0)</f>
        <v>0</v>
      </c>
      <c r="Q94" s="141">
        <f>IF(O94&gt;0,(O94*P94),0)</f>
        <v>0</v>
      </c>
      <c r="R94" s="143">
        <f>SUM(R88:R93)</f>
        <v>0</v>
      </c>
      <c r="S94" s="144">
        <f>IF(R94&gt;0,((R88*S88)+(R89*S89)+(R90*S90)+(R91*S91)+(R92*S92)+(R93*S93))/R94,0)</f>
        <v>0</v>
      </c>
      <c r="T94" s="141">
        <f t="shared" si="18"/>
        <v>0</v>
      </c>
      <c r="U94" s="143">
        <f>SUM(U88:U93)</f>
        <v>3165</v>
      </c>
      <c r="V94" s="144">
        <f>((U88*V88)+(U89*V89)+(U90*V90)+(U91*V91)+(U92*V92)+(U93*V93))/U94</f>
        <v>47613.69091507741</v>
      </c>
      <c r="W94" s="141">
        <f t="shared" si="19"/>
        <v>150697331.74622</v>
      </c>
      <c r="X94" s="118"/>
    </row>
    <row r="95" spans="1:24" ht="15">
      <c r="A95" s="118" t="s">
        <v>462</v>
      </c>
      <c r="B95" s="128" t="s">
        <v>727</v>
      </c>
      <c r="C95" s="128">
        <f>('Grouped Summary'!C155+'Grouped Summary'!C163)</f>
        <v>0</v>
      </c>
      <c r="D95" s="141">
        <f>IF(C95&gt;0,(('Grouped Summary'!C155*'Grouped Summary'!D155)+(('Grouped Summary'!C163*'Grouped Summary'!D163)*0.81818))/C95,0)</f>
        <v>0</v>
      </c>
      <c r="E95" s="141">
        <f t="shared" si="14"/>
        <v>0</v>
      </c>
      <c r="F95" s="128">
        <f>('Grouped Summary'!E155+'Grouped Summary'!E163)</f>
        <v>0</v>
      </c>
      <c r="G95" s="141">
        <f>IF(F95&gt;0,(('Grouped Summary'!E155*'Grouped Summary'!F155)+(('Grouped Summary'!E163*'Grouped Summary'!F163)*0.81818))/F95,0)</f>
        <v>0</v>
      </c>
      <c r="H95" s="141">
        <f t="shared" si="15"/>
        <v>0</v>
      </c>
      <c r="I95" s="128">
        <f>('Grouped Summary'!G155+'Grouped Summary'!G163)</f>
        <v>0</v>
      </c>
      <c r="J95" s="141">
        <f>IF(I95&gt;0,(('Grouped Summary'!G155*'Grouped Summary'!H155)+(('Grouped Summary'!G163*'Grouped Summary'!H163)*0.81818))/I95,0)</f>
        <v>0</v>
      </c>
      <c r="K95" s="141">
        <f t="shared" si="16"/>
        <v>0</v>
      </c>
      <c r="L95" s="128">
        <f>('Grouped Summary'!I155+'Grouped Summary'!I163)</f>
        <v>0</v>
      </c>
      <c r="M95" s="141">
        <f>IF(L95&gt;0,(('Grouped Summary'!I155*'Grouped Summary'!J155)+(('Grouped Summary'!I163*'Grouped Summary'!J163)*0.81818))/L95,0)</f>
        <v>0</v>
      </c>
      <c r="N95" s="141">
        <f t="shared" si="17"/>
        <v>0</v>
      </c>
      <c r="O95" s="128">
        <f>('Grouped Summary'!K155+'Grouped Summary'!K163)</f>
        <v>0</v>
      </c>
      <c r="P95" s="141">
        <f>IF(O95&gt;0,(('Grouped Summary'!K155*'Grouped Summary'!L155)+(('Grouped Summary'!K163*'Grouped Summary'!L163)*0.81818))/O95,0)</f>
        <v>0</v>
      </c>
      <c r="Q95" s="141">
        <f aca="true" t="shared" si="21" ref="Q95:Q126">O95*P95</f>
        <v>0</v>
      </c>
      <c r="R95" s="128">
        <f>('Grouped Summary'!M155+'Grouped Summary'!M163)</f>
        <v>1164</v>
      </c>
      <c r="S95" s="141">
        <f>IF(R95&gt;0,(('Grouped Summary'!M155*'Grouped Summary'!N155)+(('Grouped Summary'!M163*'Grouped Summary'!N163)*0.81818))/R95,0)</f>
        <v>36632.720558230256</v>
      </c>
      <c r="T95" s="141">
        <f t="shared" si="18"/>
        <v>42640486.72978002</v>
      </c>
      <c r="U95" s="128">
        <f>('Grouped Summary'!O155+'Grouped Summary'!O163)</f>
        <v>1164</v>
      </c>
      <c r="V95" s="141">
        <f>IF(U95&gt;0,(('Grouped Summary'!O155*'Grouped Summary'!P155)+(('Grouped Summary'!O163*'Grouped Summary'!P163)*0.81818))/U95,0)</f>
        <v>36632.720558230256</v>
      </c>
      <c r="W95" s="141">
        <f t="shared" si="19"/>
        <v>42640486.72978002</v>
      </c>
      <c r="X95" s="118"/>
    </row>
    <row r="96" spans="1:24" ht="15">
      <c r="A96" s="119" t="s">
        <v>462</v>
      </c>
      <c r="B96" s="137" t="s">
        <v>728</v>
      </c>
      <c r="C96" s="137">
        <f>('Grouped Summary'!C156+'Grouped Summary'!C164)</f>
        <v>0</v>
      </c>
      <c r="D96" s="145">
        <f>IF(C96&gt;0,(('Grouped Summary'!C156*'Grouped Summary'!D156)+(('Grouped Summary'!C164*'Grouped Summary'!D164)*0.81818))/C96,0)</f>
        <v>0</v>
      </c>
      <c r="E96" s="145">
        <f t="shared" si="14"/>
        <v>0</v>
      </c>
      <c r="F96" s="137">
        <f>('Grouped Summary'!E156+'Grouped Summary'!E164)</f>
        <v>0</v>
      </c>
      <c r="G96" s="145">
        <f>IF(F96&gt;0,(('Grouped Summary'!E156*'Grouped Summary'!F156)+(('Grouped Summary'!E164*'Grouped Summary'!F164)*0.81818))/F96,0)</f>
        <v>0</v>
      </c>
      <c r="H96" s="145">
        <f t="shared" si="15"/>
        <v>0</v>
      </c>
      <c r="I96" s="137">
        <f>('Grouped Summary'!G156+'Grouped Summary'!G164)</f>
        <v>0</v>
      </c>
      <c r="J96" s="145">
        <f>IF(I96&gt;0,(('Grouped Summary'!G156*'Grouped Summary'!H156)+(('Grouped Summary'!G164*'Grouped Summary'!H164)*0.81818))/I96,0)</f>
        <v>0</v>
      </c>
      <c r="K96" s="145">
        <f t="shared" si="16"/>
        <v>0</v>
      </c>
      <c r="L96" s="137">
        <f>('Grouped Summary'!I156+'Grouped Summary'!I164)</f>
        <v>0</v>
      </c>
      <c r="M96" s="145">
        <f>IF(L96&gt;0,(('Grouped Summary'!I156*'Grouped Summary'!J156)+(('Grouped Summary'!I164*'Grouped Summary'!J164)*0.81818))/L96,0)</f>
        <v>0</v>
      </c>
      <c r="N96" s="145">
        <f t="shared" si="17"/>
        <v>0</v>
      </c>
      <c r="O96" s="137">
        <f>('Grouped Summary'!K156+'Grouped Summary'!K164)</f>
        <v>0</v>
      </c>
      <c r="P96" s="145">
        <f>IF(O96&gt;0,(('Grouped Summary'!K156*'Grouped Summary'!L156)+(('Grouped Summary'!K164*'Grouped Summary'!L164)*0.81818))/O96,0)</f>
        <v>0</v>
      </c>
      <c r="Q96" s="145">
        <f t="shared" si="21"/>
        <v>0</v>
      </c>
      <c r="R96" s="137">
        <f>('Grouped Summary'!M156+'Grouped Summary'!M164)</f>
        <v>0</v>
      </c>
      <c r="S96" s="145">
        <f>IF(R96&gt;0,(('Grouped Summary'!M156*'Grouped Summary'!N156)+(('Grouped Summary'!M164*'Grouped Summary'!N164)*0.81818))/R96,0)</f>
        <v>0</v>
      </c>
      <c r="T96" s="145">
        <f t="shared" si="18"/>
        <v>0</v>
      </c>
      <c r="U96" s="137">
        <f>('Grouped Summary'!O156+'Grouped Summary'!O164)</f>
        <v>0</v>
      </c>
      <c r="V96" s="145">
        <f>IF(U96&gt;0,(('Grouped Summary'!O156*'Grouped Summary'!P156)+(('Grouped Summary'!O164*'Grouped Summary'!P164)*0.81818))/U96,0)</f>
        <v>0</v>
      </c>
      <c r="W96" s="145">
        <f t="shared" si="19"/>
        <v>0</v>
      </c>
      <c r="X96" s="118"/>
    </row>
    <row r="97" spans="1:24" ht="15">
      <c r="A97" s="118" t="s">
        <v>492</v>
      </c>
      <c r="B97" s="128" t="s">
        <v>721</v>
      </c>
      <c r="C97" s="128">
        <f>('Grouped Summary'!C165+'Grouped Summary'!C173)</f>
        <v>399</v>
      </c>
      <c r="D97" s="141">
        <f>IF(C97&gt;0,(('Grouped Summary'!C165*'Grouped Summary'!D165)+(('Grouped Summary'!C173*'Grouped Summary'!D173)*0.81818))/C97,0)</f>
        <v>70716.26309308273</v>
      </c>
      <c r="E97" s="141">
        <f t="shared" si="14"/>
        <v>28215788.974140007</v>
      </c>
      <c r="F97" s="128">
        <f>('Grouped Summary'!E165+'Grouped Summary'!E173)</f>
        <v>340</v>
      </c>
      <c r="G97" s="141">
        <f>IF(F97&gt;0,(('Grouped Summary'!E165*'Grouped Summary'!F165)+(('Grouped Summary'!E173*'Grouped Summary'!F173)*0.81818))/F97,0)</f>
        <v>52788.745708352966</v>
      </c>
      <c r="H97" s="141">
        <f t="shared" si="15"/>
        <v>17948173.540840007</v>
      </c>
      <c r="I97" s="128">
        <f>('Grouped Summary'!G165+'Grouped Summary'!G173)</f>
        <v>192</v>
      </c>
      <c r="J97" s="141">
        <f>IF(I97&gt;0,(('Grouped Summary'!G165*'Grouped Summary'!H165)+(('Grouped Summary'!G173*'Grouped Summary'!H173)*0.81818))/I97,0)</f>
        <v>43385.48204312505</v>
      </c>
      <c r="K97" s="141">
        <f t="shared" si="16"/>
        <v>8330012.552280009</v>
      </c>
      <c r="L97" s="128">
        <f>('Grouped Summary'!I165+'Grouped Summary'!I173)</f>
        <v>65</v>
      </c>
      <c r="M97" s="141">
        <f>IF(L97&gt;0,(('Grouped Summary'!I165*'Grouped Summary'!J165)+(('Grouped Summary'!I173*'Grouped Summary'!J173)*0.81818))/L97,0)</f>
        <v>32661.831731692288</v>
      </c>
      <c r="N97" s="141">
        <f t="shared" si="17"/>
        <v>2123019.0625599986</v>
      </c>
      <c r="O97" s="128">
        <f>('Grouped Summary'!K165+'Grouped Summary'!K173)</f>
        <v>36</v>
      </c>
      <c r="P97" s="141">
        <f>IF(O97&gt;0,(('Grouped Summary'!K165*'Grouped Summary'!L165)+(('Grouped Summary'!K173*'Grouped Summary'!L173)*0.81818))/O97,0)</f>
        <v>40909.34168</v>
      </c>
      <c r="Q97" s="141">
        <f t="shared" si="21"/>
        <v>1472736.30048</v>
      </c>
      <c r="R97" s="128">
        <f>('Grouped Summary'!M165+'Grouped Summary'!M173)</f>
        <v>0</v>
      </c>
      <c r="S97" s="141">
        <f>IF(R97&gt;0,(('Grouped Summary'!M165*'Grouped Summary'!N165)+(('Grouped Summary'!M173*'Grouped Summary'!N173)*0.81818))/R97,0)</f>
        <v>0</v>
      </c>
      <c r="T97" s="141">
        <f t="shared" si="18"/>
        <v>0</v>
      </c>
      <c r="U97" s="128">
        <f>('Grouped Summary'!O165+'Grouped Summary'!O173)</f>
        <v>1032</v>
      </c>
      <c r="V97" s="141">
        <f>IF(U97&gt;0,(('Grouped Summary'!O165*'Grouped Summary'!P165)+(('Grouped Summary'!O173*'Grouped Summary'!P173)*0.81818))/U97,0)</f>
        <v>56288.498478972884</v>
      </c>
      <c r="W97" s="141">
        <f t="shared" si="19"/>
        <v>58089730.43030002</v>
      </c>
      <c r="X97" s="118"/>
    </row>
    <row r="98" spans="1:24" ht="15">
      <c r="A98" s="118" t="s">
        <v>492</v>
      </c>
      <c r="B98" s="128" t="s">
        <v>722</v>
      </c>
      <c r="C98" s="128">
        <f>('Grouped Summary'!C166+'Grouped Summary'!C174)</f>
        <v>368</v>
      </c>
      <c r="D98" s="141">
        <f>IF(C98&gt;0,(('Grouped Summary'!C166*'Grouped Summary'!D166)+(('Grouped Summary'!C174*'Grouped Summary'!D174)*0.81818))/C98,0)</f>
        <v>68844.44747782609</v>
      </c>
      <c r="E98" s="141">
        <f t="shared" si="14"/>
        <v>25334756.67184</v>
      </c>
      <c r="F98" s="128">
        <f>('Grouped Summary'!E166+'Grouped Summary'!E174)</f>
        <v>237</v>
      </c>
      <c r="G98" s="141">
        <f>IF(F98&gt;0,(('Grouped Summary'!E166*'Grouped Summary'!F166)+(('Grouped Summary'!E174*'Grouped Summary'!F174)*0.81818))/F98,0)</f>
        <v>51489.52984776369</v>
      </c>
      <c r="H98" s="141">
        <f t="shared" si="15"/>
        <v>12203018.573919995</v>
      </c>
      <c r="I98" s="128">
        <f>('Grouped Summary'!G166+'Grouped Summary'!G174)</f>
        <v>147</v>
      </c>
      <c r="J98" s="141">
        <f>IF(I98&gt;0,(('Grouped Summary'!G166*'Grouped Summary'!H166)+(('Grouped Summary'!G174*'Grouped Summary'!H174)*0.81818))/I98,0)</f>
        <v>41996.35044204085</v>
      </c>
      <c r="K98" s="141">
        <f t="shared" si="16"/>
        <v>6173463.514980005</v>
      </c>
      <c r="L98" s="128">
        <f>('Grouped Summary'!I166+'Grouped Summary'!I174)</f>
        <v>48</v>
      </c>
      <c r="M98" s="141">
        <f>IF(L98&gt;0,(('Grouped Summary'!I166*'Grouped Summary'!J166)+(('Grouped Summary'!I174*'Grouped Summary'!J174)*0.81818))/L98,0)</f>
        <v>24921</v>
      </c>
      <c r="N98" s="141">
        <f t="shared" si="17"/>
        <v>1196208</v>
      </c>
      <c r="O98" s="128">
        <f>('Grouped Summary'!K166+'Grouped Summary'!K174)</f>
        <v>65</v>
      </c>
      <c r="P98" s="141">
        <f>IF(O98&gt;0,(('Grouped Summary'!K166*'Grouped Summary'!L166)+(('Grouped Summary'!K174*'Grouped Summary'!L174)*0.81818))/O98,0)</f>
        <v>35664.514292615364</v>
      </c>
      <c r="Q98" s="141">
        <f t="shared" si="21"/>
        <v>2318193.4290199988</v>
      </c>
      <c r="R98" s="128">
        <f>('Grouped Summary'!M166+'Grouped Summary'!M174)</f>
        <v>0</v>
      </c>
      <c r="S98" s="141">
        <f>IF(R98&gt;0,(('Grouped Summary'!M166*'Grouped Summary'!N166)+(('Grouped Summary'!M174*'Grouped Summary'!N174)*0.81818))/R98,0)</f>
        <v>0</v>
      </c>
      <c r="T98" s="141">
        <f t="shared" si="18"/>
        <v>0</v>
      </c>
      <c r="U98" s="128">
        <f>('Grouped Summary'!O166+'Grouped Summary'!O174)</f>
        <v>865</v>
      </c>
      <c r="V98" s="141">
        <f>IF(U98&gt;0,(('Grouped Summary'!O166*'Grouped Summary'!P166)+(('Grouped Summary'!O174*'Grouped Summary'!P174)*0.81818))/U98,0)</f>
        <v>54596.11582631214</v>
      </c>
      <c r="W98" s="141">
        <f t="shared" si="19"/>
        <v>47225640.18976</v>
      </c>
      <c r="X98" s="118"/>
    </row>
    <row r="99" spans="1:24" ht="15">
      <c r="A99" s="118" t="s">
        <v>492</v>
      </c>
      <c r="B99" s="128" t="s">
        <v>723</v>
      </c>
      <c r="C99" s="128">
        <f>('Grouped Summary'!C167+'Grouped Summary'!C175)</f>
        <v>75</v>
      </c>
      <c r="D99" s="141">
        <f>IF(C99&gt;0,(('Grouped Summary'!C167*'Grouped Summary'!D167)+(('Grouped Summary'!C175*'Grouped Summary'!D175)*0.81818))/C99,0)</f>
        <v>52068.384988000034</v>
      </c>
      <c r="E99" s="141">
        <f t="shared" si="14"/>
        <v>3905128.8741000025</v>
      </c>
      <c r="F99" s="128">
        <f>('Grouped Summary'!E167+'Grouped Summary'!E175)</f>
        <v>83</v>
      </c>
      <c r="G99" s="141">
        <f>IF(F99&gt;0,(('Grouped Summary'!E167*'Grouped Summary'!F167)+(('Grouped Summary'!E175*'Grouped Summary'!F175)*0.81818))/F99,0)</f>
        <v>42877.54567807225</v>
      </c>
      <c r="H99" s="141">
        <f t="shared" si="15"/>
        <v>3558836.2912799967</v>
      </c>
      <c r="I99" s="128">
        <f>('Grouped Summary'!G167+'Grouped Summary'!G175)</f>
        <v>64</v>
      </c>
      <c r="J99" s="141">
        <f>IF(I99&gt;0,(('Grouped Summary'!G167*'Grouped Summary'!H167)+(('Grouped Summary'!G175*'Grouped Summary'!H175)*0.81818))/I99,0)</f>
        <v>37585.34793562505</v>
      </c>
      <c r="K99" s="141">
        <f t="shared" si="16"/>
        <v>2405462.267880003</v>
      </c>
      <c r="L99" s="128">
        <f>('Grouped Summary'!I167+'Grouped Summary'!I175)</f>
        <v>22</v>
      </c>
      <c r="M99" s="141">
        <f>IF(L99&gt;0,(('Grouped Summary'!I167*'Grouped Summary'!J167)+(('Grouped Summary'!I175*'Grouped Summary'!J175)*0.81818))/L99,0)</f>
        <v>29295.045454545496</v>
      </c>
      <c r="N99" s="141">
        <f t="shared" si="17"/>
        <v>644491.0000000009</v>
      </c>
      <c r="O99" s="128">
        <f>('Grouped Summary'!K167+'Grouped Summary'!K175)</f>
        <v>0</v>
      </c>
      <c r="P99" s="141">
        <f>IF(O99&gt;0,(('Grouped Summary'!K167*'Grouped Summary'!L167)+(('Grouped Summary'!K175*'Grouped Summary'!L175)*0.81818))/O99,0)</f>
        <v>0</v>
      </c>
      <c r="Q99" s="141">
        <f t="shared" si="21"/>
        <v>0</v>
      </c>
      <c r="R99" s="128">
        <f>('Grouped Summary'!M167+'Grouped Summary'!M175)</f>
        <v>0</v>
      </c>
      <c r="S99" s="141">
        <f>IF(R99&gt;0,(('Grouped Summary'!M167*'Grouped Summary'!N167)+(('Grouped Summary'!M175*'Grouped Summary'!N175)*0.81818))/R99,0)</f>
        <v>0</v>
      </c>
      <c r="T99" s="141">
        <f t="shared" si="18"/>
        <v>0</v>
      </c>
      <c r="U99" s="128">
        <f>('Grouped Summary'!O167+'Grouped Summary'!O175)</f>
        <v>244</v>
      </c>
      <c r="V99" s="141">
        <f>IF(U99&gt;0,(('Grouped Summary'!O167*'Grouped Summary'!P167)+(('Grouped Summary'!O175*'Grouped Summary'!P175)*0.81818))/U99,0)</f>
        <v>43089.82964450821</v>
      </c>
      <c r="W99" s="141">
        <f t="shared" si="19"/>
        <v>10513918.433260003</v>
      </c>
      <c r="X99" s="118"/>
    </row>
    <row r="100" spans="1:24" ht="15">
      <c r="A100" s="118" t="s">
        <v>492</v>
      </c>
      <c r="B100" s="128" t="s">
        <v>724</v>
      </c>
      <c r="C100" s="128">
        <f>('Grouped Summary'!C168+'Grouped Summary'!C176)</f>
        <v>156</v>
      </c>
      <c r="D100" s="141">
        <f>IF(C100&gt;0,(('Grouped Summary'!C168*'Grouped Summary'!D168)+(('Grouped Summary'!C176*'Grouped Summary'!D176)*0.81818))/C100,0)</f>
        <v>56258.3967583333</v>
      </c>
      <c r="E100" s="141">
        <f t="shared" si="14"/>
        <v>8776309.894299995</v>
      </c>
      <c r="F100" s="128">
        <f>('Grouped Summary'!E168+'Grouped Summary'!E176)</f>
        <v>155</v>
      </c>
      <c r="G100" s="141">
        <f>IF(F100&gt;0,(('Grouped Summary'!E168*'Grouped Summary'!F168)+(('Grouped Summary'!E176*'Grouped Summary'!F176)*0.81818))/F100,0)</f>
        <v>46362.553276258004</v>
      </c>
      <c r="H100" s="141">
        <f t="shared" si="15"/>
        <v>7186195.757819991</v>
      </c>
      <c r="I100" s="128">
        <f>('Grouped Summary'!G168+'Grouped Summary'!G176)</f>
        <v>163</v>
      </c>
      <c r="J100" s="141">
        <f>IF(I100&gt;0,(('Grouped Summary'!G168*'Grouped Summary'!H168)+(('Grouped Summary'!G176*'Grouped Summary'!H176)*0.81818))/I100,0)</f>
        <v>37246.02234588954</v>
      </c>
      <c r="K100" s="141">
        <f t="shared" si="16"/>
        <v>6071101.642379995</v>
      </c>
      <c r="L100" s="128">
        <f>('Grouped Summary'!I168+'Grouped Summary'!I176)</f>
        <v>54</v>
      </c>
      <c r="M100" s="141">
        <f>IF(L100&gt;0,(('Grouped Summary'!I168*'Grouped Summary'!J168)+(('Grouped Summary'!I176*'Grouped Summary'!J176)*0.81818))/L100,0)</f>
        <v>20264.1851851852</v>
      </c>
      <c r="N100" s="141">
        <f t="shared" si="17"/>
        <v>1094266.000000001</v>
      </c>
      <c r="O100" s="128">
        <f>('Grouped Summary'!K168+'Grouped Summary'!K176)</f>
        <v>0</v>
      </c>
      <c r="P100" s="141">
        <f>IF(O100&gt;0,(('Grouped Summary'!K168*'Grouped Summary'!L168)+(('Grouped Summary'!K176*'Grouped Summary'!L176)*0.81818))/O100,0)</f>
        <v>0</v>
      </c>
      <c r="Q100" s="141">
        <f t="shared" si="21"/>
        <v>0</v>
      </c>
      <c r="R100" s="128">
        <f>('Grouped Summary'!M168+'Grouped Summary'!M176)</f>
        <v>0</v>
      </c>
      <c r="S100" s="141">
        <f>IF(R100&gt;0,(('Grouped Summary'!M168*'Grouped Summary'!N168)+(('Grouped Summary'!M176*'Grouped Summary'!N176)*0.81818))/R100,0)</f>
        <v>0</v>
      </c>
      <c r="T100" s="141">
        <f t="shared" si="18"/>
        <v>0</v>
      </c>
      <c r="U100" s="128">
        <f>('Grouped Summary'!O168+'Grouped Summary'!O176)</f>
        <v>528</v>
      </c>
      <c r="V100" s="141">
        <f>IF(U100&gt;0,(('Grouped Summary'!O168*'Grouped Summary'!P168)+(('Grouped Summary'!O176*'Grouped Summary'!P176)*0.81818))/U100,0)</f>
        <v>43802.79033049239</v>
      </c>
      <c r="W100" s="141">
        <f t="shared" si="19"/>
        <v>23127873.294499982</v>
      </c>
      <c r="X100" s="118"/>
    </row>
    <row r="101" spans="1:24" ht="15">
      <c r="A101" s="118" t="s">
        <v>492</v>
      </c>
      <c r="B101" s="128" t="s">
        <v>725</v>
      </c>
      <c r="C101" s="128">
        <f>('Grouped Summary'!C169+'Grouped Summary'!C177)</f>
        <v>129</v>
      </c>
      <c r="D101" s="141">
        <f>IF(C101&gt;0,(('Grouped Summary'!C169*'Grouped Summary'!D169)+(('Grouped Summary'!C177*'Grouped Summary'!D177)*0.81818))/C101,0)</f>
        <v>53365.39210310075</v>
      </c>
      <c r="E101" s="141">
        <f t="shared" si="14"/>
        <v>6884135.581299997</v>
      </c>
      <c r="F101" s="128">
        <f>('Grouped Summary'!E169+'Grouped Summary'!E177)</f>
        <v>106</v>
      </c>
      <c r="G101" s="141">
        <f>IF(F101&gt;0,(('Grouped Summary'!E169*'Grouped Summary'!F169)+(('Grouped Summary'!E177*'Grouped Summary'!F177)*0.81818))/F101,0)</f>
        <v>45149.829745094365</v>
      </c>
      <c r="H101" s="141">
        <f t="shared" si="15"/>
        <v>4785881.952980002</v>
      </c>
      <c r="I101" s="128">
        <f>('Grouped Summary'!G169+'Grouped Summary'!G177)</f>
        <v>115</v>
      </c>
      <c r="J101" s="141">
        <f>IF(I101&gt;0,(('Grouped Summary'!G169*'Grouped Summary'!H169)+(('Grouped Summary'!G177*'Grouped Summary'!H177)*0.81818))/I101,0)</f>
        <v>38325.93282799999</v>
      </c>
      <c r="K101" s="141">
        <f t="shared" si="16"/>
        <v>4407482.275219999</v>
      </c>
      <c r="L101" s="128">
        <f>('Grouped Summary'!I169+'Grouped Summary'!I177)</f>
        <v>46</v>
      </c>
      <c r="M101" s="141">
        <f>IF(L101&gt;0,(('Grouped Summary'!I169*'Grouped Summary'!J169)+(('Grouped Summary'!I177*'Grouped Summary'!J177)*0.81818))/L101,0)</f>
        <v>30336.524755217368</v>
      </c>
      <c r="N101" s="141">
        <f t="shared" si="17"/>
        <v>1395480.138739999</v>
      </c>
      <c r="O101" s="128">
        <f>('Grouped Summary'!K169+'Grouped Summary'!K177)</f>
        <v>0</v>
      </c>
      <c r="P101" s="141">
        <f>IF(O101&gt;0,(('Grouped Summary'!K169*'Grouped Summary'!L169)+(('Grouped Summary'!K177*'Grouped Summary'!L177)*0.81818))/O101,0)</f>
        <v>0</v>
      </c>
      <c r="Q101" s="141">
        <f t="shared" si="21"/>
        <v>0</v>
      </c>
      <c r="R101" s="128">
        <f>('Grouped Summary'!M169+'Grouped Summary'!M177)</f>
        <v>0</v>
      </c>
      <c r="S101" s="141">
        <f>IF(R101&gt;0,(('Grouped Summary'!M169*'Grouped Summary'!N169)+(('Grouped Summary'!M177*'Grouped Summary'!N177)*0.81818))/R101,0)</f>
        <v>0</v>
      </c>
      <c r="T101" s="141">
        <f t="shared" si="18"/>
        <v>0</v>
      </c>
      <c r="U101" s="128">
        <f>('Grouped Summary'!O169+'Grouped Summary'!O177)</f>
        <v>396</v>
      </c>
      <c r="V101" s="141">
        <f>IF(U101&gt;0,(('Grouped Summary'!O169*'Grouped Summary'!P169)+(('Grouped Summary'!O177*'Grouped Summary'!P177)*0.81818))/U101,0)</f>
        <v>44123.6867379798</v>
      </c>
      <c r="W101" s="141">
        <f t="shared" si="19"/>
        <v>17472979.94824</v>
      </c>
      <c r="X101" s="118"/>
    </row>
    <row r="102" spans="1:24" ht="15">
      <c r="A102" s="118" t="s">
        <v>492</v>
      </c>
      <c r="B102" s="128" t="s">
        <v>726</v>
      </c>
      <c r="C102" s="128">
        <f>('Grouped Summary'!C170+'Grouped Summary'!C178)</f>
        <v>166</v>
      </c>
      <c r="D102" s="141">
        <f>IF(C102&gt;0,(('Grouped Summary'!C170*'Grouped Summary'!D170)+(('Grouped Summary'!C178*'Grouped Summary'!D178)*0.81818))/C102,0)</f>
        <v>53102.86327734941</v>
      </c>
      <c r="E102" s="141">
        <f t="shared" si="14"/>
        <v>8815075.304040002</v>
      </c>
      <c r="F102" s="128">
        <f>('Grouped Summary'!E170+'Grouped Summary'!E178)</f>
        <v>168</v>
      </c>
      <c r="G102" s="141">
        <f>IF(F102&gt;0,(('Grouped Summary'!E170*'Grouped Summary'!F170)+(('Grouped Summary'!E178*'Grouped Summary'!F178)*0.81818))/F102,0)</f>
        <v>43345.262294642875</v>
      </c>
      <c r="H102" s="141">
        <f t="shared" si="15"/>
        <v>7282004.065500003</v>
      </c>
      <c r="I102" s="128">
        <f>('Grouped Summary'!G170+'Grouped Summary'!G178)</f>
        <v>139</v>
      </c>
      <c r="J102" s="141">
        <f>IF(I102&gt;0,(('Grouped Summary'!G170*'Grouped Summary'!H170)+(('Grouped Summary'!G178*'Grouped Summary'!H178)*0.81818))/I102,0)</f>
        <v>38451.622546474864</v>
      </c>
      <c r="K102" s="141">
        <f t="shared" si="16"/>
        <v>5344775.533960006</v>
      </c>
      <c r="L102" s="128">
        <f>('Grouped Summary'!I170+'Grouped Summary'!I178)</f>
        <v>69</v>
      </c>
      <c r="M102" s="141">
        <f>IF(L102&gt;0,(('Grouped Summary'!I170*'Grouped Summary'!J170)+(('Grouped Summary'!I178*'Grouped Summary'!J178)*0.81818))/L102,0)</f>
        <v>30075.857955942018</v>
      </c>
      <c r="N102" s="141">
        <f t="shared" si="17"/>
        <v>2075234.1989599993</v>
      </c>
      <c r="O102" s="128">
        <f>('Grouped Summary'!K170+'Grouped Summary'!K178)</f>
        <v>8</v>
      </c>
      <c r="P102" s="141">
        <f>IF(O102&gt;0,(('Grouped Summary'!K170*'Grouped Summary'!L170)+(('Grouped Summary'!K178*'Grouped Summary'!L178)*0.81818))/O102,0)</f>
        <v>32464.835314999975</v>
      </c>
      <c r="Q102" s="141">
        <f t="shared" si="21"/>
        <v>259718.6825199998</v>
      </c>
      <c r="R102" s="128">
        <f>('Grouped Summary'!M170+'Grouped Summary'!M178)</f>
        <v>0</v>
      </c>
      <c r="S102" s="141">
        <f>IF(R102&gt;0,(('Grouped Summary'!M170*'Grouped Summary'!N170)+(('Grouped Summary'!M178*'Grouped Summary'!N178)*0.81818))/R102,0)</f>
        <v>0</v>
      </c>
      <c r="T102" s="141">
        <f t="shared" si="18"/>
        <v>0</v>
      </c>
      <c r="U102" s="128">
        <f>('Grouped Summary'!O170+'Grouped Summary'!O178)</f>
        <v>550</v>
      </c>
      <c r="V102" s="141">
        <f>IF(U102&gt;0,(('Grouped Summary'!O170*'Grouped Summary'!P170)+(('Grouped Summary'!O178*'Grouped Summary'!P178)*0.81818))/U102,0)</f>
        <v>43230.559609054566</v>
      </c>
      <c r="W102" s="141">
        <f t="shared" si="19"/>
        <v>23776807.78498001</v>
      </c>
      <c r="X102" s="118"/>
    </row>
    <row r="103" spans="1:24" ht="15">
      <c r="A103" s="118"/>
      <c r="B103" s="142" t="s">
        <v>797</v>
      </c>
      <c r="C103" s="143">
        <f>SUM(C97:C102)</f>
        <v>1293</v>
      </c>
      <c r="D103" s="144">
        <f>((C97*D97)+(C98*D98)+(C99*D99)+(C100*D100)+(C101*D101)+(C102*D102))/C103</f>
        <v>63365.19358060324</v>
      </c>
      <c r="E103" s="141">
        <f aca="true" t="shared" si="22" ref="E103:E134">C103*D103</f>
        <v>81931195.29971999</v>
      </c>
      <c r="F103" s="143">
        <f>SUM(F97:F102)</f>
        <v>1089</v>
      </c>
      <c r="G103" s="144">
        <f>((F97*G97)+(F98*G98)+(F99*G99)+(F100*G100)+(F101*G101)+(F102*G102))/F103</f>
        <v>48635.54654025711</v>
      </c>
      <c r="H103" s="141">
        <f aca="true" t="shared" si="23" ref="H103:H134">F103*G103</f>
        <v>52964110.182339996</v>
      </c>
      <c r="I103" s="143">
        <f>SUM(I97:I102)</f>
        <v>820</v>
      </c>
      <c r="J103" s="144">
        <f>((I97*J97)+(I98*J98)+(I99*J99)+(I100*J100)+(I101*J101)+(I102*J102))/I103</f>
        <v>39917.43632524392</v>
      </c>
      <c r="K103" s="141">
        <f aca="true" t="shared" si="24" ref="K103:K134">I103*J103</f>
        <v>32732297.786700014</v>
      </c>
      <c r="L103" s="143">
        <f>SUM(L97:L102)</f>
        <v>304</v>
      </c>
      <c r="M103" s="144">
        <f>((L97*M97)+(L98*M98)+(L99*M99)+(L100*M100)+(L101*M101)+(L102*M102))/L103</f>
        <v>28054.928948223678</v>
      </c>
      <c r="N103" s="141">
        <f aca="true" t="shared" si="25" ref="N103:N134">L103*M103</f>
        <v>8528698.400259998</v>
      </c>
      <c r="O103" s="143">
        <f>SUM(O97:O102)</f>
        <v>109</v>
      </c>
      <c r="P103" s="144">
        <f>((O97*P97)+(O98*P98)+(O99*P99)+(O100*P100)+(O101*P101)+(O102*P102))/O103</f>
        <v>37161.91203688072</v>
      </c>
      <c r="Q103" s="141">
        <f t="shared" si="21"/>
        <v>4050648.4120199983</v>
      </c>
      <c r="R103" s="143">
        <f>SUM(R97:R102)</f>
        <v>0</v>
      </c>
      <c r="S103" s="144">
        <f>IF(R103&gt;0,((R97*S97)+(R98*S98)+(R99*S99)+(R100*S100)+(R101*S101)+(R102*S102))/R103,0)</f>
        <v>0</v>
      </c>
      <c r="T103" s="141">
        <f aca="true" t="shared" si="26" ref="T103:T134">R103*S103</f>
        <v>0</v>
      </c>
      <c r="U103" s="143">
        <f>SUM(U97:U102)</f>
        <v>3615</v>
      </c>
      <c r="V103" s="144">
        <f>((U97*V97)+(U98*V98)+(U99*V99)+(U100*V100)+(U101*V101)+(U102*V102))/U103</f>
        <v>49849.7787222794</v>
      </c>
      <c r="W103" s="141">
        <f aca="true" t="shared" si="27" ref="W103:W134">U103*V103</f>
        <v>180206950.08104002</v>
      </c>
      <c r="X103" s="118"/>
    </row>
    <row r="104" spans="1:24" ht="15">
      <c r="A104" s="118" t="s">
        <v>492</v>
      </c>
      <c r="B104" s="128" t="s">
        <v>727</v>
      </c>
      <c r="C104" s="128">
        <f>('Grouped Summary'!C171+'Grouped Summary'!C179)</f>
        <v>45</v>
      </c>
      <c r="D104" s="141">
        <f>IF(C104&gt;0,(('Grouped Summary'!C171*'Grouped Summary'!D171)+(('Grouped Summary'!C179*'Grouped Summary'!D179)*0.81818))/C104,0)</f>
        <v>49044.85147822225</v>
      </c>
      <c r="E104" s="141">
        <f t="shared" si="22"/>
        <v>2207018.3165200013</v>
      </c>
      <c r="F104" s="128">
        <f>('Grouped Summary'!E171+'Grouped Summary'!E179)</f>
        <v>40</v>
      </c>
      <c r="G104" s="141">
        <f>IF(F104&gt;0,(('Grouped Summary'!E171*'Grouped Summary'!F171)+(('Grouped Summary'!E179*'Grouped Summary'!F179)*0.81818))/F104,0)</f>
        <v>40214.96294999998</v>
      </c>
      <c r="H104" s="141">
        <f t="shared" si="23"/>
        <v>1608598.5179999992</v>
      </c>
      <c r="I104" s="128">
        <f>('Grouped Summary'!G171+'Grouped Summary'!G179)</f>
        <v>25</v>
      </c>
      <c r="J104" s="141">
        <f>IF(I104&gt;0,(('Grouped Summary'!G171*'Grouped Summary'!H171)+(('Grouped Summary'!G179*'Grouped Summary'!H179)*0.81818))/I104,0)</f>
        <v>34164.84356960004</v>
      </c>
      <c r="K104" s="141">
        <f t="shared" si="24"/>
        <v>854121.0892400009</v>
      </c>
      <c r="L104" s="128">
        <f>('Grouped Summary'!I171+'Grouped Summary'!I179)</f>
        <v>562</v>
      </c>
      <c r="M104" s="141">
        <f>IF(L104&gt;0,(('Grouped Summary'!I171*'Grouped Summary'!J171)+(('Grouped Summary'!I179*'Grouped Summary'!J179)*0.81818))/L104,0)</f>
        <v>31976.65196427049</v>
      </c>
      <c r="N104" s="141">
        <f t="shared" si="25"/>
        <v>17970878.403920017</v>
      </c>
      <c r="O104" s="128">
        <f>('Grouped Summary'!K171+'Grouped Summary'!K179)</f>
        <v>915</v>
      </c>
      <c r="P104" s="141">
        <f>IF(O104&gt;0,(('Grouped Summary'!K171*'Grouped Summary'!L171)+(('Grouped Summary'!K179*'Grouped Summary'!L179)*0.81818))/O104,0)</f>
        <v>33795.4137359344</v>
      </c>
      <c r="Q104" s="141">
        <f t="shared" si="21"/>
        <v>30922803.56837998</v>
      </c>
      <c r="R104" s="128">
        <f>('Grouped Summary'!M171+'Grouped Summary'!M179)</f>
        <v>0</v>
      </c>
      <c r="S104" s="141">
        <f>IF(R104&gt;0,(('Grouped Summary'!M171*'Grouped Summary'!N171)+(('Grouped Summary'!M179*'Grouped Summary'!N179)*0.81818))/R104,0)</f>
        <v>0</v>
      </c>
      <c r="T104" s="141">
        <f t="shared" si="26"/>
        <v>0</v>
      </c>
      <c r="U104" s="128">
        <f>('Grouped Summary'!O171+'Grouped Summary'!O179)</f>
        <v>1587</v>
      </c>
      <c r="V104" s="141">
        <f>IF(U104&gt;0,(('Grouped Summary'!O171*'Grouped Summary'!P171)+(('Grouped Summary'!O179*'Grouped Summary'!P179)*0.81818))/U104,0)</f>
        <v>33751.367294303716</v>
      </c>
      <c r="W104" s="141">
        <f t="shared" si="27"/>
        <v>53563419.89606</v>
      </c>
      <c r="X104" s="118"/>
    </row>
    <row r="105" spans="1:24" ht="15">
      <c r="A105" s="119" t="s">
        <v>492</v>
      </c>
      <c r="B105" s="137" t="s">
        <v>728</v>
      </c>
      <c r="C105" s="137">
        <f>('Grouped Summary'!C172+'Grouped Summary'!C180)</f>
        <v>0</v>
      </c>
      <c r="D105" s="145">
        <f>IF(C105&gt;0,(('Grouped Summary'!C172*'Grouped Summary'!D172)+(('Grouped Summary'!C180*'Grouped Summary'!D180)*0.81818))/C105,0)</f>
        <v>0</v>
      </c>
      <c r="E105" s="145">
        <f t="shared" si="22"/>
        <v>0</v>
      </c>
      <c r="F105" s="137">
        <f>('Grouped Summary'!E172+'Grouped Summary'!E180)</f>
        <v>0</v>
      </c>
      <c r="G105" s="145">
        <f>IF(F105&gt;0,(('Grouped Summary'!E172*'Grouped Summary'!F172)+(('Grouped Summary'!E180*'Grouped Summary'!F180)*0.81818))/F105,0)</f>
        <v>0</v>
      </c>
      <c r="H105" s="145">
        <f t="shared" si="23"/>
        <v>0</v>
      </c>
      <c r="I105" s="137">
        <f>('Grouped Summary'!G172+'Grouped Summary'!G180)</f>
        <v>0</v>
      </c>
      <c r="J105" s="145">
        <f>IF(I105&gt;0,(('Grouped Summary'!G172*'Grouped Summary'!H172)+(('Grouped Summary'!G180*'Grouped Summary'!H180)*0.81818))/I105,0)</f>
        <v>0</v>
      </c>
      <c r="K105" s="145">
        <f t="shared" si="24"/>
        <v>0</v>
      </c>
      <c r="L105" s="137">
        <f>('Grouped Summary'!I172+'Grouped Summary'!I180)</f>
        <v>0</v>
      </c>
      <c r="M105" s="145">
        <f>IF(L105&gt;0,(('Grouped Summary'!I172*'Grouped Summary'!J172)+(('Grouped Summary'!I180*'Grouped Summary'!J180)*0.81818))/L105,0)</f>
        <v>0</v>
      </c>
      <c r="N105" s="145">
        <f t="shared" si="25"/>
        <v>0</v>
      </c>
      <c r="O105" s="137">
        <f>('Grouped Summary'!K172+'Grouped Summary'!K180)</f>
        <v>0</v>
      </c>
      <c r="P105" s="145">
        <f>IF(O105&gt;0,(('Grouped Summary'!K172*'Grouped Summary'!L172)+(('Grouped Summary'!K180*'Grouped Summary'!L180)*0.81818))/O105,0)</f>
        <v>0</v>
      </c>
      <c r="Q105" s="145">
        <f t="shared" si="21"/>
        <v>0</v>
      </c>
      <c r="R105" s="137">
        <f>('Grouped Summary'!M172+'Grouped Summary'!M180)</f>
        <v>0</v>
      </c>
      <c r="S105" s="145">
        <f>IF(R105&gt;0,(('Grouped Summary'!M172*'Grouped Summary'!N172)+(('Grouped Summary'!M180*'Grouped Summary'!N180)*0.81818))/R105,0)</f>
        <v>0</v>
      </c>
      <c r="T105" s="145">
        <f t="shared" si="26"/>
        <v>0</v>
      </c>
      <c r="U105" s="137">
        <f>('Grouped Summary'!O172+'Grouped Summary'!O180)</f>
        <v>0</v>
      </c>
      <c r="V105" s="145">
        <f>IF(U105&gt;0,(('Grouped Summary'!O172*'Grouped Summary'!P172)+(('Grouped Summary'!O180*'Grouped Summary'!P180)*0.81818))/U105,0)</f>
        <v>0</v>
      </c>
      <c r="W105" s="145">
        <f t="shared" si="27"/>
        <v>0</v>
      </c>
      <c r="X105" s="118"/>
    </row>
    <row r="106" spans="1:24" ht="15">
      <c r="A106" s="118" t="s">
        <v>525</v>
      </c>
      <c r="B106" s="128" t="s">
        <v>721</v>
      </c>
      <c r="C106" s="128">
        <f>('Grouped Summary'!C181+'Grouped Summary'!C189)</f>
        <v>536</v>
      </c>
      <c r="D106" s="141">
        <f>IF(C106&gt;0,(('Grouped Summary'!C181*'Grouped Summary'!D181)+(('Grouped Summary'!C189*'Grouped Summary'!D189)*0.81818))/C106,0)</f>
        <v>68009.49010552239</v>
      </c>
      <c r="E106" s="141">
        <f t="shared" si="22"/>
        <v>36453086.69656</v>
      </c>
      <c r="F106" s="128">
        <f>('Grouped Summary'!E181+'Grouped Summary'!E189)</f>
        <v>304</v>
      </c>
      <c r="G106" s="141">
        <f>IF(F106&gt;0,(('Grouped Summary'!E181*'Grouped Summary'!F181)+(('Grouped Summary'!E189*'Grouped Summary'!F189)*0.81818))/F106,0)</f>
        <v>52262.439622368416</v>
      </c>
      <c r="H106" s="141">
        <f t="shared" si="23"/>
        <v>15887781.6452</v>
      </c>
      <c r="I106" s="128">
        <f>('Grouped Summary'!G181+'Grouped Summary'!G189)</f>
        <v>177</v>
      </c>
      <c r="J106" s="141">
        <f>IF(I106&gt;0,(('Grouped Summary'!G181*'Grouped Summary'!H181)+(('Grouped Summary'!G189*'Grouped Summary'!H189)*0.81818))/I106,0)</f>
        <v>42739.98926305085</v>
      </c>
      <c r="K106" s="141">
        <f t="shared" si="24"/>
        <v>7564978.09956</v>
      </c>
      <c r="L106" s="128">
        <f>('Grouped Summary'!I181+'Grouped Summary'!I189)</f>
        <v>55</v>
      </c>
      <c r="M106" s="141">
        <f>IF(L106&gt;0,(('Grouped Summary'!I181*'Grouped Summary'!J181)+(('Grouped Summary'!I189*'Grouped Summary'!J189)*0.81818))/L106,0)</f>
        <v>28241.752581818182</v>
      </c>
      <c r="N106" s="141">
        <f t="shared" si="25"/>
        <v>1553296.392</v>
      </c>
      <c r="O106" s="128">
        <f>('Grouped Summary'!K181+'Grouped Summary'!K189)</f>
        <v>7</v>
      </c>
      <c r="P106" s="141">
        <f>IF(O106&gt;0,(('Grouped Summary'!K181*'Grouped Summary'!L181)+(('Grouped Summary'!K189*'Grouped Summary'!L189)*0.81818))/O106,0)</f>
        <v>38668.04180571429</v>
      </c>
      <c r="Q106" s="141">
        <f t="shared" si="21"/>
        <v>270676.29264</v>
      </c>
      <c r="R106" s="128">
        <f>('Grouped Summary'!M181+'Grouped Summary'!M189)</f>
        <v>0</v>
      </c>
      <c r="S106" s="141">
        <f>IF(R106&gt;0,(('Grouped Summary'!M181*'Grouped Summary'!N181)+(('Grouped Summary'!M189*'Grouped Summary'!N189)*0.81818))/R106,0)</f>
        <v>0</v>
      </c>
      <c r="T106" s="141">
        <f t="shared" si="26"/>
        <v>0</v>
      </c>
      <c r="U106" s="128">
        <f>('Grouped Summary'!O181+'Grouped Summary'!O189)</f>
        <v>1079</v>
      </c>
      <c r="V106" s="141">
        <f>IF(U106&gt;0,(('Grouped Summary'!O181*'Grouped Summary'!P181)+(('Grouped Summary'!O189*'Grouped Summary'!P189)*0.81818))/U106,0)</f>
        <v>57210.2123502873</v>
      </c>
      <c r="W106" s="141">
        <f t="shared" si="27"/>
        <v>61729819.12596</v>
      </c>
      <c r="X106" s="118"/>
    </row>
    <row r="107" spans="1:24" ht="15">
      <c r="A107" s="118" t="s">
        <v>525</v>
      </c>
      <c r="B107" s="128" t="s">
        <v>722</v>
      </c>
      <c r="C107" s="128">
        <f>('Grouped Summary'!C182+'Grouped Summary'!C190)</f>
        <v>270</v>
      </c>
      <c r="D107" s="141">
        <f>IF(C107&gt;0,(('Grouped Summary'!C182*'Grouped Summary'!D182)+(('Grouped Summary'!C190*'Grouped Summary'!D190)*0.81818))/C107,0)</f>
        <v>64034.85830051852</v>
      </c>
      <c r="E107" s="141">
        <f t="shared" si="22"/>
        <v>17289411.74114</v>
      </c>
      <c r="F107" s="128">
        <f>('Grouped Summary'!E182+'Grouped Summary'!E190)</f>
        <v>216</v>
      </c>
      <c r="G107" s="141">
        <f>IF(F107&gt;0,(('Grouped Summary'!E182*'Grouped Summary'!F182)+(('Grouped Summary'!E190*'Grouped Summary'!F190)*0.81818))/F107,0)</f>
        <v>47498.7229775</v>
      </c>
      <c r="H107" s="141">
        <f t="shared" si="23"/>
        <v>10259724.16314</v>
      </c>
      <c r="I107" s="128">
        <f>('Grouped Summary'!G182+'Grouped Summary'!G190)</f>
        <v>157</v>
      </c>
      <c r="J107" s="141">
        <f>IF(I107&gt;0,(('Grouped Summary'!G182*'Grouped Summary'!H182)+(('Grouped Summary'!G190*'Grouped Summary'!H190)*0.81818))/I107,0)</f>
        <v>39954.7019778344</v>
      </c>
      <c r="K107" s="141">
        <f t="shared" si="24"/>
        <v>6272888.21052</v>
      </c>
      <c r="L107" s="128">
        <f>('Grouped Summary'!I182+'Grouped Summary'!I190)</f>
        <v>55</v>
      </c>
      <c r="M107" s="141">
        <f>IF(L107&gt;0,(('Grouped Summary'!I182*'Grouped Summary'!J182)+(('Grouped Summary'!I190*'Grouped Summary'!J190)*0.81818))/L107,0)</f>
        <v>27226.191604</v>
      </c>
      <c r="N107" s="141">
        <f t="shared" si="25"/>
        <v>1497440.53822</v>
      </c>
      <c r="O107" s="128">
        <f>('Grouped Summary'!K182+'Grouped Summary'!K190)</f>
        <v>4</v>
      </c>
      <c r="P107" s="141">
        <f>IF(O107&gt;0,(('Grouped Summary'!K182*'Grouped Summary'!L182)+(('Grouped Summary'!K190*'Grouped Summary'!L190)*0.81818))/O107,0)</f>
        <v>27405.1077</v>
      </c>
      <c r="Q107" s="141">
        <f t="shared" si="21"/>
        <v>109620.4308</v>
      </c>
      <c r="R107" s="128">
        <f>('Grouped Summary'!M182+'Grouped Summary'!M190)</f>
        <v>0</v>
      </c>
      <c r="S107" s="141">
        <f>IF(R107&gt;0,(('Grouped Summary'!M182*'Grouped Summary'!N182)+(('Grouped Summary'!M190*'Grouped Summary'!N190)*0.81818))/R107,0)</f>
        <v>0</v>
      </c>
      <c r="T107" s="141">
        <f t="shared" si="26"/>
        <v>0</v>
      </c>
      <c r="U107" s="128">
        <f>('Grouped Summary'!O182+'Grouped Summary'!O190)</f>
        <v>702</v>
      </c>
      <c r="V107" s="141">
        <f>IF(U107&gt;0,(('Grouped Summary'!O182*'Grouped Summary'!P182)+(('Grouped Summary'!O190*'Grouped Summary'!P190)*0.81818))/U107,0)</f>
        <v>50468.782170683764</v>
      </c>
      <c r="W107" s="141">
        <f t="shared" si="27"/>
        <v>35429085.08382</v>
      </c>
      <c r="X107" s="118"/>
    </row>
    <row r="108" spans="1:24" ht="15">
      <c r="A108" s="118" t="s">
        <v>525</v>
      </c>
      <c r="B108" s="128" t="s">
        <v>723</v>
      </c>
      <c r="C108" s="128">
        <f>('Grouped Summary'!C183+'Grouped Summary'!C191)</f>
        <v>461</v>
      </c>
      <c r="D108" s="141">
        <f>IF(C108&gt;0,(('Grouped Summary'!C183*'Grouped Summary'!D183)+(('Grouped Summary'!C191*'Grouped Summary'!D191)*0.81818))/C108,0)</f>
        <v>58782.56656659434</v>
      </c>
      <c r="E108" s="141">
        <f t="shared" si="22"/>
        <v>27098763.18719999</v>
      </c>
      <c r="F108" s="128">
        <f>('Grouped Summary'!E183+'Grouped Summary'!E191)</f>
        <v>381</v>
      </c>
      <c r="G108" s="141">
        <f>IF(F108&gt;0,(('Grouped Summary'!E183*'Grouped Summary'!F183)+(('Grouped Summary'!E191*'Grouped Summary'!F191)*0.81818))/F108,0)</f>
        <v>47224.15660803153</v>
      </c>
      <c r="H108" s="141">
        <f t="shared" si="23"/>
        <v>17992403.667660013</v>
      </c>
      <c r="I108" s="128">
        <f>('Grouped Summary'!G183+'Grouped Summary'!G191)</f>
        <v>488</v>
      </c>
      <c r="J108" s="141">
        <f>IF(I108&gt;0,(('Grouped Summary'!G183*'Grouped Summary'!H183)+(('Grouped Summary'!G191*'Grouped Summary'!H191)*0.81818))/I108,0)</f>
        <v>38659.03433713118</v>
      </c>
      <c r="K108" s="141">
        <f t="shared" si="24"/>
        <v>18865608.756520018</v>
      </c>
      <c r="L108" s="128">
        <f>('Grouped Summary'!I183+'Grouped Summary'!I191)</f>
        <v>158</v>
      </c>
      <c r="M108" s="141">
        <f>IF(L108&gt;0,(('Grouped Summary'!I183*'Grouped Summary'!J183)+(('Grouped Summary'!I191*'Grouped Summary'!J191)*0.81818))/L108,0)</f>
        <v>31019.122546708888</v>
      </c>
      <c r="N108" s="141">
        <f t="shared" si="25"/>
        <v>4901021.3623800045</v>
      </c>
      <c r="O108" s="128">
        <f>('Grouped Summary'!K183+'Grouped Summary'!K191)</f>
        <v>0</v>
      </c>
      <c r="P108" s="141">
        <f>IF(O108&gt;0,(('Grouped Summary'!K183*'Grouped Summary'!L183)+(('Grouped Summary'!K191*'Grouped Summary'!L191)*0.81818))/O108,0)</f>
        <v>0</v>
      </c>
      <c r="Q108" s="141">
        <f t="shared" si="21"/>
        <v>0</v>
      </c>
      <c r="R108" s="128">
        <f>('Grouped Summary'!M183+'Grouped Summary'!M191)</f>
        <v>0</v>
      </c>
      <c r="S108" s="141">
        <f>IF(R108&gt;0,(('Grouped Summary'!M183*'Grouped Summary'!N183)+(('Grouped Summary'!M191*'Grouped Summary'!N191)*0.81818))/R108,0)</f>
        <v>0</v>
      </c>
      <c r="T108" s="141">
        <f t="shared" si="26"/>
        <v>0</v>
      </c>
      <c r="U108" s="128">
        <f>('Grouped Summary'!O183+'Grouped Summary'!O191)</f>
        <v>1488</v>
      </c>
      <c r="V108" s="141">
        <f>IF(U108&gt;0,(('Grouped Summary'!O183*'Grouped Summary'!P183)+(('Grouped Summary'!O191*'Grouped Summary'!P191)*0.81818))/U108,0)</f>
        <v>46275.401192043035</v>
      </c>
      <c r="W108" s="141">
        <f t="shared" si="27"/>
        <v>68857796.97376004</v>
      </c>
      <c r="X108" s="118"/>
    </row>
    <row r="109" spans="1:24" ht="15">
      <c r="A109" s="118" t="s">
        <v>525</v>
      </c>
      <c r="B109" s="128" t="s">
        <v>724</v>
      </c>
      <c r="C109" s="128">
        <f>('Grouped Summary'!C184+'Grouped Summary'!C192)</f>
        <v>374</v>
      </c>
      <c r="D109" s="141">
        <f>IF(C109&gt;0,(('Grouped Summary'!C184*'Grouped Summary'!D184)+(('Grouped Summary'!C192*'Grouped Summary'!D192)*0.81818))/C109,0)</f>
        <v>57275.17434679145</v>
      </c>
      <c r="E109" s="141">
        <f t="shared" si="22"/>
        <v>21420915.205700003</v>
      </c>
      <c r="F109" s="128">
        <f>('Grouped Summary'!E184+'Grouped Summary'!E192)</f>
        <v>241</v>
      </c>
      <c r="G109" s="141">
        <f>IF(F109&gt;0,(('Grouped Summary'!E184*'Grouped Summary'!F184)+(('Grouped Summary'!E192*'Grouped Summary'!F192)*0.81818))/F109,0)</f>
        <v>44063.908128298775</v>
      </c>
      <c r="H109" s="141">
        <f t="shared" si="23"/>
        <v>10619401.858920004</v>
      </c>
      <c r="I109" s="128">
        <f>('Grouped Summary'!G184+'Grouped Summary'!G192)</f>
        <v>247</v>
      </c>
      <c r="J109" s="141">
        <f>IF(I109&gt;0,(('Grouped Summary'!G184*'Grouped Summary'!H184)+(('Grouped Summary'!G192*'Grouped Summary'!H192)*0.81818))/I109,0)</f>
        <v>34235.844752388664</v>
      </c>
      <c r="K109" s="141">
        <f t="shared" si="24"/>
        <v>8456253.65384</v>
      </c>
      <c r="L109" s="128">
        <f>('Grouped Summary'!I184+'Grouped Summary'!I192)</f>
        <v>48</v>
      </c>
      <c r="M109" s="141">
        <f>IF(L109&gt;0,(('Grouped Summary'!I184*'Grouped Summary'!J184)+(('Grouped Summary'!I192*'Grouped Summary'!J192)*0.81818))/L109,0)</f>
        <v>28206.798588333288</v>
      </c>
      <c r="N109" s="141">
        <f t="shared" si="25"/>
        <v>1353926.3322399978</v>
      </c>
      <c r="O109" s="128">
        <f>('Grouped Summary'!K184+'Grouped Summary'!K192)</f>
        <v>0</v>
      </c>
      <c r="P109" s="141">
        <f>IF(O109&gt;0,(('Grouped Summary'!K184*'Grouped Summary'!L184)+(('Grouped Summary'!K192*'Grouped Summary'!L192)*0.81818))/O109,0)</f>
        <v>0</v>
      </c>
      <c r="Q109" s="141">
        <f t="shared" si="21"/>
        <v>0</v>
      </c>
      <c r="R109" s="128">
        <f>('Grouped Summary'!M184+'Grouped Summary'!M192)</f>
        <v>0</v>
      </c>
      <c r="S109" s="141">
        <f>IF(R109&gt;0,(('Grouped Summary'!M184*'Grouped Summary'!N184)+(('Grouped Summary'!M192*'Grouped Summary'!N192)*0.81818))/R109,0)</f>
        <v>0</v>
      </c>
      <c r="T109" s="141">
        <f t="shared" si="26"/>
        <v>0</v>
      </c>
      <c r="U109" s="128">
        <f>('Grouped Summary'!O184+'Grouped Summary'!O192)</f>
        <v>910</v>
      </c>
      <c r="V109" s="141">
        <f>IF(U109&gt;0,(('Grouped Summary'!O184*'Grouped Summary'!P184)+(('Grouped Summary'!O192*'Grouped Summary'!P192)*0.81818))/U109,0)</f>
        <v>45989.55719857144</v>
      </c>
      <c r="W109" s="141">
        <f t="shared" si="27"/>
        <v>41850497.05070001</v>
      </c>
      <c r="X109" s="118"/>
    </row>
    <row r="110" spans="1:24" ht="15">
      <c r="A110" s="118" t="s">
        <v>525</v>
      </c>
      <c r="B110" s="128" t="s">
        <v>725</v>
      </c>
      <c r="C110" s="128">
        <f>('Grouped Summary'!C185+'Grouped Summary'!C193)</f>
        <v>102</v>
      </c>
      <c r="D110" s="141">
        <f>IF(C110&gt;0,(('Grouped Summary'!C185*'Grouped Summary'!D185)+(('Grouped Summary'!C193*'Grouped Summary'!D193)*0.81818))/C110,0)</f>
        <v>53704.64122078432</v>
      </c>
      <c r="E110" s="141">
        <f t="shared" si="22"/>
        <v>5477873.40452</v>
      </c>
      <c r="F110" s="128">
        <f>('Grouped Summary'!E185+'Grouped Summary'!E193)</f>
        <v>52</v>
      </c>
      <c r="G110" s="141">
        <f>IF(F110&gt;0,(('Grouped Summary'!E185*'Grouped Summary'!F185)+(('Grouped Summary'!E193*'Grouped Summary'!F193)*0.81818))/F110,0)</f>
        <v>43087.10423538461</v>
      </c>
      <c r="H110" s="141">
        <f t="shared" si="23"/>
        <v>2240529.42024</v>
      </c>
      <c r="I110" s="128">
        <f>('Grouped Summary'!G185+'Grouped Summary'!G193)</f>
        <v>54</v>
      </c>
      <c r="J110" s="141">
        <f>IF(I110&gt;0,(('Grouped Summary'!G185*'Grouped Summary'!H185)+(('Grouped Summary'!G193*'Grouped Summary'!H193)*0.81818))/I110,0)</f>
        <v>36322.29841111111</v>
      </c>
      <c r="K110" s="141">
        <f t="shared" si="24"/>
        <v>1961404.1141999997</v>
      </c>
      <c r="L110" s="128">
        <f>('Grouped Summary'!I185+'Grouped Summary'!I193)</f>
        <v>24</v>
      </c>
      <c r="M110" s="141">
        <f>IF(L110&gt;0,(('Grouped Summary'!I185*'Grouped Summary'!J185)+(('Grouped Summary'!I193*'Grouped Summary'!J193)*0.81818))/L110,0)</f>
        <v>31326.883525</v>
      </c>
      <c r="N110" s="141">
        <f t="shared" si="25"/>
        <v>751845.2046</v>
      </c>
      <c r="O110" s="128">
        <f>('Grouped Summary'!K185+'Grouped Summary'!K193)</f>
        <v>0</v>
      </c>
      <c r="P110" s="141">
        <f>IF(O110&gt;0,(('Grouped Summary'!K185*'Grouped Summary'!L185)+(('Grouped Summary'!K193*'Grouped Summary'!L193)*0.81818))/O110,0)</f>
        <v>0</v>
      </c>
      <c r="Q110" s="141">
        <f t="shared" si="21"/>
        <v>0</v>
      </c>
      <c r="R110" s="128">
        <f>('Grouped Summary'!M185+'Grouped Summary'!M193)</f>
        <v>0</v>
      </c>
      <c r="S110" s="141">
        <f>IF(R110&gt;0,(('Grouped Summary'!M185*'Grouped Summary'!N185)+(('Grouped Summary'!M193*'Grouped Summary'!N193)*0.81818))/R110,0)</f>
        <v>0</v>
      </c>
      <c r="T110" s="141">
        <f t="shared" si="26"/>
        <v>0</v>
      </c>
      <c r="U110" s="128">
        <f>('Grouped Summary'!O185+'Grouped Summary'!O193)</f>
        <v>232</v>
      </c>
      <c r="V110" s="141">
        <f>IF(U110&gt;0,(('Grouped Summary'!O185*'Grouped Summary'!P185)+(('Grouped Summary'!O193*'Grouped Summary'!P193)*0.81818))/U110,0)</f>
        <v>44964.01786017241</v>
      </c>
      <c r="W110" s="141">
        <f t="shared" si="27"/>
        <v>10431652.14356</v>
      </c>
      <c r="X110" s="118"/>
    </row>
    <row r="111" spans="1:24" ht="15">
      <c r="A111" s="118" t="s">
        <v>525</v>
      </c>
      <c r="B111" s="128" t="s">
        <v>726</v>
      </c>
      <c r="C111" s="128">
        <f>('Grouped Summary'!C186+'Grouped Summary'!C194)</f>
        <v>0</v>
      </c>
      <c r="D111" s="141">
        <f>IF(C111&gt;0,(('Grouped Summary'!C186*'Grouped Summary'!D186)+(('Grouped Summary'!C194*'Grouped Summary'!D194)*0.81818))/C111,0)</f>
        <v>0</v>
      </c>
      <c r="E111" s="141">
        <f t="shared" si="22"/>
        <v>0</v>
      </c>
      <c r="F111" s="128">
        <f>('Grouped Summary'!E186+'Grouped Summary'!E194)</f>
        <v>0</v>
      </c>
      <c r="G111" s="141">
        <f>IF(F111&gt;0,(('Grouped Summary'!E186*'Grouped Summary'!F186)+(('Grouped Summary'!E194*'Grouped Summary'!F194)*0.81818))/F111,0)</f>
        <v>0</v>
      </c>
      <c r="H111" s="141">
        <f t="shared" si="23"/>
        <v>0</v>
      </c>
      <c r="I111" s="128">
        <f>('Grouped Summary'!G186+'Grouped Summary'!G194)</f>
        <v>0</v>
      </c>
      <c r="J111" s="141">
        <f>IF(I111&gt;0,(('Grouped Summary'!G186*'Grouped Summary'!H186)+(('Grouped Summary'!G194*'Grouped Summary'!H194)*0.81818))/I111,0)</f>
        <v>0</v>
      </c>
      <c r="K111" s="141">
        <f t="shared" si="24"/>
        <v>0</v>
      </c>
      <c r="L111" s="128">
        <f>('Grouped Summary'!I186+'Grouped Summary'!I194)</f>
        <v>0</v>
      </c>
      <c r="M111" s="141">
        <f>IF(L111&gt;0,(('Grouped Summary'!I186*'Grouped Summary'!J186)+(('Grouped Summary'!I194*'Grouped Summary'!J194)*0.81818))/L111,0)</f>
        <v>0</v>
      </c>
      <c r="N111" s="141">
        <f t="shared" si="25"/>
        <v>0</v>
      </c>
      <c r="O111" s="128">
        <f>('Grouped Summary'!K186+'Grouped Summary'!K194)</f>
        <v>0</v>
      </c>
      <c r="P111" s="141">
        <f>IF(O111&gt;0,(('Grouped Summary'!K186*'Grouped Summary'!L186)+(('Grouped Summary'!K194*'Grouped Summary'!L194)*0.81818))/O111,0)</f>
        <v>0</v>
      </c>
      <c r="Q111" s="141">
        <f t="shared" si="21"/>
        <v>0</v>
      </c>
      <c r="R111" s="128">
        <f>('Grouped Summary'!M186+'Grouped Summary'!M194)</f>
        <v>0</v>
      </c>
      <c r="S111" s="141">
        <f>IF(R111&gt;0,(('Grouped Summary'!M186*'Grouped Summary'!N186)+(('Grouped Summary'!M194*'Grouped Summary'!N194)*0.81818))/R111,0)</f>
        <v>0</v>
      </c>
      <c r="T111" s="141">
        <f t="shared" si="26"/>
        <v>0</v>
      </c>
      <c r="U111" s="128">
        <f>('Grouped Summary'!O186+'Grouped Summary'!O194)</f>
        <v>0</v>
      </c>
      <c r="V111" s="141">
        <f>IF(U111&gt;0,(('Grouped Summary'!O186*'Grouped Summary'!P186)+(('Grouped Summary'!O194*'Grouped Summary'!P194)*0.81818))/U111,0)</f>
        <v>0</v>
      </c>
      <c r="W111" s="141">
        <f t="shared" si="27"/>
        <v>0</v>
      </c>
      <c r="X111" s="118"/>
    </row>
    <row r="112" spans="1:24" ht="15">
      <c r="A112" s="118"/>
      <c r="B112" s="142" t="s">
        <v>797</v>
      </c>
      <c r="C112" s="143">
        <f>SUM(C106:C111)</f>
        <v>1743</v>
      </c>
      <c r="D112" s="144">
        <f>((C106*D106)+(C107*D107)+(C108*D108)+(C109*D109)+(C110*D110)+(C111*D111))/C112</f>
        <v>61812.99497138267</v>
      </c>
      <c r="E112" s="141">
        <f t="shared" si="22"/>
        <v>107740050.23512</v>
      </c>
      <c r="F112" s="143">
        <f>SUM(F106:F111)</f>
        <v>1194</v>
      </c>
      <c r="G112" s="144">
        <f>((F106*G106)+(F107*G107)+(F108*G108)+(F109*G109)+(F110*G110)+(F111*G111))/F112</f>
        <v>47738.56009644893</v>
      </c>
      <c r="H112" s="141">
        <f t="shared" si="23"/>
        <v>56999840.75516002</v>
      </c>
      <c r="I112" s="143">
        <f>SUM(I106:I111)</f>
        <v>1123</v>
      </c>
      <c r="J112" s="144">
        <f>((I106*J106)+(I107*J107)+(I108*J108)+(I109*J109)+(I110*J110)+(I111*J111))/I112</f>
        <v>38398.159247230644</v>
      </c>
      <c r="K112" s="141">
        <f t="shared" si="24"/>
        <v>43121132.83464001</v>
      </c>
      <c r="L112" s="143">
        <f>SUM(L106:L111)</f>
        <v>340</v>
      </c>
      <c r="M112" s="144">
        <f>((L106*M106)+(L107*M107)+(L108*M108)+(L109*M109)+(L110*M110)+(L111*M111))/L112</f>
        <v>29580.970086588244</v>
      </c>
      <c r="N112" s="141">
        <f t="shared" si="25"/>
        <v>10057529.829440003</v>
      </c>
      <c r="O112" s="143">
        <f>SUM(O106:O111)</f>
        <v>11</v>
      </c>
      <c r="P112" s="144">
        <f>((O106*P106)+(O107*P107)+(O108*P108)+(O109*P109)+(O110*P110)+(O111*P111))/O112</f>
        <v>34572.429403636364</v>
      </c>
      <c r="Q112" s="141">
        <f t="shared" si="21"/>
        <v>380296.72344000003</v>
      </c>
      <c r="R112" s="143">
        <f>SUM(R106:R111)</f>
        <v>0</v>
      </c>
      <c r="S112" s="144">
        <f>IF(R112&gt;0,((R106*S106)+(R107*S107)+(R108*S108)+(R109*S109)+(R110*S110)+(R111*S111))/R112,0)</f>
        <v>0</v>
      </c>
      <c r="T112" s="141">
        <f t="shared" si="26"/>
        <v>0</v>
      </c>
      <c r="U112" s="143">
        <f>SUM(U106:U111)</f>
        <v>4411</v>
      </c>
      <c r="V112" s="144">
        <f>((U106*V106)+(U107*V107)+(U108*V108)+(U109*V109)+(U110*V110)+(U111*V111))/U112</f>
        <v>49489.65095846748</v>
      </c>
      <c r="W112" s="141">
        <f t="shared" si="27"/>
        <v>218298850.37780005</v>
      </c>
      <c r="X112" s="118"/>
    </row>
    <row r="113" spans="1:24" ht="15">
      <c r="A113" s="118" t="s">
        <v>525</v>
      </c>
      <c r="B113" s="128" t="s">
        <v>727</v>
      </c>
      <c r="C113" s="128">
        <f>('Grouped Summary'!C187+'Grouped Summary'!C195)</f>
        <v>166</v>
      </c>
      <c r="D113" s="141">
        <f>IF(C113&gt;0,(('Grouped Summary'!C187*'Grouped Summary'!D187)+(('Grouped Summary'!C195*'Grouped Summary'!D195)*0.81818))/C113,0)</f>
        <v>47299.0785391566</v>
      </c>
      <c r="E113" s="141">
        <f t="shared" si="22"/>
        <v>7851647.037499996</v>
      </c>
      <c r="F113" s="128">
        <f>('Grouped Summary'!E187+'Grouped Summary'!E195)</f>
        <v>680</v>
      </c>
      <c r="G113" s="141">
        <f>IF(F113&gt;0,(('Grouped Summary'!E187*'Grouped Summary'!F187)+(('Grouped Summary'!E195*'Grouped Summary'!F195)*0.81818))/F113,0)</f>
        <v>39297.70953182358</v>
      </c>
      <c r="H113" s="141">
        <f t="shared" si="23"/>
        <v>26722442.481640033</v>
      </c>
      <c r="I113" s="128">
        <f>('Grouped Summary'!G187+'Grouped Summary'!G195)</f>
        <v>365</v>
      </c>
      <c r="J113" s="141">
        <f>IF(I113&gt;0,(('Grouped Summary'!G187*'Grouped Summary'!H187)+(('Grouped Summary'!G195*'Grouped Summary'!H195)*0.81818))/I113,0)</f>
        <v>32916.609214794524</v>
      </c>
      <c r="K113" s="141">
        <f t="shared" si="24"/>
        <v>12014562.363400001</v>
      </c>
      <c r="L113" s="128">
        <f>('Grouped Summary'!I187+'Grouped Summary'!I195)</f>
        <v>302</v>
      </c>
      <c r="M113" s="141">
        <f>IF(L113&gt;0,(('Grouped Summary'!I187*'Grouped Summary'!J187)+(('Grouped Summary'!I195*'Grouped Summary'!J195)*0.81818))/L113,0)</f>
        <v>29118.79514238408</v>
      </c>
      <c r="N113" s="141">
        <f t="shared" si="25"/>
        <v>8793876.132999992</v>
      </c>
      <c r="O113" s="128">
        <f>('Grouped Summary'!K187+'Grouped Summary'!K195)</f>
        <v>0</v>
      </c>
      <c r="P113" s="141">
        <f>IF(O113&gt;0,(('Grouped Summary'!K187*'Grouped Summary'!L187)+(('Grouped Summary'!K195*'Grouped Summary'!L195)*0.81818))/O113,0)</f>
        <v>0</v>
      </c>
      <c r="Q113" s="141">
        <f t="shared" si="21"/>
        <v>0</v>
      </c>
      <c r="R113" s="128">
        <f>('Grouped Summary'!M187+'Grouped Summary'!M195)</f>
        <v>71</v>
      </c>
      <c r="S113" s="141">
        <f>IF(R113&gt;0,(('Grouped Summary'!M187*'Grouped Summary'!N187)+(('Grouped Summary'!M195*'Grouped Summary'!N195)*0.81818))/R113,0)</f>
        <v>38054</v>
      </c>
      <c r="T113" s="141">
        <f t="shared" si="26"/>
        <v>2701834</v>
      </c>
      <c r="U113" s="128">
        <f>('Grouped Summary'!O187+'Grouped Summary'!O195)</f>
        <v>1584</v>
      </c>
      <c r="V113" s="141">
        <f>IF(U113&gt;0,(('Grouped Summary'!O187*'Grouped Summary'!P187)+(('Grouped Summary'!O195*'Grouped Summary'!P195)*0.81818))/U113,0)</f>
        <v>36669.42046435608</v>
      </c>
      <c r="W113" s="141">
        <f t="shared" si="27"/>
        <v>58084362.01554003</v>
      </c>
      <c r="X113" s="118"/>
    </row>
    <row r="114" spans="1:24" ht="15">
      <c r="A114" s="119" t="s">
        <v>525</v>
      </c>
      <c r="B114" s="137" t="s">
        <v>728</v>
      </c>
      <c r="C114" s="137">
        <f>('Grouped Summary'!C188+'Grouped Summary'!C196)</f>
        <v>0</v>
      </c>
      <c r="D114" s="145">
        <f>IF(C114&gt;0,(('Grouped Summary'!C188*'Grouped Summary'!D188)+(('Grouped Summary'!C196*'Grouped Summary'!D196)*0.81818))/C114,0)</f>
        <v>0</v>
      </c>
      <c r="E114" s="145">
        <f t="shared" si="22"/>
        <v>0</v>
      </c>
      <c r="F114" s="137">
        <f>('Grouped Summary'!E188+'Grouped Summary'!E196)</f>
        <v>0</v>
      </c>
      <c r="G114" s="145">
        <f>IF(F114&gt;0,(('Grouped Summary'!E188*'Grouped Summary'!F188)+(('Grouped Summary'!E196*'Grouped Summary'!F196)*0.81818))/F114,0)</f>
        <v>0</v>
      </c>
      <c r="H114" s="145">
        <f t="shared" si="23"/>
        <v>0</v>
      </c>
      <c r="I114" s="137">
        <f>('Grouped Summary'!G188+'Grouped Summary'!G196)</f>
        <v>0</v>
      </c>
      <c r="J114" s="145">
        <f>IF(I114&gt;0,(('Grouped Summary'!G188*'Grouped Summary'!H188)+(('Grouped Summary'!G196*'Grouped Summary'!H196)*0.81818))/I114,0)</f>
        <v>0</v>
      </c>
      <c r="K114" s="145">
        <f t="shared" si="24"/>
        <v>0</v>
      </c>
      <c r="L114" s="137">
        <f>('Grouped Summary'!I188+'Grouped Summary'!I196)</f>
        <v>0</v>
      </c>
      <c r="M114" s="145">
        <f>IF(L114&gt;0,(('Grouped Summary'!I188*'Grouped Summary'!J188)+(('Grouped Summary'!I196*'Grouped Summary'!J196)*0.81818))/L114,0)</f>
        <v>0</v>
      </c>
      <c r="N114" s="145">
        <f t="shared" si="25"/>
        <v>0</v>
      </c>
      <c r="O114" s="137">
        <f>('Grouped Summary'!K188+'Grouped Summary'!K196)</f>
        <v>0</v>
      </c>
      <c r="P114" s="145">
        <f>IF(O114&gt;0,(('Grouped Summary'!K188*'Grouped Summary'!L188)+(('Grouped Summary'!K196*'Grouped Summary'!L196)*0.81818))/O114,0)</f>
        <v>0</v>
      </c>
      <c r="Q114" s="145">
        <f t="shared" si="21"/>
        <v>0</v>
      </c>
      <c r="R114" s="137">
        <f>('Grouped Summary'!M188+'Grouped Summary'!M196)</f>
        <v>286</v>
      </c>
      <c r="S114" s="145">
        <f>IF(R114&gt;0,(('Grouped Summary'!M188*'Grouped Summary'!N188)+(('Grouped Summary'!M196*'Grouped Summary'!N196)*0.81818))/R114,0)</f>
        <v>25547.101206923082</v>
      </c>
      <c r="T114" s="145">
        <f t="shared" si="26"/>
        <v>7306470.945180002</v>
      </c>
      <c r="U114" s="137">
        <f>('Grouped Summary'!O188+'Grouped Summary'!O196)</f>
        <v>286</v>
      </c>
      <c r="V114" s="145">
        <f>IF(U114&gt;0,(('Grouped Summary'!O188*'Grouped Summary'!P188)+(('Grouped Summary'!O196*'Grouped Summary'!P196)*0.81818))/U114,0)</f>
        <v>25547.101206923082</v>
      </c>
      <c r="W114" s="145">
        <f t="shared" si="27"/>
        <v>7306470.945180002</v>
      </c>
      <c r="X114" s="118"/>
    </row>
    <row r="115" spans="1:24" ht="15">
      <c r="A115" s="118" t="s">
        <v>576</v>
      </c>
      <c r="B115" s="128" t="s">
        <v>721</v>
      </c>
      <c r="C115" s="146">
        <f>('Grouped Summary'!C197+'Grouped Summary'!C205)</f>
        <v>2506</v>
      </c>
      <c r="D115" s="141">
        <f>IF(C115&gt;0,(('Grouped Summary'!C197*'Grouped Summary'!D197)+(('Grouped Summary'!C205*'Grouped Summary'!D205)*0.81818))/C115,0)</f>
        <v>76634.9776536313</v>
      </c>
      <c r="E115" s="141">
        <f t="shared" si="22"/>
        <v>192047254.00000003</v>
      </c>
      <c r="F115" s="146">
        <f>('Grouped Summary'!E197+'Grouped Summary'!E205)</f>
        <v>1651</v>
      </c>
      <c r="G115" s="141">
        <f>IF(F115&gt;0,(('Grouped Summary'!E197*'Grouped Summary'!F197)+(('Grouped Summary'!E205*'Grouped Summary'!F205)*0.81818))/F115,0)</f>
        <v>52288.0557238038</v>
      </c>
      <c r="H115" s="141">
        <f t="shared" si="23"/>
        <v>86327580.00000007</v>
      </c>
      <c r="I115" s="146">
        <f>('Grouped Summary'!G197+'Grouped Summary'!G205)</f>
        <v>1249</v>
      </c>
      <c r="J115" s="141">
        <f>IF(I115&gt;0,(('Grouped Summary'!G197*'Grouped Summary'!H197)+(('Grouped Summary'!G205*'Grouped Summary'!H205)*0.81818))/I115,0)</f>
        <v>45524.7870296237</v>
      </c>
      <c r="K115" s="141">
        <f t="shared" si="24"/>
        <v>56860459</v>
      </c>
      <c r="L115" s="146">
        <f>('Grouped Summary'!I197+'Grouped Summary'!I205)</f>
        <v>56</v>
      </c>
      <c r="M115" s="141">
        <f>IF(L115&gt;0,(('Grouped Summary'!I197*'Grouped Summary'!J197)+(('Grouped Summary'!I205*'Grouped Summary'!J205)*0.81818))/L115,0)</f>
        <v>36040.7321428571</v>
      </c>
      <c r="N115" s="141">
        <f t="shared" si="25"/>
        <v>2018280.9999999977</v>
      </c>
      <c r="O115" s="146">
        <f>('Grouped Summary'!K197+'Grouped Summary'!K205)</f>
        <v>714</v>
      </c>
      <c r="P115" s="141">
        <f>IF(O115&gt;0,(('Grouped Summary'!K197*'Grouped Summary'!L197)+(('Grouped Summary'!K205*'Grouped Summary'!L205)*0.81818))/O115,0)</f>
        <v>36326.8795518207</v>
      </c>
      <c r="Q115" s="141">
        <f t="shared" si="21"/>
        <v>25937391.999999978</v>
      </c>
      <c r="R115" s="146">
        <f>('Grouped Summary'!M197+'Grouped Summary'!M205)</f>
        <v>0</v>
      </c>
      <c r="S115" s="141">
        <f>IF(R115&gt;0,(('Grouped Summary'!M197*'Grouped Summary'!N197)+(('Grouped Summary'!M205*'Grouped Summary'!N205)*0.81818))/R115,0)</f>
        <v>0</v>
      </c>
      <c r="T115" s="141">
        <f t="shared" si="26"/>
        <v>0</v>
      </c>
      <c r="U115" s="146">
        <f>('Grouped Summary'!O197+'Grouped Summary'!O205)</f>
        <v>6176</v>
      </c>
      <c r="V115" s="141">
        <f>IF(U115&gt;0,(('Grouped Summary'!O197*'Grouped Summary'!P197)+(('Grouped Summary'!O205*'Grouped Summary'!P205)*0.81818))/U115,0)</f>
        <v>58806.827396373075</v>
      </c>
      <c r="W115" s="141">
        <f t="shared" si="27"/>
        <v>363190966.0000001</v>
      </c>
      <c r="X115" s="118"/>
    </row>
    <row r="116" spans="1:24" ht="15">
      <c r="A116" s="118" t="s">
        <v>576</v>
      </c>
      <c r="B116" s="128" t="s">
        <v>722</v>
      </c>
      <c r="C116" s="146">
        <f>('Grouped Summary'!C198+'Grouped Summary'!C206)</f>
        <v>410</v>
      </c>
      <c r="D116" s="141">
        <f>IF(C116&gt;0,(('Grouped Summary'!C198*'Grouped Summary'!D198)+(('Grouped Summary'!C206*'Grouped Summary'!D206)*0.81818))/C116,0)</f>
        <v>67057.7878048781</v>
      </c>
      <c r="E116" s="141">
        <f t="shared" si="22"/>
        <v>27493693.00000002</v>
      </c>
      <c r="F116" s="146">
        <f>('Grouped Summary'!E198+'Grouped Summary'!E206)</f>
        <v>374</v>
      </c>
      <c r="G116" s="141">
        <f>IF(F116&gt;0,(('Grouped Summary'!E198*'Grouped Summary'!F198)+(('Grouped Summary'!E206*'Grouped Summary'!F206)*0.81818))/F116,0)</f>
        <v>49887.26737967909</v>
      </c>
      <c r="H116" s="141">
        <f t="shared" si="23"/>
        <v>18657837.99999998</v>
      </c>
      <c r="I116" s="146">
        <f>('Grouped Summary'!G198+'Grouped Summary'!G206)</f>
        <v>340</v>
      </c>
      <c r="J116" s="141">
        <f>IF(I116&gt;0,(('Grouped Summary'!G198*'Grouped Summary'!H198)+(('Grouped Summary'!G206*'Grouped Summary'!H206)*0.81818))/I116,0)</f>
        <v>42600.7205882353</v>
      </c>
      <c r="K116" s="141">
        <f t="shared" si="24"/>
        <v>14484245.000000002</v>
      </c>
      <c r="L116" s="146">
        <f>('Grouped Summary'!I198+'Grouped Summary'!I206)</f>
        <v>38</v>
      </c>
      <c r="M116" s="141">
        <f>IF(L116&gt;0,(('Grouped Summary'!I198*'Grouped Summary'!J198)+(('Grouped Summary'!I206*'Grouped Summary'!J206)*0.81818))/L116,0)</f>
        <v>32276.0263157895</v>
      </c>
      <c r="N116" s="141">
        <f t="shared" si="25"/>
        <v>1226489.000000001</v>
      </c>
      <c r="O116" s="146">
        <f>('Grouped Summary'!K198+'Grouped Summary'!K206)</f>
        <v>85</v>
      </c>
      <c r="P116" s="141">
        <f>IF(O116&gt;0,(('Grouped Summary'!K198*'Grouped Summary'!L198)+(('Grouped Summary'!K206*'Grouped Summary'!L206)*0.81818))/O116,0)</f>
        <v>32082.741176470598</v>
      </c>
      <c r="Q116" s="141">
        <f t="shared" si="21"/>
        <v>2727033.000000001</v>
      </c>
      <c r="R116" s="146">
        <f>('Grouped Summary'!M198+'Grouped Summary'!M206)</f>
        <v>0</v>
      </c>
      <c r="S116" s="141">
        <f>IF(R116&gt;0,(('Grouped Summary'!M198*'Grouped Summary'!N198)+(('Grouped Summary'!M206*'Grouped Summary'!N206)*0.81818))/R116,0)</f>
        <v>0</v>
      </c>
      <c r="T116" s="141">
        <f t="shared" si="26"/>
        <v>0</v>
      </c>
      <c r="U116" s="146">
        <f>('Grouped Summary'!O198+'Grouped Summary'!O206)</f>
        <v>1247</v>
      </c>
      <c r="V116" s="141">
        <f>IF(U116&gt;0,(('Grouped Summary'!O198*'Grouped Summary'!P198)+(('Grouped Summary'!O206*'Grouped Summary'!P206)*0.81818))/U116,0)</f>
        <v>51795.74819566961</v>
      </c>
      <c r="W116" s="141">
        <f t="shared" si="27"/>
        <v>64589298</v>
      </c>
      <c r="X116" s="118"/>
    </row>
    <row r="117" spans="1:24" ht="15">
      <c r="A117" s="118" t="s">
        <v>576</v>
      </c>
      <c r="B117" s="128" t="s">
        <v>723</v>
      </c>
      <c r="C117" s="146">
        <f>('Grouped Summary'!C199+'Grouped Summary'!C207)</f>
        <v>1395</v>
      </c>
      <c r="D117" s="141">
        <f>IF(C117&gt;0,(('Grouped Summary'!C199*'Grouped Summary'!D199)+(('Grouped Summary'!C207*'Grouped Summary'!D207)*0.81818))/C117,0)</f>
        <v>55772.3498207885</v>
      </c>
      <c r="E117" s="141">
        <f t="shared" si="22"/>
        <v>77802427.99999996</v>
      </c>
      <c r="F117" s="146">
        <f>('Grouped Summary'!E199+'Grouped Summary'!E207)</f>
        <v>1307</v>
      </c>
      <c r="G117" s="141">
        <f>IF(F117&gt;0,(('Grouped Summary'!E199*'Grouped Summary'!F199)+(('Grouped Summary'!E207*'Grouped Summary'!F207)*0.81818))/F117,0)</f>
        <v>46644.6296863045</v>
      </c>
      <c r="H117" s="141">
        <f t="shared" si="23"/>
        <v>60964530.99999998</v>
      </c>
      <c r="I117" s="146">
        <f>('Grouped Summary'!G199+'Grouped Summary'!G207)</f>
        <v>1332</v>
      </c>
      <c r="J117" s="141">
        <f>IF(I117&gt;0,(('Grouped Summary'!G199*'Grouped Summary'!H199)+(('Grouped Summary'!G207*'Grouped Summary'!H207)*0.81818))/I117,0)</f>
        <v>38575.8220720721</v>
      </c>
      <c r="K117" s="141">
        <f t="shared" si="24"/>
        <v>51382995.00000004</v>
      </c>
      <c r="L117" s="146">
        <f>('Grouped Summary'!I199+'Grouped Summary'!I207)</f>
        <v>434</v>
      </c>
      <c r="M117" s="141">
        <f>IF(L117&gt;0,(('Grouped Summary'!I199*'Grouped Summary'!J199)+(('Grouped Summary'!I207*'Grouped Summary'!J207)*0.81818))/L117,0)</f>
        <v>32054.7695852535</v>
      </c>
      <c r="N117" s="141">
        <f t="shared" si="25"/>
        <v>13911770.000000019</v>
      </c>
      <c r="O117" s="146">
        <f>('Grouped Summary'!K199+'Grouped Summary'!K207)</f>
        <v>476</v>
      </c>
      <c r="P117" s="141">
        <f>IF(O117&gt;0,(('Grouped Summary'!K199*'Grouped Summary'!L199)+(('Grouped Summary'!K207*'Grouped Summary'!L207)*0.81818))/O117,0)</f>
        <v>27863.6869747899</v>
      </c>
      <c r="Q117" s="141">
        <f t="shared" si="21"/>
        <v>13263114.999999993</v>
      </c>
      <c r="R117" s="146">
        <f>('Grouped Summary'!M199+'Grouped Summary'!M207)</f>
        <v>0</v>
      </c>
      <c r="S117" s="141">
        <f>IF(R117&gt;0,(('Grouped Summary'!M199*'Grouped Summary'!N199)+(('Grouped Summary'!M207*'Grouped Summary'!N207)*0.81818))/R117,0)</f>
        <v>0</v>
      </c>
      <c r="T117" s="141">
        <f t="shared" si="26"/>
        <v>0</v>
      </c>
      <c r="U117" s="146">
        <f>('Grouped Summary'!O199+'Grouped Summary'!O207)</f>
        <v>4944</v>
      </c>
      <c r="V117" s="141">
        <f>IF(U117&gt;0,(('Grouped Summary'!O199*'Grouped Summary'!P199)+(('Grouped Summary'!O207*'Grouped Summary'!P207)*0.81818))/U117,0)</f>
        <v>43957.289441747576</v>
      </c>
      <c r="W117" s="141">
        <f t="shared" si="27"/>
        <v>217324839.00000003</v>
      </c>
      <c r="X117" s="118"/>
    </row>
    <row r="118" spans="1:24" ht="15">
      <c r="A118" s="118" t="s">
        <v>576</v>
      </c>
      <c r="B118" s="128" t="s">
        <v>724</v>
      </c>
      <c r="C118" s="146">
        <f>('Grouped Summary'!C200+'Grouped Summary'!C208)</f>
        <v>182</v>
      </c>
      <c r="D118" s="141">
        <f>IF(C118&gt;0,(('Grouped Summary'!C200*'Grouped Summary'!D200)+(('Grouped Summary'!C208*'Grouped Summary'!D208)*0.81818))/C118,0)</f>
        <v>53145.868131868105</v>
      </c>
      <c r="E118" s="141">
        <f t="shared" si="22"/>
        <v>9672547.999999994</v>
      </c>
      <c r="F118" s="146">
        <f>('Grouped Summary'!E200+'Grouped Summary'!E208)</f>
        <v>180</v>
      </c>
      <c r="G118" s="141">
        <f>IF(F118&gt;0,(('Grouped Summary'!E200*'Grouped Summary'!F200)+(('Grouped Summary'!E208*'Grouped Summary'!F208)*0.81818))/F118,0)</f>
        <v>46246.4555555556</v>
      </c>
      <c r="H118" s="141">
        <f t="shared" si="23"/>
        <v>8324362.000000008</v>
      </c>
      <c r="I118" s="146">
        <f>('Grouped Summary'!G200+'Grouped Summary'!G208)</f>
        <v>254</v>
      </c>
      <c r="J118" s="141">
        <f>IF(I118&gt;0,(('Grouped Summary'!G200*'Grouped Summary'!H200)+(('Grouped Summary'!G208*'Grouped Summary'!H208)*0.81818))/I118,0)</f>
        <v>39155.4173228346</v>
      </c>
      <c r="K118" s="141">
        <f t="shared" si="24"/>
        <v>9945475.999999987</v>
      </c>
      <c r="L118" s="146">
        <f>('Grouped Summary'!I200+'Grouped Summary'!I208)</f>
        <v>129</v>
      </c>
      <c r="M118" s="141">
        <f>IF(L118&gt;0,(('Grouped Summary'!I200*'Grouped Summary'!J200)+(('Grouped Summary'!I208*'Grouped Summary'!J208)*0.81818))/L118,0)</f>
        <v>31043.007751938</v>
      </c>
      <c r="N118" s="141">
        <f t="shared" si="25"/>
        <v>4004548.000000002</v>
      </c>
      <c r="O118" s="146">
        <f>('Grouped Summary'!K200+'Grouped Summary'!K208)</f>
        <v>50</v>
      </c>
      <c r="P118" s="141">
        <f>IF(O118&gt;0,(('Grouped Summary'!K200*'Grouped Summary'!L200)+(('Grouped Summary'!K208*'Grouped Summary'!L208)*0.81818))/O118,0)</f>
        <v>28532.8</v>
      </c>
      <c r="Q118" s="141">
        <f t="shared" si="21"/>
        <v>1426640</v>
      </c>
      <c r="R118" s="146">
        <f>('Grouped Summary'!M200+'Grouped Summary'!M208)</f>
        <v>0</v>
      </c>
      <c r="S118" s="141">
        <f>IF(R118&gt;0,(('Grouped Summary'!M200*'Grouped Summary'!N200)+(('Grouped Summary'!M208*'Grouped Summary'!N208)*0.81818))/R118,0)</f>
        <v>0</v>
      </c>
      <c r="T118" s="141">
        <f t="shared" si="26"/>
        <v>0</v>
      </c>
      <c r="U118" s="146">
        <f>('Grouped Summary'!O200+'Grouped Summary'!O208)</f>
        <v>795</v>
      </c>
      <c r="V118" s="141">
        <f>IF(U118&gt;0,(('Grouped Summary'!O200*'Grouped Summary'!P200)+(('Grouped Summary'!O208*'Grouped Summary'!P208)*0.81818))/U118,0)</f>
        <v>41979.33836477986</v>
      </c>
      <c r="W118" s="141">
        <f t="shared" si="27"/>
        <v>33373573.99999999</v>
      </c>
      <c r="X118" s="118"/>
    </row>
    <row r="119" spans="1:24" ht="15">
      <c r="A119" s="118" t="s">
        <v>576</v>
      </c>
      <c r="B119" s="128" t="s">
        <v>725</v>
      </c>
      <c r="C119" s="146">
        <f>('Grouped Summary'!C201+'Grouped Summary'!C209)</f>
        <v>58</v>
      </c>
      <c r="D119" s="141">
        <f>IF(C119&gt;0,(('Grouped Summary'!C201*'Grouped Summary'!D201)+(('Grouped Summary'!C209*'Grouped Summary'!D209)*0.81818))/C119,0)</f>
        <v>52823.0172413793</v>
      </c>
      <c r="E119" s="141">
        <f t="shared" si="22"/>
        <v>3063734.999999999</v>
      </c>
      <c r="F119" s="146">
        <f>('Grouped Summary'!E201+'Grouped Summary'!E209)</f>
        <v>72</v>
      </c>
      <c r="G119" s="141">
        <f>IF(F119&gt;0,(('Grouped Summary'!E201*'Grouped Summary'!F201)+(('Grouped Summary'!E209*'Grouped Summary'!F209)*0.81818))/F119,0)</f>
        <v>46830.3888888889</v>
      </c>
      <c r="H119" s="141">
        <f t="shared" si="23"/>
        <v>3371788.0000000005</v>
      </c>
      <c r="I119" s="146">
        <f>('Grouped Summary'!G201+'Grouped Summary'!G209)</f>
        <v>100</v>
      </c>
      <c r="J119" s="141">
        <f>IF(I119&gt;0,(('Grouped Summary'!G201*'Grouped Summary'!H201)+(('Grouped Summary'!G209*'Grouped Summary'!H209)*0.81818))/I119,0)</f>
        <v>40242.94</v>
      </c>
      <c r="K119" s="141">
        <f t="shared" si="24"/>
        <v>4024294</v>
      </c>
      <c r="L119" s="146">
        <f>('Grouped Summary'!I201+'Grouped Summary'!I209)</f>
        <v>4</v>
      </c>
      <c r="M119" s="141">
        <f>IF(L119&gt;0,(('Grouped Summary'!I201*'Grouped Summary'!J201)+(('Grouped Summary'!I209*'Grouped Summary'!J209)*0.81818))/L119,0)</f>
        <v>34532</v>
      </c>
      <c r="N119" s="141">
        <f t="shared" si="25"/>
        <v>138128</v>
      </c>
      <c r="O119" s="146">
        <f>('Grouped Summary'!K201+'Grouped Summary'!K209)</f>
        <v>61</v>
      </c>
      <c r="P119" s="141">
        <f>IF(O119&gt;0,(('Grouped Summary'!K201*'Grouped Summary'!L201)+(('Grouped Summary'!K209*'Grouped Summary'!L209)*0.81818))/O119,0)</f>
        <v>34887</v>
      </c>
      <c r="Q119" s="141">
        <f t="shared" si="21"/>
        <v>2128107</v>
      </c>
      <c r="R119" s="146">
        <f>('Grouped Summary'!M201+'Grouped Summary'!M209)</f>
        <v>0</v>
      </c>
      <c r="S119" s="141">
        <f>IF(R119&gt;0,(('Grouped Summary'!M201*'Grouped Summary'!N201)+(('Grouped Summary'!M209*'Grouped Summary'!N209)*0.81818))/R119,0)</f>
        <v>0</v>
      </c>
      <c r="T119" s="141">
        <f t="shared" si="26"/>
        <v>0</v>
      </c>
      <c r="U119" s="146">
        <f>('Grouped Summary'!O201+'Grouped Summary'!O209)</f>
        <v>295</v>
      </c>
      <c r="V119" s="141">
        <f>IF(U119&gt;0,(('Grouped Summary'!O201*'Grouped Summary'!P201)+(('Grouped Summary'!O209*'Grouped Summary'!P209)*0.81818))/U119,0)</f>
        <v>43139.1593220339</v>
      </c>
      <c r="W119" s="141">
        <f t="shared" si="27"/>
        <v>12726052</v>
      </c>
      <c r="X119" s="118"/>
    </row>
    <row r="120" spans="1:24" ht="15">
      <c r="A120" s="118" t="s">
        <v>576</v>
      </c>
      <c r="B120" s="128" t="s">
        <v>726</v>
      </c>
      <c r="C120" s="146">
        <f>('Grouped Summary'!C202+'Grouped Summary'!C210)</f>
        <v>31</v>
      </c>
      <c r="D120" s="141">
        <f>IF(C120&gt;0,(('Grouped Summary'!C202*'Grouped Summary'!D202)+(('Grouped Summary'!C210*'Grouped Summary'!D210)*0.81818))/C120,0)</f>
        <v>58191.2258064516</v>
      </c>
      <c r="E120" s="141">
        <f t="shared" si="22"/>
        <v>1803927.9999999995</v>
      </c>
      <c r="F120" s="146">
        <f>('Grouped Summary'!E202+'Grouped Summary'!E210)</f>
        <v>72</v>
      </c>
      <c r="G120" s="141">
        <f>IF(F120&gt;0,(('Grouped Summary'!E202*'Grouped Summary'!F202)+(('Grouped Summary'!E210*'Grouped Summary'!F210)*0.81818))/F120,0)</f>
        <v>45435.7222222222</v>
      </c>
      <c r="H120" s="141">
        <f t="shared" si="23"/>
        <v>3271371.999999998</v>
      </c>
      <c r="I120" s="146">
        <f>('Grouped Summary'!G202+'Grouped Summary'!G210)</f>
        <v>63</v>
      </c>
      <c r="J120" s="141">
        <f>IF(I120&gt;0,(('Grouped Summary'!G202*'Grouped Summary'!H202)+(('Grouped Summary'!G210*'Grouped Summary'!H210)*0.81818))/I120,0)</f>
        <v>38275.5873015873</v>
      </c>
      <c r="K120" s="141">
        <f t="shared" si="24"/>
        <v>2411362</v>
      </c>
      <c r="L120" s="146">
        <f>('Grouped Summary'!I202+'Grouped Summary'!I210)</f>
        <v>1</v>
      </c>
      <c r="M120" s="141">
        <f>IF(L120&gt;0,(('Grouped Summary'!I202*'Grouped Summary'!J202)+(('Grouped Summary'!I210*'Grouped Summary'!J210)*0.81818))/L120,0)</f>
        <v>32371</v>
      </c>
      <c r="N120" s="141">
        <f t="shared" si="25"/>
        <v>32371</v>
      </c>
      <c r="O120" s="146">
        <f>('Grouped Summary'!K202+'Grouped Summary'!K210)</f>
        <v>63</v>
      </c>
      <c r="P120" s="141">
        <f>IF(O120&gt;0,(('Grouped Summary'!K202*'Grouped Summary'!L202)+(('Grouped Summary'!K210*'Grouped Summary'!L210)*0.81818))/O120,0)</f>
        <v>31883.8095238095</v>
      </c>
      <c r="Q120" s="141">
        <f t="shared" si="21"/>
        <v>2008679.9999999986</v>
      </c>
      <c r="R120" s="146">
        <f>('Grouped Summary'!M202+'Grouped Summary'!M210)</f>
        <v>0</v>
      </c>
      <c r="S120" s="141">
        <f>IF(R120&gt;0,(('Grouped Summary'!M202*'Grouped Summary'!N202)+(('Grouped Summary'!M210*'Grouped Summary'!N210)*0.81818))/R120,0)</f>
        <v>0</v>
      </c>
      <c r="T120" s="141">
        <f t="shared" si="26"/>
        <v>0</v>
      </c>
      <c r="U120" s="146">
        <f>('Grouped Summary'!O202+'Grouped Summary'!O210)</f>
        <v>230</v>
      </c>
      <c r="V120" s="141">
        <f>IF(U120&gt;0,(('Grouped Summary'!O202*'Grouped Summary'!P202)+(('Grouped Summary'!O210*'Grouped Summary'!P210)*0.81818))/U120,0)</f>
        <v>41424.83913043477</v>
      </c>
      <c r="W120" s="141">
        <f t="shared" si="27"/>
        <v>9527712.999999996</v>
      </c>
      <c r="X120" s="118"/>
    </row>
    <row r="121" spans="1:24" ht="15">
      <c r="A121" s="118"/>
      <c r="B121" s="142" t="s">
        <v>797</v>
      </c>
      <c r="C121" s="143">
        <f>SUM(C115:C120)</f>
        <v>4582</v>
      </c>
      <c r="D121" s="144">
        <f>((C115*D115)+(C116*D116)+(C117*D117)+(C118*D118)+(C119*D119)+(C120*D120))/C121</f>
        <v>68067.12920122217</v>
      </c>
      <c r="E121" s="141">
        <f t="shared" si="22"/>
        <v>311883586</v>
      </c>
      <c r="F121" s="143">
        <f>SUM(F115:F120)</f>
        <v>3656</v>
      </c>
      <c r="G121" s="144">
        <f>((F115*G115)+(F116*G116)+(F117*G117)+(F118*G118)+(F119*G119)+(F120*G120))/F121</f>
        <v>49485.08506564552</v>
      </c>
      <c r="H121" s="141">
        <f t="shared" si="23"/>
        <v>180917471.00000003</v>
      </c>
      <c r="I121" s="143">
        <f>SUM(I115:I120)</f>
        <v>3338</v>
      </c>
      <c r="J121" s="144">
        <f>((I115*J115)+(I116*J116)+(I117*J117)+(I118*J118)+(I119*J119)+(I120*J120))/I121</f>
        <v>41674.30527261834</v>
      </c>
      <c r="K121" s="141">
        <f t="shared" si="24"/>
        <v>139108831</v>
      </c>
      <c r="L121" s="143">
        <f>SUM(L115:L120)</f>
        <v>662</v>
      </c>
      <c r="M121" s="144">
        <f>((L115*M115)+(L116*M116)+(L117*M117)+(L118*M118)+(L119*M119)+(L120*M120))/L121</f>
        <v>32222.941087613326</v>
      </c>
      <c r="N121" s="141">
        <f t="shared" si="25"/>
        <v>21331587.000000022</v>
      </c>
      <c r="O121" s="143">
        <f>SUM(O115:O120)</f>
        <v>1449</v>
      </c>
      <c r="P121" s="144">
        <f>((O115*P115)+(O116*P116)+(O117*P117)+(O118*P118)+(O119*P119)+(O120*P120))/O121</f>
        <v>32774.99447895098</v>
      </c>
      <c r="Q121" s="141">
        <f t="shared" si="21"/>
        <v>47490966.99999998</v>
      </c>
      <c r="R121" s="143">
        <f>SUM(R115:R120)</f>
        <v>0</v>
      </c>
      <c r="S121" s="144">
        <f>IF(R121&gt;0,((R115*S115)+(R116*S116)+(R117*S117)+(R118*S118)+(R119*S119)+(R120*S120))/R121,0)</f>
        <v>0</v>
      </c>
      <c r="T121" s="141">
        <f t="shared" si="26"/>
        <v>0</v>
      </c>
      <c r="U121" s="143">
        <f>SUM(U115:U120)</f>
        <v>13687</v>
      </c>
      <c r="V121" s="144">
        <f>((U115*V115)+(U116*V116)+(U117*V117)+(U118*V118)+(U119*V119)+(U120*V120))/U121</f>
        <v>51196.9344633594</v>
      </c>
      <c r="W121" s="141">
        <f t="shared" si="27"/>
        <v>700732442.0000001</v>
      </c>
      <c r="X121" s="118"/>
    </row>
    <row r="122" spans="1:24" ht="15">
      <c r="A122" s="118" t="s">
        <v>576</v>
      </c>
      <c r="B122" s="128" t="s">
        <v>727</v>
      </c>
      <c r="C122" s="146">
        <f>('Grouped Summary'!C203+'Grouped Summary'!C211)</f>
        <v>0</v>
      </c>
      <c r="D122" s="141">
        <f>IF(C122&gt;0,(('Grouped Summary'!C203*'Grouped Summary'!D203)+(('Grouped Summary'!C211*'Grouped Summary'!D211)*0.81818))/C122,0)</f>
        <v>0</v>
      </c>
      <c r="E122" s="141">
        <f t="shared" si="22"/>
        <v>0</v>
      </c>
      <c r="F122" s="146">
        <f>('Grouped Summary'!E203+'Grouped Summary'!E211)</f>
        <v>0</v>
      </c>
      <c r="G122" s="141">
        <f>IF(F122&gt;0,(('Grouped Summary'!E203*'Grouped Summary'!F203)+(('Grouped Summary'!E211*'Grouped Summary'!F211)*0.81818))/F122,0)</f>
        <v>0</v>
      </c>
      <c r="H122" s="141">
        <f t="shared" si="23"/>
        <v>0</v>
      </c>
      <c r="I122" s="146">
        <f>('Grouped Summary'!G203+'Grouped Summary'!G211)</f>
        <v>0</v>
      </c>
      <c r="J122" s="141">
        <f>IF(I122&gt;0,(('Grouped Summary'!G203*'Grouped Summary'!H203)+(('Grouped Summary'!G211*'Grouped Summary'!H211)*0.81818))/I122,0)</f>
        <v>0</v>
      </c>
      <c r="K122" s="141">
        <f t="shared" si="24"/>
        <v>0</v>
      </c>
      <c r="L122" s="146">
        <f>('Grouped Summary'!I203+'Grouped Summary'!I211)</f>
        <v>0</v>
      </c>
      <c r="M122" s="141">
        <f>IF(L122&gt;0,(('Grouped Summary'!I203*'Grouped Summary'!J203)+(('Grouped Summary'!I211*'Grouped Summary'!J211)*0.81818))/L122,0)</f>
        <v>0</v>
      </c>
      <c r="N122" s="141">
        <f t="shared" si="25"/>
        <v>0</v>
      </c>
      <c r="O122" s="146">
        <f>('Grouped Summary'!K203+'Grouped Summary'!K211)</f>
        <v>0</v>
      </c>
      <c r="P122" s="141">
        <f>IF(O122&gt;0,(('Grouped Summary'!K203*'Grouped Summary'!L203)+(('Grouped Summary'!K211*'Grouped Summary'!L211)*0.81818))/O122,0)</f>
        <v>0</v>
      </c>
      <c r="Q122" s="141">
        <f t="shared" si="21"/>
        <v>0</v>
      </c>
      <c r="R122" s="146">
        <f>('Grouped Summary'!M203+'Grouped Summary'!M211)</f>
        <v>8147</v>
      </c>
      <c r="S122" s="141">
        <f>IF(R122&gt;0,(('Grouped Summary'!M203*'Grouped Summary'!N203)+(('Grouped Summary'!M211*'Grouped Summary'!N211)*0.81818))/R122,0)</f>
        <v>38275.6404811587</v>
      </c>
      <c r="T122" s="141">
        <f t="shared" si="26"/>
        <v>311831642.99999994</v>
      </c>
      <c r="U122" s="146">
        <f>('Grouped Summary'!O203+'Grouped Summary'!O211)</f>
        <v>8147</v>
      </c>
      <c r="V122" s="141">
        <f>IF(U122&gt;0,(('Grouped Summary'!O203*'Grouped Summary'!P203)+(('Grouped Summary'!O211*'Grouped Summary'!P211)*0.81818))/U122,0)</f>
        <v>38275.6404811587</v>
      </c>
      <c r="W122" s="141">
        <f t="shared" si="27"/>
        <v>311831642.99999994</v>
      </c>
      <c r="X122" s="118"/>
    </row>
    <row r="123" spans="1:24" ht="15">
      <c r="A123" s="119" t="s">
        <v>576</v>
      </c>
      <c r="B123" s="137" t="s">
        <v>728</v>
      </c>
      <c r="C123" s="147">
        <f>('Grouped Summary'!C204+'Grouped Summary'!C212)</f>
        <v>0</v>
      </c>
      <c r="D123" s="145">
        <f>IF(C123&gt;0,(('Grouped Summary'!C204*'Grouped Summary'!D204)+(('Grouped Summary'!C212*'Grouped Summary'!D212)*0.81818))/C123,0)</f>
        <v>0</v>
      </c>
      <c r="E123" s="145">
        <f t="shared" si="22"/>
        <v>0</v>
      </c>
      <c r="F123" s="147">
        <f>('Grouped Summary'!E204+'Grouped Summary'!E212)</f>
        <v>0</v>
      </c>
      <c r="G123" s="145">
        <f>IF(F123&gt;0,(('Grouped Summary'!E204*'Grouped Summary'!F204)+(('Grouped Summary'!E212*'Grouped Summary'!F212)*0.81818))/F123,0)</f>
        <v>0</v>
      </c>
      <c r="H123" s="145">
        <f t="shared" si="23"/>
        <v>0</v>
      </c>
      <c r="I123" s="147">
        <f>('Grouped Summary'!G204+'Grouped Summary'!G212)</f>
        <v>0</v>
      </c>
      <c r="J123" s="145">
        <f>IF(I123&gt;0,(('Grouped Summary'!G204*'Grouped Summary'!H204)+(('Grouped Summary'!G212*'Grouped Summary'!H212)*0.81818))/I123,0)</f>
        <v>0</v>
      </c>
      <c r="K123" s="145">
        <f t="shared" si="24"/>
        <v>0</v>
      </c>
      <c r="L123" s="147">
        <f>('Grouped Summary'!I204+'Grouped Summary'!I212)</f>
        <v>0</v>
      </c>
      <c r="M123" s="145">
        <f>IF(L123&gt;0,(('Grouped Summary'!I204*'Grouped Summary'!J204)+(('Grouped Summary'!I212*'Grouped Summary'!J212)*0.81818))/L123,0)</f>
        <v>0</v>
      </c>
      <c r="N123" s="145">
        <f t="shared" si="25"/>
        <v>0</v>
      </c>
      <c r="O123" s="147">
        <f>('Grouped Summary'!K204+'Grouped Summary'!K212)</f>
        <v>0</v>
      </c>
      <c r="P123" s="145">
        <f>IF(O123&gt;0,(('Grouped Summary'!K204*'Grouped Summary'!L204)+(('Grouped Summary'!K212*'Grouped Summary'!L212)*0.81818))/O123,0)</f>
        <v>0</v>
      </c>
      <c r="Q123" s="145">
        <f t="shared" si="21"/>
        <v>0</v>
      </c>
      <c r="R123" s="147">
        <f>('Grouped Summary'!M204+'Grouped Summary'!M212)</f>
        <v>0</v>
      </c>
      <c r="S123" s="145">
        <f>IF(R123&gt;0,(('Grouped Summary'!M204*'Grouped Summary'!N204)+(('Grouped Summary'!M212*'Grouped Summary'!N212)*0.81818))/R123,0)</f>
        <v>0</v>
      </c>
      <c r="T123" s="145">
        <f t="shared" si="26"/>
        <v>0</v>
      </c>
      <c r="U123" s="147">
        <f>('Grouped Summary'!O204+'Grouped Summary'!O212)</f>
        <v>0</v>
      </c>
      <c r="V123" s="145">
        <f>IF(U123&gt;0,(('Grouped Summary'!O204*'Grouped Summary'!P204)+(('Grouped Summary'!O212*'Grouped Summary'!P212)*0.81818))/U123,0)</f>
        <v>0</v>
      </c>
      <c r="W123" s="145">
        <f t="shared" si="27"/>
        <v>0</v>
      </c>
      <c r="X123" s="118"/>
    </row>
    <row r="124" spans="1:24" ht="15">
      <c r="A124" s="118" t="s">
        <v>680</v>
      </c>
      <c r="B124" s="128" t="s">
        <v>721</v>
      </c>
      <c r="C124" s="128">
        <f>('Grouped Summary'!C213+'Grouped Summary'!C221)</f>
        <v>1072</v>
      </c>
      <c r="D124" s="141">
        <f>IF(C124&gt;0,(('Grouped Summary'!C213*'Grouped Summary'!D213)+(('Grouped Summary'!C221*'Grouped Summary'!D221)*0.81818))/C124,0)</f>
        <v>79043.9189136194</v>
      </c>
      <c r="E124" s="141">
        <f t="shared" si="22"/>
        <v>84735081.0754</v>
      </c>
      <c r="F124" s="128">
        <f>('Grouped Summary'!E213+'Grouped Summary'!E221)</f>
        <v>760</v>
      </c>
      <c r="G124" s="141">
        <f>IF(F124&gt;0,(('Grouped Summary'!E213*'Grouped Summary'!F213)+(('Grouped Summary'!E221*'Grouped Summary'!F221)*0.81818))/F124,0)</f>
        <v>54939.295729526326</v>
      </c>
      <c r="H124" s="141">
        <f t="shared" si="23"/>
        <v>41753864.75444001</v>
      </c>
      <c r="I124" s="128">
        <f>('Grouped Summary'!G213+'Grouped Summary'!G221)</f>
        <v>453</v>
      </c>
      <c r="J124" s="141">
        <f>IF(I124&gt;0,(('Grouped Summary'!G213*'Grouped Summary'!H213)+(('Grouped Summary'!G221*'Grouped Summary'!H221)*0.81818))/I124,0)</f>
        <v>46694.810051390734</v>
      </c>
      <c r="K124" s="141">
        <f t="shared" si="24"/>
        <v>21152748.953280002</v>
      </c>
      <c r="L124" s="128">
        <f>('Grouped Summary'!I213+'Grouped Summary'!I221)</f>
        <v>105</v>
      </c>
      <c r="M124" s="141">
        <f>IF(L124&gt;0,(('Grouped Summary'!I213*'Grouped Summary'!J213)+(('Grouped Summary'!I221*'Grouped Summary'!J221)*0.81818))/L124,0)</f>
        <v>30084.13549714287</v>
      </c>
      <c r="N124" s="141">
        <f t="shared" si="25"/>
        <v>3158834.2272000015</v>
      </c>
      <c r="O124" s="128">
        <f>('Grouped Summary'!K213+'Grouped Summary'!K221)</f>
        <v>49</v>
      </c>
      <c r="P124" s="141">
        <f>IF(O124&gt;0,(('Grouped Summary'!K213*'Grouped Summary'!L213)+(('Grouped Summary'!K221*'Grouped Summary'!L221)*0.81818))/O124,0)</f>
        <v>41347.2173367347</v>
      </c>
      <c r="Q124" s="141">
        <f t="shared" si="21"/>
        <v>2026013.6495000003</v>
      </c>
      <c r="R124" s="128">
        <f>('Grouped Summary'!M213+'Grouped Summary'!M221)</f>
        <v>0</v>
      </c>
      <c r="S124" s="141">
        <f>IF(R124&gt;0,(('Grouped Summary'!M213*'Grouped Summary'!N213)+(('Grouped Summary'!M221*'Grouped Summary'!N221)*0.81818))/R124,0)</f>
        <v>0</v>
      </c>
      <c r="T124" s="141">
        <f t="shared" si="26"/>
        <v>0</v>
      </c>
      <c r="U124" s="128">
        <f>('Grouped Summary'!O213+'Grouped Summary'!O221)</f>
        <v>2439</v>
      </c>
      <c r="V124" s="141">
        <f>IF(U124&gt;0,(('Grouped Summary'!O213*'Grouped Summary'!P213)+(('Grouped Summary'!O221*'Grouped Summary'!P221)*0.81818))/U124,0)</f>
        <v>62659.509085617065</v>
      </c>
      <c r="W124" s="141">
        <f t="shared" si="27"/>
        <v>152826542.65982002</v>
      </c>
      <c r="X124" s="118"/>
    </row>
    <row r="125" spans="1:24" ht="15">
      <c r="A125" s="118" t="s">
        <v>680</v>
      </c>
      <c r="B125" s="128" t="s">
        <v>722</v>
      </c>
      <c r="C125" s="128">
        <f>('Grouped Summary'!C214+'Grouped Summary'!C222)</f>
        <v>828</v>
      </c>
      <c r="D125" s="141">
        <f>IF(C125&gt;0,(('Grouped Summary'!C214*'Grouped Summary'!D214)+(('Grouped Summary'!C222*'Grouped Summary'!D222)*0.81818))/C125,0)</f>
        <v>75030.87999876814</v>
      </c>
      <c r="E125" s="141">
        <f t="shared" si="22"/>
        <v>62125568.63898002</v>
      </c>
      <c r="F125" s="128">
        <f>('Grouped Summary'!E214+'Grouped Summary'!E222)</f>
        <v>930</v>
      </c>
      <c r="G125" s="141">
        <f>IF(F125&gt;0,(('Grouped Summary'!E214*'Grouped Summary'!F214)+(('Grouped Summary'!E222*'Grouped Summary'!F222)*0.81818))/F125,0)</f>
        <v>55412.21938180648</v>
      </c>
      <c r="H125" s="141">
        <f t="shared" si="23"/>
        <v>51533364.025080025</v>
      </c>
      <c r="I125" s="128">
        <f>('Grouped Summary'!G214+'Grouped Summary'!G222)</f>
        <v>644</v>
      </c>
      <c r="J125" s="141">
        <f>IF(I125&gt;0,(('Grouped Summary'!G214*'Grouped Summary'!H214)+(('Grouped Summary'!G222*'Grouped Summary'!H222)*0.81818))/I125,0)</f>
        <v>43811.81482590065</v>
      </c>
      <c r="K125" s="141">
        <f t="shared" si="24"/>
        <v>28214808.74788002</v>
      </c>
      <c r="L125" s="128">
        <f>('Grouped Summary'!I214+'Grouped Summary'!I222)</f>
        <v>159</v>
      </c>
      <c r="M125" s="141">
        <f>IF(L125&gt;0,(('Grouped Summary'!I214*'Grouped Summary'!J214)+(('Grouped Summary'!I222*'Grouped Summary'!J222)*0.81818))/L125,0)</f>
        <v>35559.75691534593</v>
      </c>
      <c r="N125" s="141">
        <f t="shared" si="25"/>
        <v>5654001.349540004</v>
      </c>
      <c r="O125" s="128">
        <f>('Grouped Summary'!K214+'Grouped Summary'!K222)</f>
        <v>58</v>
      </c>
      <c r="P125" s="141">
        <f>IF(O125&gt;0,(('Grouped Summary'!K214*'Grouped Summary'!L214)+(('Grouped Summary'!K222*'Grouped Summary'!L222)*0.81818))/O125,0)</f>
        <v>34994.447241379334</v>
      </c>
      <c r="Q125" s="141">
        <f t="shared" si="21"/>
        <v>2029677.9400000013</v>
      </c>
      <c r="R125" s="128">
        <f>('Grouped Summary'!M214+'Grouped Summary'!M222)</f>
        <v>0</v>
      </c>
      <c r="S125" s="141">
        <f>IF(R125&gt;0,(('Grouped Summary'!M214*'Grouped Summary'!N214)+(('Grouped Summary'!M222*'Grouped Summary'!N222)*0.81818))/R125,0)</f>
        <v>0</v>
      </c>
      <c r="T125" s="141">
        <f t="shared" si="26"/>
        <v>0</v>
      </c>
      <c r="U125" s="128">
        <f>('Grouped Summary'!O214+'Grouped Summary'!O222)</f>
        <v>2619</v>
      </c>
      <c r="V125" s="141">
        <f>IF(U125&gt;0,(('Grouped Summary'!O214*'Grouped Summary'!P214)+(('Grouped Summary'!O222*'Grouped Summary'!P222)*0.81818))/U125,0)</f>
        <v>57104.78071839636</v>
      </c>
      <c r="W125" s="141">
        <f t="shared" si="27"/>
        <v>149557420.70148006</v>
      </c>
      <c r="X125" s="118"/>
    </row>
    <row r="126" spans="1:24" ht="15">
      <c r="A126" s="118" t="s">
        <v>680</v>
      </c>
      <c r="B126" s="128" t="s">
        <v>723</v>
      </c>
      <c r="C126" s="128">
        <f>('Grouped Summary'!C215+'Grouped Summary'!C223)</f>
        <v>345</v>
      </c>
      <c r="D126" s="141">
        <f>IF(C126&gt;0,(('Grouped Summary'!C215*'Grouped Summary'!D215)+(('Grouped Summary'!C223*'Grouped Summary'!D223)*0.81818))/C126,0)</f>
        <v>57052.433875362316</v>
      </c>
      <c r="E126" s="141">
        <f t="shared" si="22"/>
        <v>19683089.687</v>
      </c>
      <c r="F126" s="128">
        <f>('Grouped Summary'!E215+'Grouped Summary'!E223)</f>
        <v>289</v>
      </c>
      <c r="G126" s="141">
        <f>IF(F126&gt;0,(('Grouped Summary'!E215*'Grouped Summary'!F215)+(('Grouped Summary'!E223*'Grouped Summary'!F223)*0.81818))/F126,0)</f>
        <v>48078.656468096844</v>
      </c>
      <c r="H126" s="141">
        <f t="shared" si="23"/>
        <v>13894731.719279988</v>
      </c>
      <c r="I126" s="128">
        <f>('Grouped Summary'!G215+'Grouped Summary'!G223)</f>
        <v>238</v>
      </c>
      <c r="J126" s="141">
        <f>IF(I126&gt;0,(('Grouped Summary'!G215*'Grouped Summary'!H215)+(('Grouped Summary'!G223*'Grouped Summary'!H223)*0.81818))/I126,0)</f>
        <v>40082.35201680676</v>
      </c>
      <c r="K126" s="141">
        <f t="shared" si="24"/>
        <v>9539599.780000009</v>
      </c>
      <c r="L126" s="128">
        <f>('Grouped Summary'!I215+'Grouped Summary'!I223)</f>
        <v>61</v>
      </c>
      <c r="M126" s="141">
        <f>IF(L126&gt;0,(('Grouped Summary'!I215*'Grouped Summary'!J215)+(('Grouped Summary'!I223*'Grouped Summary'!J223)*0.81818))/L126,0)</f>
        <v>31154.4262295082</v>
      </c>
      <c r="N126" s="141">
        <f t="shared" si="25"/>
        <v>1900420.0000000002</v>
      </c>
      <c r="O126" s="128">
        <f>('Grouped Summary'!K215+'Grouped Summary'!K223)</f>
        <v>0</v>
      </c>
      <c r="P126" s="141">
        <f>IF(O126&gt;0,(('Grouped Summary'!K215*'Grouped Summary'!L215)+(('Grouped Summary'!K223*'Grouped Summary'!L223)*0.81818))/O126,0)</f>
        <v>0</v>
      </c>
      <c r="Q126" s="141">
        <f t="shared" si="21"/>
        <v>0</v>
      </c>
      <c r="R126" s="128">
        <f>('Grouped Summary'!M215+'Grouped Summary'!M223)</f>
        <v>0</v>
      </c>
      <c r="S126" s="141">
        <f>IF(R126&gt;0,(('Grouped Summary'!M215*'Grouped Summary'!N215)+(('Grouped Summary'!M223*'Grouped Summary'!N223)*0.81818))/R126,0)</f>
        <v>0</v>
      </c>
      <c r="T126" s="141">
        <f t="shared" si="26"/>
        <v>0</v>
      </c>
      <c r="U126" s="128">
        <f>('Grouped Summary'!O215+'Grouped Summary'!O223)</f>
        <v>933</v>
      </c>
      <c r="V126" s="141">
        <f>IF(U126&gt;0,(('Grouped Summary'!O215*'Grouped Summary'!P215)+(('Grouped Summary'!O223*'Grouped Summary'!P223)*0.81818))/U126,0)</f>
        <v>48250.63364017148</v>
      </c>
      <c r="W126" s="141">
        <f t="shared" si="27"/>
        <v>45017841.18627999</v>
      </c>
      <c r="X126" s="118"/>
    </row>
    <row r="127" spans="1:24" ht="15">
      <c r="A127" s="118" t="s">
        <v>680</v>
      </c>
      <c r="B127" s="128" t="s">
        <v>724</v>
      </c>
      <c r="C127" s="128">
        <f>('Grouped Summary'!C216+'Grouped Summary'!C224)</f>
        <v>130</v>
      </c>
      <c r="D127" s="141">
        <f>IF(C127&gt;0,(('Grouped Summary'!C216*'Grouped Summary'!D216)+(('Grouped Summary'!C224*'Grouped Summary'!D224)*0.81818))/C127,0)</f>
        <v>55781.515304769215</v>
      </c>
      <c r="E127" s="141">
        <f t="shared" si="22"/>
        <v>7251596.989619998</v>
      </c>
      <c r="F127" s="128">
        <f>('Grouped Summary'!E216+'Grouped Summary'!E224)</f>
        <v>116</v>
      </c>
      <c r="G127" s="141">
        <f>IF(F127&gt;0,(('Grouped Summary'!E216*'Grouped Summary'!F216)+(('Grouped Summary'!E224*'Grouped Summary'!F224)*0.81818))/F127,0)</f>
        <v>49746.018428448246</v>
      </c>
      <c r="H127" s="141">
        <f t="shared" si="23"/>
        <v>5770538.137699996</v>
      </c>
      <c r="I127" s="128">
        <f>('Grouped Summary'!G216+'Grouped Summary'!G224)</f>
        <v>177</v>
      </c>
      <c r="J127" s="141">
        <f>IF(I127&gt;0,(('Grouped Summary'!G216*'Grouped Summary'!H216)+(('Grouped Summary'!G224*'Grouped Summary'!H224)*0.81818))/I127,0)</f>
        <v>41021.33328700565</v>
      </c>
      <c r="K127" s="141">
        <f t="shared" si="24"/>
        <v>7260775.9918</v>
      </c>
      <c r="L127" s="128">
        <f>('Grouped Summary'!I216+'Grouped Summary'!I224)</f>
        <v>61</v>
      </c>
      <c r="M127" s="141">
        <f>IF(L127&gt;0,(('Grouped Summary'!I216*'Grouped Summary'!J216)+(('Grouped Summary'!I224*'Grouped Summary'!J224)*0.81818))/L127,0)</f>
        <v>32105.881111147515</v>
      </c>
      <c r="N127" s="141">
        <f t="shared" si="25"/>
        <v>1958458.7477799985</v>
      </c>
      <c r="O127" s="128">
        <f>('Grouped Summary'!K216+'Grouped Summary'!K224)</f>
        <v>4</v>
      </c>
      <c r="P127" s="141">
        <f>IF(O127&gt;0,(('Grouped Summary'!K216*'Grouped Summary'!L216)+(('Grouped Summary'!K224*'Grouped Summary'!L224)*0.81818))/O127,0)</f>
        <v>27325.838695000002</v>
      </c>
      <c r="Q127" s="141">
        <f aca="true" t="shared" si="28" ref="Q127:Q158">O127*P127</f>
        <v>109303.35478000001</v>
      </c>
      <c r="R127" s="128">
        <f>('Grouped Summary'!M216+'Grouped Summary'!M224)</f>
        <v>0</v>
      </c>
      <c r="S127" s="141">
        <f>IF(R127&gt;0,(('Grouped Summary'!M216*'Grouped Summary'!N216)+(('Grouped Summary'!M224*'Grouped Summary'!N224)*0.81818))/R127,0)</f>
        <v>0</v>
      </c>
      <c r="T127" s="141">
        <f t="shared" si="26"/>
        <v>0</v>
      </c>
      <c r="U127" s="128">
        <f>('Grouped Summary'!O216+'Grouped Summary'!O224)</f>
        <v>488</v>
      </c>
      <c r="V127" s="141">
        <f>IF(U127&gt;0,(('Grouped Summary'!O216*'Grouped Summary'!P216)+(('Grouped Summary'!O224*'Grouped Summary'!P224)*0.81818))/U127,0)</f>
        <v>45800.55988049178</v>
      </c>
      <c r="W127" s="141">
        <f t="shared" si="27"/>
        <v>22350673.22167999</v>
      </c>
      <c r="X127" s="118"/>
    </row>
    <row r="128" spans="1:24" ht="15">
      <c r="A128" s="118" t="s">
        <v>680</v>
      </c>
      <c r="B128" s="128" t="s">
        <v>725</v>
      </c>
      <c r="C128" s="128">
        <f>('Grouped Summary'!C217+'Grouped Summary'!C225)</f>
        <v>42</v>
      </c>
      <c r="D128" s="141">
        <f>IF(C128&gt;0,(('Grouped Summary'!C217*'Grouped Summary'!D217)+(('Grouped Summary'!C225*'Grouped Summary'!D225)*0.81818))/C128,0)</f>
        <v>58591</v>
      </c>
      <c r="E128" s="141">
        <f t="shared" si="22"/>
        <v>2460822</v>
      </c>
      <c r="F128" s="128">
        <f>('Grouped Summary'!E217+'Grouped Summary'!E225)</f>
        <v>56</v>
      </c>
      <c r="G128" s="141">
        <f>IF(F128&gt;0,(('Grouped Summary'!E217*'Grouped Summary'!F217)+(('Grouped Summary'!E225*'Grouped Summary'!F225)*0.81818))/F128,0)</f>
        <v>47602</v>
      </c>
      <c r="H128" s="141">
        <f t="shared" si="23"/>
        <v>2665712</v>
      </c>
      <c r="I128" s="128">
        <f>('Grouped Summary'!G217+'Grouped Summary'!G225)</f>
        <v>46</v>
      </c>
      <c r="J128" s="141">
        <f>IF(I128&gt;0,(('Grouped Summary'!G217*'Grouped Summary'!H217)+(('Grouped Summary'!G225*'Grouped Summary'!H225)*0.81818))/I128,0)</f>
        <v>39677</v>
      </c>
      <c r="K128" s="141">
        <f t="shared" si="24"/>
        <v>1825142</v>
      </c>
      <c r="L128" s="128">
        <f>('Grouped Summary'!I217+'Grouped Summary'!I225)</f>
        <v>14</v>
      </c>
      <c r="M128" s="141">
        <f>IF(L128&gt;0,(('Grouped Summary'!I217*'Grouped Summary'!J217)+(('Grouped Summary'!I225*'Grouped Summary'!J225)*0.81818))/L128,0)</f>
        <v>33008</v>
      </c>
      <c r="N128" s="141">
        <f t="shared" si="25"/>
        <v>462112</v>
      </c>
      <c r="O128" s="128">
        <f>('Grouped Summary'!K217+'Grouped Summary'!K225)</f>
        <v>0</v>
      </c>
      <c r="P128" s="141">
        <f>IF(O128&gt;0,(('Grouped Summary'!K217*'Grouped Summary'!L217)+(('Grouped Summary'!K225*'Grouped Summary'!L225)*0.81818))/O128,0)</f>
        <v>0</v>
      </c>
      <c r="Q128" s="141">
        <f t="shared" si="28"/>
        <v>0</v>
      </c>
      <c r="R128" s="128">
        <f>('Grouped Summary'!M217+'Grouped Summary'!M225)</f>
        <v>0</v>
      </c>
      <c r="S128" s="141">
        <f>IF(R128&gt;0,(('Grouped Summary'!M217*'Grouped Summary'!N217)+(('Grouped Summary'!M225*'Grouped Summary'!N225)*0.81818))/R128,0)</f>
        <v>0</v>
      </c>
      <c r="T128" s="141">
        <f t="shared" si="26"/>
        <v>0</v>
      </c>
      <c r="U128" s="128">
        <f>('Grouped Summary'!O217+'Grouped Summary'!O225)</f>
        <v>158</v>
      </c>
      <c r="V128" s="141">
        <f>IF(U128&gt;0,(('Grouped Summary'!O217*'Grouped Summary'!P217)+(('Grouped Summary'!O225*'Grouped Summary'!P225)*0.81818))/U128,0)</f>
        <v>46922.70886075949</v>
      </c>
      <c r="W128" s="141">
        <f t="shared" si="27"/>
        <v>7413788</v>
      </c>
      <c r="X128" s="118"/>
    </row>
    <row r="129" spans="1:24" ht="15">
      <c r="A129" s="118" t="s">
        <v>680</v>
      </c>
      <c r="B129" s="128" t="s">
        <v>726</v>
      </c>
      <c r="C129" s="128">
        <f>('Grouped Summary'!C218+'Grouped Summary'!C226)</f>
        <v>131</v>
      </c>
      <c r="D129" s="141">
        <f>IF(C129&gt;0,(('Grouped Summary'!C218*'Grouped Summary'!D218)+(('Grouped Summary'!C226*'Grouped Summary'!D226)*0.81818))/C129,0)</f>
        <v>57601.60458992366</v>
      </c>
      <c r="E129" s="141">
        <f t="shared" si="22"/>
        <v>7545810.20128</v>
      </c>
      <c r="F129" s="128">
        <f>('Grouped Summary'!E218+'Grouped Summary'!E226)</f>
        <v>102</v>
      </c>
      <c r="G129" s="141">
        <f>IF(F129&gt;0,(('Grouped Summary'!E218*'Grouped Summary'!F218)+(('Grouped Summary'!E226*'Grouped Summary'!F226)*0.81818))/F129,0)</f>
        <v>47615.691472156825</v>
      </c>
      <c r="H129" s="141">
        <f t="shared" si="23"/>
        <v>4856800.530159996</v>
      </c>
      <c r="I129" s="128">
        <f>('Grouped Summary'!G218+'Grouped Summary'!G226)</f>
        <v>133</v>
      </c>
      <c r="J129" s="141">
        <f>IF(I129&gt;0,(('Grouped Summary'!G218*'Grouped Summary'!H218)+(('Grouped Summary'!G226*'Grouped Summary'!H226)*0.81818))/I129,0)</f>
        <v>39145.038270676734</v>
      </c>
      <c r="K129" s="141">
        <f t="shared" si="24"/>
        <v>5206290.090000005</v>
      </c>
      <c r="L129" s="128">
        <f>('Grouped Summary'!I218+'Grouped Summary'!I226)</f>
        <v>17</v>
      </c>
      <c r="M129" s="141">
        <f>IF(L129&gt;0,(('Grouped Summary'!I218*'Grouped Summary'!J218)+(('Grouped Summary'!I226*'Grouped Summary'!J226)*0.81818))/L129,0)</f>
        <v>34098.8235294118</v>
      </c>
      <c r="N129" s="141">
        <f t="shared" si="25"/>
        <v>579680.0000000006</v>
      </c>
      <c r="O129" s="128">
        <f>('Grouped Summary'!K218+'Grouped Summary'!K226)</f>
        <v>19</v>
      </c>
      <c r="P129" s="141">
        <f>IF(O129&gt;0,(('Grouped Summary'!K218*'Grouped Summary'!L218)+(('Grouped Summary'!K226*'Grouped Summary'!L226)*0.81818))/O129,0)</f>
        <v>33005.192</v>
      </c>
      <c r="Q129" s="141">
        <f t="shared" si="28"/>
        <v>627098.648</v>
      </c>
      <c r="R129" s="128">
        <f>('Grouped Summary'!M218+'Grouped Summary'!M226)</f>
        <v>0</v>
      </c>
      <c r="S129" s="141">
        <f>IF(R129&gt;0,(('Grouped Summary'!M218*'Grouped Summary'!N218)+(('Grouped Summary'!M226*'Grouped Summary'!N226)*0.81818))/R129,0)</f>
        <v>0</v>
      </c>
      <c r="T129" s="141">
        <f t="shared" si="26"/>
        <v>0</v>
      </c>
      <c r="U129" s="128">
        <f>('Grouped Summary'!O218+'Grouped Summary'!O226)</f>
        <v>402</v>
      </c>
      <c r="V129" s="141">
        <f>IF(U129&gt;0,(('Grouped Summary'!O218*'Grouped Summary'!P218)+(('Grouped Summary'!O226*'Grouped Summary'!P226)*0.81818))/U129,0)</f>
        <v>46805.172809552234</v>
      </c>
      <c r="W129" s="141">
        <f t="shared" si="27"/>
        <v>18815679.46944</v>
      </c>
      <c r="X129" s="118"/>
    </row>
    <row r="130" spans="1:24" ht="15">
      <c r="A130" s="118"/>
      <c r="B130" s="142" t="s">
        <v>797</v>
      </c>
      <c r="C130" s="143">
        <f>SUM(C124:C129)</f>
        <v>2548</v>
      </c>
      <c r="D130" s="144">
        <f>((C124*D124)+(C125*D125)+(C126*D126)+(C127*D127)+(C128*D128)+(C129*D129))/C130</f>
        <v>72135.78045222921</v>
      </c>
      <c r="E130" s="141">
        <f t="shared" si="22"/>
        <v>183801968.59228003</v>
      </c>
      <c r="F130" s="143">
        <f>SUM(F124:F129)</f>
        <v>2253</v>
      </c>
      <c r="G130" s="144">
        <f>((F124*G124)+(F125*G125)+(F126*G126)+(F127*G127)+(F128*G128)+(F129*G129))/F130</f>
        <v>53473.15187157568</v>
      </c>
      <c r="H130" s="141">
        <f t="shared" si="23"/>
        <v>120475011.16666001</v>
      </c>
      <c r="I130" s="143">
        <f>SUM(I124:I129)</f>
        <v>1691</v>
      </c>
      <c r="J130" s="144">
        <f>((I124*J124)+(I125*J125)+(I126*J126)+(I127*J127)+(I128*J128)+(I129*J129))/I130</f>
        <v>43287.62008454171</v>
      </c>
      <c r="K130" s="141">
        <f t="shared" si="24"/>
        <v>73199365.56296003</v>
      </c>
      <c r="L130" s="143">
        <f>SUM(L124:L129)</f>
        <v>417</v>
      </c>
      <c r="M130" s="144">
        <f>((L124*M124)+(L125*M125)+(L126*M126)+(L127*M127)+(L128*M128)+(L129*M129))/L130</f>
        <v>32886.106293812954</v>
      </c>
      <c r="N130" s="141">
        <f t="shared" si="25"/>
        <v>13713506.324520001</v>
      </c>
      <c r="O130" s="143">
        <f>SUM(O124:O129)</f>
        <v>130</v>
      </c>
      <c r="P130" s="144">
        <f>((O124*P124)+(O125*P125)+(O126*P126)+(O127*P127)+(O128*P128)+(O129*P129))/O130</f>
        <v>36862.258402153864</v>
      </c>
      <c r="Q130" s="141">
        <f t="shared" si="28"/>
        <v>4792093.592280002</v>
      </c>
      <c r="R130" s="143">
        <f>SUM(R124:R129)</f>
        <v>0</v>
      </c>
      <c r="S130" s="144">
        <f>IF(R130&gt;0,((R124*S124)+(R125*S125)+(R126*S126)+(R127*S127)+(R128*S128)+(R129*S129))/R130,0)</f>
        <v>0</v>
      </c>
      <c r="T130" s="141">
        <f t="shared" si="26"/>
        <v>0</v>
      </c>
      <c r="U130" s="143">
        <f>SUM(U124:U129)</f>
        <v>7039</v>
      </c>
      <c r="V130" s="144">
        <f>((U124*V124)+(U125*V125)+(U126*V126)+(U127*V127)+(U128*V128)+(U129*V129))/U130</f>
        <v>56255.426230814046</v>
      </c>
      <c r="W130" s="141">
        <f t="shared" si="27"/>
        <v>395981945.2387001</v>
      </c>
      <c r="X130" s="118"/>
    </row>
    <row r="131" spans="1:24" ht="15">
      <c r="A131" s="118" t="s">
        <v>680</v>
      </c>
      <c r="B131" s="128" t="s">
        <v>727</v>
      </c>
      <c r="C131" s="128">
        <f>('Grouped Summary'!C219+'Grouped Summary'!C227)</f>
        <v>427</v>
      </c>
      <c r="D131" s="141">
        <f>IF(C131&gt;0,(('Grouped Summary'!C219*'Grouped Summary'!D219)+(('Grouped Summary'!C227*'Grouped Summary'!D227)*0.81818))/C131,0)</f>
        <v>47362.66327063232</v>
      </c>
      <c r="E131" s="141">
        <f t="shared" si="22"/>
        <v>20223857.216560002</v>
      </c>
      <c r="F131" s="128">
        <f>('Grouped Summary'!E219+'Grouped Summary'!E227)</f>
        <v>672</v>
      </c>
      <c r="G131" s="141">
        <f>IF(F131&gt;0,(('Grouped Summary'!E219*'Grouped Summary'!F219)+(('Grouped Summary'!E227*'Grouped Summary'!F227)*0.81818))/F131,0)</f>
        <v>42066.194219732155</v>
      </c>
      <c r="H131" s="141">
        <f t="shared" si="23"/>
        <v>28268482.515660007</v>
      </c>
      <c r="I131" s="128">
        <f>('Grouped Summary'!G219+'Grouped Summary'!G227)</f>
        <v>571</v>
      </c>
      <c r="J131" s="141">
        <f>IF(I131&gt;0,(('Grouped Summary'!G219*'Grouped Summary'!H219)+(('Grouped Summary'!G227*'Grouped Summary'!H227)*0.81818))/I131,0)</f>
        <v>37121.5184796497</v>
      </c>
      <c r="K131" s="141">
        <f t="shared" si="24"/>
        <v>21196387.051879976</v>
      </c>
      <c r="L131" s="128">
        <f>('Grouped Summary'!I219+'Grouped Summary'!I227)</f>
        <v>230</v>
      </c>
      <c r="M131" s="141">
        <f>IF(L131&gt;0,(('Grouped Summary'!I219*'Grouped Summary'!J219)+(('Grouped Summary'!I227*'Grouped Summary'!J227)*0.81818))/L131,0)</f>
        <v>32576.846150434794</v>
      </c>
      <c r="N131" s="141">
        <f t="shared" si="25"/>
        <v>7492674.614600003</v>
      </c>
      <c r="O131" s="128">
        <f>('Grouped Summary'!K219+'Grouped Summary'!K227)</f>
        <v>3</v>
      </c>
      <c r="P131" s="141">
        <f>IF(O131&gt;0,(('Grouped Summary'!K219*'Grouped Summary'!L219)+(('Grouped Summary'!K227*'Grouped Summary'!L227)*0.81818))/O131,0)</f>
        <v>27712.826826666667</v>
      </c>
      <c r="Q131" s="141">
        <f t="shared" si="28"/>
        <v>83138.48048</v>
      </c>
      <c r="R131" s="128">
        <f>('Grouped Summary'!M219+'Grouped Summary'!M227)</f>
        <v>0</v>
      </c>
      <c r="S131" s="141">
        <f>IF(R131&gt;0,(('Grouped Summary'!M219*'Grouped Summary'!N219)+(('Grouped Summary'!M227*'Grouped Summary'!N227)*0.81818))/R131,0)</f>
        <v>0</v>
      </c>
      <c r="T131" s="141">
        <f t="shared" si="26"/>
        <v>0</v>
      </c>
      <c r="U131" s="128">
        <f>('Grouped Summary'!O219+'Grouped Summary'!O227)</f>
        <v>1903</v>
      </c>
      <c r="V131" s="141">
        <f>IF(U131&gt;0,(('Grouped Summary'!O219*'Grouped Summary'!P219)+(('Grouped Summary'!O227*'Grouped Summary'!P227)*0.81818))/U131,0)</f>
        <v>40601.43976835523</v>
      </c>
      <c r="W131" s="141">
        <f t="shared" si="27"/>
        <v>77264539.87918</v>
      </c>
      <c r="X131" s="118"/>
    </row>
    <row r="132" spans="1:24" ht="15">
      <c r="A132" s="119" t="s">
        <v>680</v>
      </c>
      <c r="B132" s="137" t="s">
        <v>728</v>
      </c>
      <c r="C132" s="137">
        <f>('Grouped Summary'!C220+'Grouped Summary'!C228)</f>
        <v>0</v>
      </c>
      <c r="D132" s="145">
        <f>IF(C132&gt;0,(('Grouped Summary'!C220*'Grouped Summary'!D220)+(('Grouped Summary'!C228*'Grouped Summary'!D228)*0.81818))/C132,0)</f>
        <v>0</v>
      </c>
      <c r="E132" s="145">
        <f t="shared" si="22"/>
        <v>0</v>
      </c>
      <c r="F132" s="137">
        <f>('Grouped Summary'!E220+'Grouped Summary'!E228)</f>
        <v>0</v>
      </c>
      <c r="G132" s="145">
        <f>IF(F132&gt;0,(('Grouped Summary'!E220*'Grouped Summary'!F220)+(('Grouped Summary'!E228*'Grouped Summary'!F228)*0.81818))/F132,0)</f>
        <v>0</v>
      </c>
      <c r="H132" s="145">
        <f t="shared" si="23"/>
        <v>0</v>
      </c>
      <c r="I132" s="137">
        <f>('Grouped Summary'!G220+'Grouped Summary'!G228)</f>
        <v>0</v>
      </c>
      <c r="J132" s="145">
        <f>IF(I132&gt;0,(('Grouped Summary'!G220*'Grouped Summary'!H220)+(('Grouped Summary'!G228*'Grouped Summary'!H228)*0.81818))/I132,0)</f>
        <v>0</v>
      </c>
      <c r="K132" s="145">
        <f t="shared" si="24"/>
        <v>0</v>
      </c>
      <c r="L132" s="137">
        <f>('Grouped Summary'!I220+'Grouped Summary'!I228)</f>
        <v>0</v>
      </c>
      <c r="M132" s="145">
        <f>IF(L132&gt;0,(('Grouped Summary'!I220*'Grouped Summary'!J220)+(('Grouped Summary'!I228*'Grouped Summary'!J228)*0.81818))/L132,0)</f>
        <v>0</v>
      </c>
      <c r="N132" s="145">
        <f t="shared" si="25"/>
        <v>0</v>
      </c>
      <c r="O132" s="137">
        <f>('Grouped Summary'!K220+'Grouped Summary'!K228)</f>
        <v>0</v>
      </c>
      <c r="P132" s="145">
        <f>IF(O132&gt;0,(('Grouped Summary'!K220*'Grouped Summary'!L220)+(('Grouped Summary'!K228*'Grouped Summary'!L228)*0.81818))/O132,0)</f>
        <v>0</v>
      </c>
      <c r="Q132" s="145">
        <f t="shared" si="28"/>
        <v>0</v>
      </c>
      <c r="R132" s="137">
        <f>('Grouped Summary'!M220+'Grouped Summary'!M228)</f>
        <v>0</v>
      </c>
      <c r="S132" s="145">
        <f>IF(R132&gt;0,(('Grouped Summary'!M220*'Grouped Summary'!N220)+(('Grouped Summary'!M228*'Grouped Summary'!N228)*0.81818))/R132,0)</f>
        <v>0</v>
      </c>
      <c r="T132" s="145">
        <f t="shared" si="26"/>
        <v>0</v>
      </c>
      <c r="U132" s="137">
        <f>('Grouped Summary'!O220+'Grouped Summary'!O228)</f>
        <v>0</v>
      </c>
      <c r="V132" s="145">
        <f>IF(U132&gt;0,(('Grouped Summary'!O220*'Grouped Summary'!P220)+(('Grouped Summary'!O228*'Grouped Summary'!P228)*0.81818))/U132,0)</f>
        <v>0</v>
      </c>
      <c r="W132" s="145">
        <f t="shared" si="27"/>
        <v>0</v>
      </c>
      <c r="X132" s="118"/>
    </row>
    <row r="133" spans="1:24" ht="15">
      <c r="A133" s="118" t="s">
        <v>697</v>
      </c>
      <c r="B133" s="128" t="s">
        <v>721</v>
      </c>
      <c r="C133" s="128">
        <f>('Grouped Summary'!C229+'Grouped Summary'!C237)</f>
        <v>346</v>
      </c>
      <c r="D133" s="141">
        <f>IF(C133&gt;0,(('Grouped Summary'!C229*'Grouped Summary'!D229)+(('Grouped Summary'!C237*'Grouped Summary'!D237)*0.81818))/C133,0)</f>
        <v>62461.923475144504</v>
      </c>
      <c r="E133" s="141">
        <f t="shared" si="22"/>
        <v>21611825.5224</v>
      </c>
      <c r="F133" s="128">
        <f>('Grouped Summary'!E229+'Grouped Summary'!E237)</f>
        <v>253</v>
      </c>
      <c r="G133" s="141">
        <f>IF(F133&gt;0,(('Grouped Summary'!E229*'Grouped Summary'!F229)+(('Grouped Summary'!E237*'Grouped Summary'!F237)*0.81818))/F133,0)</f>
        <v>49986.42793320159</v>
      </c>
      <c r="H133" s="141">
        <f t="shared" si="23"/>
        <v>12646566.2671</v>
      </c>
      <c r="I133" s="128">
        <f>('Grouped Summary'!G229+'Grouped Summary'!G237)</f>
        <v>222</v>
      </c>
      <c r="J133" s="141">
        <f>IF(I133&gt;0,(('Grouped Summary'!G229*'Grouped Summary'!H229)+(('Grouped Summary'!G237*'Grouped Summary'!H237)*0.81818))/I133,0)</f>
        <v>40522.73504864865</v>
      </c>
      <c r="K133" s="141">
        <f t="shared" si="24"/>
        <v>8996047.1808</v>
      </c>
      <c r="L133" s="128">
        <f>('Grouped Summary'!I229+'Grouped Summary'!I237)</f>
        <v>16</v>
      </c>
      <c r="M133" s="141">
        <f>IF(L133&gt;0,(('Grouped Summary'!I229*'Grouped Summary'!J229)+(('Grouped Summary'!I237*'Grouped Summary'!J237)*0.81818))/L133,0)</f>
        <v>32840.702595</v>
      </c>
      <c r="N133" s="141">
        <f t="shared" si="25"/>
        <v>525451.24152</v>
      </c>
      <c r="O133" s="128">
        <f>('Grouped Summary'!K229+'Grouped Summary'!K237)</f>
        <v>10</v>
      </c>
      <c r="P133" s="141">
        <f>IF(O133&gt;0,(('Grouped Summary'!K229*'Grouped Summary'!L229)+(('Grouped Summary'!K237*'Grouped Summary'!L237)*0.81818))/O133,0)</f>
        <v>27538.187923999998</v>
      </c>
      <c r="Q133" s="141">
        <f t="shared" si="28"/>
        <v>275381.87924</v>
      </c>
      <c r="R133" s="128">
        <f>('Grouped Summary'!M229+'Grouped Summary'!M237)</f>
        <v>0</v>
      </c>
      <c r="S133" s="141">
        <f>IF(R133&gt;0,(('Grouped Summary'!M229*'Grouped Summary'!N229)+(('Grouped Summary'!M237*'Grouped Summary'!N237)*0.81818))/R133,0)</f>
        <v>0</v>
      </c>
      <c r="T133" s="141">
        <f t="shared" si="26"/>
        <v>0</v>
      </c>
      <c r="U133" s="128">
        <f>('Grouped Summary'!O229+'Grouped Summary'!O237)</f>
        <v>847</v>
      </c>
      <c r="V133" s="141">
        <f>IF(U133&gt;0,(('Grouped Summary'!O229*'Grouped Summary'!P229)+(('Grouped Summary'!O237*'Grouped Summary'!P237)*0.81818))/U133,0)</f>
        <v>52013.308253907904</v>
      </c>
      <c r="W133" s="141">
        <f t="shared" si="27"/>
        <v>44055272.09106</v>
      </c>
      <c r="X133" s="118"/>
    </row>
    <row r="134" spans="1:24" ht="15">
      <c r="A134" s="118" t="s">
        <v>697</v>
      </c>
      <c r="B134" s="128" t="s">
        <v>722</v>
      </c>
      <c r="C134" s="128">
        <f>('Grouped Summary'!C230+'Grouped Summary'!C238)</f>
        <v>0</v>
      </c>
      <c r="D134" s="141">
        <f>IF(C134&gt;0,(('Grouped Summary'!C230*'Grouped Summary'!D230)+(('Grouped Summary'!C238*'Grouped Summary'!D238)*0.81818))/C134,0)</f>
        <v>0</v>
      </c>
      <c r="E134" s="141">
        <f t="shared" si="22"/>
        <v>0</v>
      </c>
      <c r="F134" s="128">
        <f>('Grouped Summary'!E230+'Grouped Summary'!E238)</f>
        <v>0</v>
      </c>
      <c r="G134" s="141">
        <f>IF(F134&gt;0,(('Grouped Summary'!E230*'Grouped Summary'!F230)+(('Grouped Summary'!E238*'Grouped Summary'!F238)*0.81818))/F134,0)</f>
        <v>0</v>
      </c>
      <c r="H134" s="141">
        <f t="shared" si="23"/>
        <v>0</v>
      </c>
      <c r="I134" s="128">
        <f>('Grouped Summary'!G230+'Grouped Summary'!G238)</f>
        <v>0</v>
      </c>
      <c r="J134" s="141">
        <f>IF(I134&gt;0,(('Grouped Summary'!G230*'Grouped Summary'!H230)+(('Grouped Summary'!G238*'Grouped Summary'!H238)*0.81818))/I134,0)</f>
        <v>0</v>
      </c>
      <c r="K134" s="141">
        <f t="shared" si="24"/>
        <v>0</v>
      </c>
      <c r="L134" s="128">
        <f>('Grouped Summary'!I230+'Grouped Summary'!I238)</f>
        <v>0</v>
      </c>
      <c r="M134" s="141">
        <f>IF(L134&gt;0,(('Grouped Summary'!I230*'Grouped Summary'!J230)+(('Grouped Summary'!I238*'Grouped Summary'!J238)*0.81818))/L134,0)</f>
        <v>0</v>
      </c>
      <c r="N134" s="141">
        <f t="shared" si="25"/>
        <v>0</v>
      </c>
      <c r="O134" s="128">
        <f>('Grouped Summary'!K230+'Grouped Summary'!K238)</f>
        <v>0</v>
      </c>
      <c r="P134" s="141">
        <f>IF(O134&gt;0,(('Grouped Summary'!K230*'Grouped Summary'!L230)+(('Grouped Summary'!K238*'Grouped Summary'!L238)*0.81818))/O134,0)</f>
        <v>0</v>
      </c>
      <c r="Q134" s="141">
        <f t="shared" si="28"/>
        <v>0</v>
      </c>
      <c r="R134" s="128">
        <f>('Grouped Summary'!M230+'Grouped Summary'!M238)</f>
        <v>0</v>
      </c>
      <c r="S134" s="141">
        <f>IF(R134&gt;0,(('Grouped Summary'!M230*'Grouped Summary'!N230)+(('Grouped Summary'!M238*'Grouped Summary'!N238)*0.81818))/R134,0)</f>
        <v>0</v>
      </c>
      <c r="T134" s="141">
        <f t="shared" si="26"/>
        <v>0</v>
      </c>
      <c r="U134" s="128">
        <f>('Grouped Summary'!O230+'Grouped Summary'!O238)</f>
        <v>0</v>
      </c>
      <c r="V134" s="141">
        <f>IF(U134&gt;0,(('Grouped Summary'!O230*'Grouped Summary'!P230)+(('Grouped Summary'!O238*'Grouped Summary'!P238)*0.81818))/U134,0)</f>
        <v>0</v>
      </c>
      <c r="W134" s="141">
        <f t="shared" si="27"/>
        <v>0</v>
      </c>
      <c r="X134" s="118"/>
    </row>
    <row r="135" spans="1:24" ht="15">
      <c r="A135" s="118" t="s">
        <v>697</v>
      </c>
      <c r="B135" s="128" t="s">
        <v>723</v>
      </c>
      <c r="C135" s="128">
        <f>('Grouped Summary'!C231+'Grouped Summary'!C239)</f>
        <v>168</v>
      </c>
      <c r="D135" s="141">
        <f>IF(C135&gt;0,(('Grouped Summary'!C231*'Grouped Summary'!D231)+(('Grouped Summary'!C239*'Grouped Summary'!D239)*0.81818))/C135,0)</f>
        <v>52623.86414666667</v>
      </c>
      <c r="E135" s="141">
        <f>C135*D135</f>
        <v>8840809.17664</v>
      </c>
      <c r="F135" s="128">
        <f>('Grouped Summary'!E231+'Grouped Summary'!E239)</f>
        <v>122</v>
      </c>
      <c r="G135" s="141">
        <f>IF(F135&gt;0,(('Grouped Summary'!E231*'Grouped Summary'!F231)+(('Grouped Summary'!E239*'Grouped Summary'!F239)*0.81818))/F135,0)</f>
        <v>42630.77476672131</v>
      </c>
      <c r="H135" s="141">
        <f>F135*G135</f>
        <v>5200954.52154</v>
      </c>
      <c r="I135" s="128">
        <f>('Grouped Summary'!G231+'Grouped Summary'!G239)</f>
        <v>102</v>
      </c>
      <c r="J135" s="141">
        <f>IF(I135&gt;0,(('Grouped Summary'!G231*'Grouped Summary'!H231)+(('Grouped Summary'!G239*'Grouped Summary'!H239)*0.81818))/I135,0)</f>
        <v>34279.77041254902</v>
      </c>
      <c r="K135" s="141">
        <f>I135*J135</f>
        <v>3496536.58208</v>
      </c>
      <c r="L135" s="128">
        <f>('Grouped Summary'!I231+'Grouped Summary'!I239)</f>
        <v>19</v>
      </c>
      <c r="M135" s="141">
        <f>IF(L135&gt;0,(('Grouped Summary'!I231*'Grouped Summary'!J231)+(('Grouped Summary'!I239*'Grouped Summary'!J239)*0.81818))/L135,0)</f>
        <v>24958</v>
      </c>
      <c r="N135" s="141">
        <f>L135*M135</f>
        <v>474202</v>
      </c>
      <c r="O135" s="128">
        <f>('Grouped Summary'!K231+'Grouped Summary'!K239)</f>
        <v>0</v>
      </c>
      <c r="P135" s="141">
        <f>IF(O135&gt;0,(('Grouped Summary'!K231*'Grouped Summary'!L231)+(('Grouped Summary'!K239*'Grouped Summary'!L239)*0.81818))/O135,0)</f>
        <v>0</v>
      </c>
      <c r="Q135" s="141">
        <f t="shared" si="28"/>
        <v>0</v>
      </c>
      <c r="R135" s="128">
        <f>('Grouped Summary'!M231+'Grouped Summary'!M239)</f>
        <v>0</v>
      </c>
      <c r="S135" s="141">
        <f>IF(R135&gt;0,(('Grouped Summary'!M231*'Grouped Summary'!N231)+(('Grouped Summary'!M239*'Grouped Summary'!N239)*0.81818))/R135,0)</f>
        <v>0</v>
      </c>
      <c r="T135" s="141">
        <f>R135*S135</f>
        <v>0</v>
      </c>
      <c r="U135" s="128">
        <f>('Grouped Summary'!O231+'Grouped Summary'!O239)</f>
        <v>411</v>
      </c>
      <c r="V135" s="141">
        <f>IF(U135&gt;0,(('Grouped Summary'!O231*'Grouped Summary'!P231)+(('Grouped Summary'!O239*'Grouped Summary'!P239)*0.81818))/U135,0)</f>
        <v>43826.0396113382</v>
      </c>
      <c r="W135" s="141">
        <f>U135*V135</f>
        <v>18012502.28026</v>
      </c>
      <c r="X135" s="118"/>
    </row>
    <row r="136" spans="1:24" ht="15">
      <c r="A136" s="118" t="s">
        <v>697</v>
      </c>
      <c r="B136" s="128" t="s">
        <v>724</v>
      </c>
      <c r="C136" s="128">
        <f>('Grouped Summary'!C232+'Grouped Summary'!C240)</f>
        <v>0</v>
      </c>
      <c r="D136" s="141">
        <f>IF(C136&gt;0,(('Grouped Summary'!C232*'Grouped Summary'!D232)+(('Grouped Summary'!C240*'Grouped Summary'!D240)*0.81818))/C136,0)</f>
        <v>0</v>
      </c>
      <c r="E136" s="141">
        <f>C136*D136</f>
        <v>0</v>
      </c>
      <c r="F136" s="128">
        <f>('Grouped Summary'!E232+'Grouped Summary'!E240)</f>
        <v>0</v>
      </c>
      <c r="G136" s="141">
        <f>IF(F136&gt;0,(('Grouped Summary'!E232*'Grouped Summary'!F232)+(('Grouped Summary'!E240*'Grouped Summary'!F240)*0.81818))/F136,0)</f>
        <v>0</v>
      </c>
      <c r="H136" s="141">
        <f>F136*G136</f>
        <v>0</v>
      </c>
      <c r="I136" s="128">
        <f>('Grouped Summary'!G232+'Grouped Summary'!G240)</f>
        <v>0</v>
      </c>
      <c r="J136" s="141">
        <f>IF(I136&gt;0,(('Grouped Summary'!G232*'Grouped Summary'!H232)+(('Grouped Summary'!G240*'Grouped Summary'!H240)*0.81818))/I136,0)</f>
        <v>0</v>
      </c>
      <c r="K136" s="141">
        <f>I136*J136</f>
        <v>0</v>
      </c>
      <c r="L136" s="128">
        <f>('Grouped Summary'!I232+'Grouped Summary'!I240)</f>
        <v>0</v>
      </c>
      <c r="M136" s="141">
        <f>IF(L136&gt;0,(('Grouped Summary'!I232*'Grouped Summary'!J232)+(('Grouped Summary'!I240*'Grouped Summary'!J240)*0.81818))/L136,0)</f>
        <v>0</v>
      </c>
      <c r="N136" s="141">
        <f>L136*M136</f>
        <v>0</v>
      </c>
      <c r="O136" s="128">
        <f>('Grouped Summary'!K232+'Grouped Summary'!K240)</f>
        <v>0</v>
      </c>
      <c r="P136" s="141">
        <f>IF(O136&gt;0,(('Grouped Summary'!K232*'Grouped Summary'!L232)+(('Grouped Summary'!K240*'Grouped Summary'!L240)*0.81818))/O136,0)</f>
        <v>0</v>
      </c>
      <c r="Q136" s="141">
        <f t="shared" si="28"/>
        <v>0</v>
      </c>
      <c r="R136" s="128">
        <f>('Grouped Summary'!M232+'Grouped Summary'!M240)</f>
        <v>0</v>
      </c>
      <c r="S136" s="141">
        <f>IF(R136&gt;0,(('Grouped Summary'!M232*'Grouped Summary'!N232)+(('Grouped Summary'!M240*'Grouped Summary'!N240)*0.81818))/R136,0)</f>
        <v>0</v>
      </c>
      <c r="T136" s="141">
        <f>R136*S136</f>
        <v>0</v>
      </c>
      <c r="U136" s="128">
        <f>('Grouped Summary'!O232+'Grouped Summary'!O240)</f>
        <v>0</v>
      </c>
      <c r="V136" s="141">
        <f>IF(U136&gt;0,(('Grouped Summary'!O232*'Grouped Summary'!P232)+(('Grouped Summary'!O240*'Grouped Summary'!P240)*0.81818))/U136,0)</f>
        <v>0</v>
      </c>
      <c r="W136" s="141">
        <f>U136*V136</f>
        <v>0</v>
      </c>
      <c r="X136" s="118"/>
    </row>
    <row r="137" spans="1:24" ht="15">
      <c r="A137" s="118" t="s">
        <v>697</v>
      </c>
      <c r="B137" s="128" t="s">
        <v>725</v>
      </c>
      <c r="C137" s="128">
        <f>('Grouped Summary'!C233+'Grouped Summary'!C241)</f>
        <v>0</v>
      </c>
      <c r="D137" s="141">
        <f>IF(C137&gt;0,(('Grouped Summary'!C233*'Grouped Summary'!D233)+(('Grouped Summary'!C241*'Grouped Summary'!D241)*0.81818))/C137,0)</f>
        <v>0</v>
      </c>
      <c r="E137" s="141">
        <f>C137*D137</f>
        <v>0</v>
      </c>
      <c r="F137" s="128">
        <f>('Grouped Summary'!E233+'Grouped Summary'!E241)</f>
        <v>0</v>
      </c>
      <c r="G137" s="141">
        <f>IF(F137&gt;0,(('Grouped Summary'!E233*'Grouped Summary'!F233)+(('Grouped Summary'!E241*'Grouped Summary'!F241)*0.81818))/F137,0)</f>
        <v>0</v>
      </c>
      <c r="H137" s="141">
        <f>F137*G137</f>
        <v>0</v>
      </c>
      <c r="I137" s="128">
        <f>('Grouped Summary'!G233+'Grouped Summary'!G241)</f>
        <v>0</v>
      </c>
      <c r="J137" s="141">
        <f>IF(I137&gt;0,(('Grouped Summary'!G233*'Grouped Summary'!H233)+(('Grouped Summary'!G241*'Grouped Summary'!H241)*0.81818))/I137,0)</f>
        <v>0</v>
      </c>
      <c r="K137" s="141">
        <f>I137*J137</f>
        <v>0</v>
      </c>
      <c r="L137" s="128">
        <f>('Grouped Summary'!I233+'Grouped Summary'!I241)</f>
        <v>0</v>
      </c>
      <c r="M137" s="141">
        <f>IF(L137&gt;0,(('Grouped Summary'!I233*'Grouped Summary'!J233)+(('Grouped Summary'!I241*'Grouped Summary'!J241)*0.81818))/L137,0)</f>
        <v>0</v>
      </c>
      <c r="N137" s="141">
        <f>L137*M137</f>
        <v>0</v>
      </c>
      <c r="O137" s="128">
        <f>('Grouped Summary'!K233+'Grouped Summary'!K241)</f>
        <v>0</v>
      </c>
      <c r="P137" s="141">
        <f>IF(O137&gt;0,(('Grouped Summary'!K233*'Grouped Summary'!L233)+(('Grouped Summary'!K241*'Grouped Summary'!L241)*0.81818))/O137,0)</f>
        <v>0</v>
      </c>
      <c r="Q137" s="141">
        <f t="shared" si="28"/>
        <v>0</v>
      </c>
      <c r="R137" s="128">
        <f>('Grouped Summary'!M233+'Grouped Summary'!M241)</f>
        <v>0</v>
      </c>
      <c r="S137" s="141">
        <f>IF(R137&gt;0,(('Grouped Summary'!M233*'Grouped Summary'!N233)+(('Grouped Summary'!M241*'Grouped Summary'!N241)*0.81818))/R137,0)</f>
        <v>0</v>
      </c>
      <c r="T137" s="141">
        <f>R137*S137</f>
        <v>0</v>
      </c>
      <c r="U137" s="128">
        <f>('Grouped Summary'!O233+'Grouped Summary'!O241)</f>
        <v>0</v>
      </c>
      <c r="V137" s="141">
        <f>IF(U137&gt;0,(('Grouped Summary'!O233*'Grouped Summary'!P233)+(('Grouped Summary'!O241*'Grouped Summary'!P241)*0.81818))/U137,0)</f>
        <v>0</v>
      </c>
      <c r="W137" s="141">
        <f>U137*V137</f>
        <v>0</v>
      </c>
      <c r="X137" s="118"/>
    </row>
    <row r="138" spans="1:24" ht="15">
      <c r="A138" s="118" t="s">
        <v>697</v>
      </c>
      <c r="B138" s="128" t="s">
        <v>726</v>
      </c>
      <c r="C138" s="128">
        <f>('Grouped Summary'!C234+'Grouped Summary'!C242)</f>
        <v>270</v>
      </c>
      <c r="D138" s="141">
        <f>IF(C138&gt;0,(('Grouped Summary'!C234*'Grouped Summary'!D234)+(('Grouped Summary'!C242*'Grouped Summary'!D242)*0.81818))/C138,0)</f>
        <v>47025.627102962964</v>
      </c>
      <c r="E138" s="141">
        <f>C138*D138</f>
        <v>12696919.3178</v>
      </c>
      <c r="F138" s="128">
        <f>('Grouped Summary'!E234+'Grouped Summary'!E242)</f>
        <v>306</v>
      </c>
      <c r="G138" s="141">
        <f>IF(F138&gt;0,(('Grouped Summary'!E234*'Grouped Summary'!F234)+(('Grouped Summary'!E242*'Grouped Summary'!F242)*0.81818))/F138,0)</f>
        <v>39443.13972026139</v>
      </c>
      <c r="H138" s="141">
        <f>F138*G138</f>
        <v>12069600.754399985</v>
      </c>
      <c r="I138" s="128">
        <f>('Grouped Summary'!G234+'Grouped Summary'!G242)</f>
        <v>258</v>
      </c>
      <c r="J138" s="141">
        <f>IF(I138&gt;0,(('Grouped Summary'!G234*'Grouped Summary'!H234)+(('Grouped Summary'!G242*'Grouped Summary'!H242)*0.81818))/I138,0)</f>
        <v>34140.21622511626</v>
      </c>
      <c r="K138" s="141">
        <f>I138*J138</f>
        <v>8808175.786079995</v>
      </c>
      <c r="L138" s="128">
        <f>('Grouped Summary'!I234+'Grouped Summary'!I242)</f>
        <v>93</v>
      </c>
      <c r="M138" s="141">
        <f>IF(L138&gt;0,(('Grouped Summary'!I234*'Grouped Summary'!J234)+(('Grouped Summary'!I242*'Grouped Summary'!J242)*0.81818))/L138,0)</f>
        <v>29660.019118924734</v>
      </c>
      <c r="N138" s="141">
        <f>L138*M138</f>
        <v>2758381.7780600004</v>
      </c>
      <c r="O138" s="128">
        <f>('Grouped Summary'!K234+'Grouped Summary'!K242)</f>
        <v>16</v>
      </c>
      <c r="P138" s="141">
        <f>IF(O138&gt;0,(('Grouped Summary'!K234*'Grouped Summary'!L234)+(('Grouped Summary'!K242*'Grouped Summary'!L242)*0.81818))/O138,0)</f>
        <v>32424.76725499997</v>
      </c>
      <c r="Q138" s="141">
        <f t="shared" si="28"/>
        <v>518796.2760799995</v>
      </c>
      <c r="R138" s="128">
        <f>('Grouped Summary'!M234+'Grouped Summary'!M242)</f>
        <v>0</v>
      </c>
      <c r="S138" s="141">
        <f>IF(R138&gt;0,(('Grouped Summary'!M234*'Grouped Summary'!N234)+(('Grouped Summary'!M242*'Grouped Summary'!N242)*0.81818))/R138,0)</f>
        <v>0</v>
      </c>
      <c r="T138" s="141">
        <f>R138*S138</f>
        <v>0</v>
      </c>
      <c r="U138" s="128">
        <f>('Grouped Summary'!O234+'Grouped Summary'!O242)</f>
        <v>943</v>
      </c>
      <c r="V138" s="141">
        <f>IF(U138&gt;0,(('Grouped Summary'!O234*'Grouped Summary'!P234)+(('Grouped Summary'!O242*'Grouped Summary'!P242)*0.81818))/U138,0)</f>
        <v>39079.3996950371</v>
      </c>
      <c r="W138" s="141">
        <f>U138*V138</f>
        <v>36851873.91241998</v>
      </c>
      <c r="X138" s="118"/>
    </row>
    <row r="139" spans="1:24" ht="15">
      <c r="A139" s="118"/>
      <c r="B139" s="142" t="s">
        <v>797</v>
      </c>
      <c r="C139" s="143">
        <f>SUM(C133:C138)</f>
        <v>784</v>
      </c>
      <c r="D139" s="144">
        <f>((C133*D133)+(C134*D134)+(C135*D135)+(C136*D136)+(C137*D137)+(C138*D138))/C139</f>
        <v>55037.696450051015</v>
      </c>
      <c r="E139" s="141">
        <f>C139*D139</f>
        <v>43149554.016839996</v>
      </c>
      <c r="F139" s="143">
        <f>SUM(F133:F138)</f>
        <v>681</v>
      </c>
      <c r="G139" s="144">
        <f>((F133*G133)+(F134*G134)+(F135*G135)+(F136*G136)+(F137*G137)+(F138*G138))/F139</f>
        <v>43931.16232458148</v>
      </c>
      <c r="H139" s="141">
        <f>F139*G139</f>
        <v>29917121.543039985</v>
      </c>
      <c r="I139" s="143">
        <f>SUM(I133:I138)</f>
        <v>582</v>
      </c>
      <c r="J139" s="144">
        <f>((I133*J133)+(I134*J134)+(I135*J135)+(I136*J136)+(I137*J137)+(I138*J138))/I139</f>
        <v>36599.243211271474</v>
      </c>
      <c r="K139" s="141">
        <f>I139*J139</f>
        <v>21300759.548959997</v>
      </c>
      <c r="L139" s="143">
        <f>SUM(L133:L138)</f>
        <v>128</v>
      </c>
      <c r="M139" s="144">
        <f>((L133*M133)+(L134*M134)+(L135*M135)+(L136*M136)+(L137*M137)+(L138*M138))/L139</f>
        <v>29359.648590468754</v>
      </c>
      <c r="N139" s="141">
        <f>L139*M139</f>
        <v>3758035.0195800005</v>
      </c>
      <c r="O139" s="143">
        <f>SUM(O133:O138)</f>
        <v>26</v>
      </c>
      <c r="P139" s="144">
        <f>((O133*P133)+(O134*P134)+(O135*P135)+(O136*P136)+(O137*P137)+(O138*P138))/O139</f>
        <v>30545.313666153823</v>
      </c>
      <c r="Q139" s="141">
        <f t="shared" si="28"/>
        <v>794178.1553199994</v>
      </c>
      <c r="R139" s="143">
        <f>SUM(R133:R138)</f>
        <v>0</v>
      </c>
      <c r="S139" s="144">
        <f>IF(R139&gt;0,((R133*S133)+(R134*S134)+(R135*S135)+(R136*S136)+(R137*S137)+(R138*S138))/R139,0)</f>
        <v>0</v>
      </c>
      <c r="T139" s="141">
        <f>R139*S139</f>
        <v>0</v>
      </c>
      <c r="U139" s="143">
        <f>SUM(U133:U138)</f>
        <v>2201</v>
      </c>
      <c r="V139" s="144">
        <f>((U133*V133)+(U134*V134)+(U135*V135)+(U136*V136)+(U137*V137)+(U138*V138))/U139</f>
        <v>44943.04783450249</v>
      </c>
      <c r="W139" s="141">
        <f>U139*V139</f>
        <v>98919648.28373998</v>
      </c>
      <c r="X139" s="118"/>
    </row>
    <row r="140" spans="1:24" ht="15">
      <c r="A140" s="118" t="s">
        <v>697</v>
      </c>
      <c r="B140" s="128" t="s">
        <v>727</v>
      </c>
      <c r="C140" s="128">
        <f>('Grouped Summary'!C235+'Grouped Summary'!C243)</f>
        <v>86</v>
      </c>
      <c r="D140" s="141">
        <f>IF(C140&gt;0,(('Grouped Summary'!C235*'Grouped Summary'!D235)+(('Grouped Summary'!C243*'Grouped Summary'!D243)*0.81818))/C140,0)</f>
        <v>44503.58885674419</v>
      </c>
      <c r="E140" s="141">
        <f>C140*D140</f>
        <v>3827308.64168</v>
      </c>
      <c r="F140" s="128">
        <f>('Grouped Summary'!E235+'Grouped Summary'!E243)</f>
        <v>61</v>
      </c>
      <c r="G140" s="141">
        <f>IF(F140&gt;0,(('Grouped Summary'!E235*'Grouped Summary'!F235)+(('Grouped Summary'!E243*'Grouped Summary'!F243)*0.81818))/F140,0)</f>
        <v>36787.351921967245</v>
      </c>
      <c r="H140" s="141">
        <f>F140*G140</f>
        <v>2244028.467240002</v>
      </c>
      <c r="I140" s="128">
        <f>('Grouped Summary'!G235+'Grouped Summary'!G243)</f>
        <v>48</v>
      </c>
      <c r="J140" s="141">
        <f>IF(I140&gt;0,(('Grouped Summary'!G235*'Grouped Summary'!H235)+(('Grouped Summary'!G243*'Grouped Summary'!H243)*0.81818))/I140,0)</f>
        <v>31046.6666666667</v>
      </c>
      <c r="K140" s="141">
        <f>I140*J140</f>
        <v>1490240.0000000016</v>
      </c>
      <c r="L140" s="128">
        <f>('Grouped Summary'!I235+'Grouped Summary'!I243)</f>
        <v>26</v>
      </c>
      <c r="M140" s="141">
        <f>IF(L140&gt;0,(('Grouped Summary'!I235*'Grouped Summary'!J235)+(('Grouped Summary'!I243*'Grouped Summary'!J243)*0.81818))/L140,0)</f>
        <v>27151.4615384615</v>
      </c>
      <c r="N140" s="141">
        <f>L140*M140</f>
        <v>705937.999999999</v>
      </c>
      <c r="O140" s="128">
        <f>('Grouped Summary'!K235+'Grouped Summary'!K243)</f>
        <v>9</v>
      </c>
      <c r="P140" s="141">
        <f>IF(O140&gt;0,(('Grouped Summary'!K235*'Grouped Summary'!L235)+(('Grouped Summary'!K243*'Grouped Summary'!L243)*0.81818))/O140,0)</f>
        <v>24542</v>
      </c>
      <c r="Q140" s="141">
        <f t="shared" si="28"/>
        <v>220878</v>
      </c>
      <c r="R140" s="128">
        <f>('Grouped Summary'!M235+'Grouped Summary'!M243)</f>
        <v>0</v>
      </c>
      <c r="S140" s="141">
        <f>IF(R140&gt;0,(('Grouped Summary'!M235*'Grouped Summary'!N235)+(('Grouped Summary'!M243*'Grouped Summary'!N243)*0.81818))/R140,0)</f>
        <v>0</v>
      </c>
      <c r="T140" s="141">
        <f>R140*S140</f>
        <v>0</v>
      </c>
      <c r="U140" s="128">
        <f>('Grouped Summary'!O235+'Grouped Summary'!O243)</f>
        <v>230</v>
      </c>
      <c r="V140" s="141">
        <f>IF(U140&gt;0,(('Grouped Summary'!O235*'Grouped Summary'!P235)+(('Grouped Summary'!O243*'Grouped Summary'!P243)*0.81818))/U140,0)</f>
        <v>36906.05699530436</v>
      </c>
      <c r="W140" s="141">
        <f>U140*V140</f>
        <v>8488393.108920002</v>
      </c>
      <c r="X140" s="118"/>
    </row>
    <row r="141" spans="1:24" ht="15">
      <c r="A141" s="119" t="s">
        <v>697</v>
      </c>
      <c r="B141" s="137" t="s">
        <v>728</v>
      </c>
      <c r="C141" s="137">
        <f>('Grouped Summary'!C236+'Grouped Summary'!C244)</f>
        <v>0</v>
      </c>
      <c r="D141" s="145">
        <f>IF(C141&gt;0,(('Grouped Summary'!C236*'Grouped Summary'!D236)+(('Grouped Summary'!C244*'Grouped Summary'!D244)*0.81818))/C141,0)</f>
        <v>0</v>
      </c>
      <c r="E141" s="145">
        <f>C141*D141</f>
        <v>0</v>
      </c>
      <c r="F141" s="137">
        <f>('Grouped Summary'!E236+'Grouped Summary'!E244)</f>
        <v>0</v>
      </c>
      <c r="G141" s="145">
        <f>IF(F141&gt;0,(('Grouped Summary'!E236*'Grouped Summary'!F236)+(('Grouped Summary'!E244*'Grouped Summary'!F244)*0.81818))/F141,0)</f>
        <v>0</v>
      </c>
      <c r="H141" s="145">
        <f>F141*G141</f>
        <v>0</v>
      </c>
      <c r="I141" s="137">
        <f>('Grouped Summary'!G236+'Grouped Summary'!G244)</f>
        <v>0</v>
      </c>
      <c r="J141" s="145">
        <f>IF(I141&gt;0,(('Grouped Summary'!G236*'Grouped Summary'!H236)+(('Grouped Summary'!G244*'Grouped Summary'!H244)*0.81818))/I141,0)</f>
        <v>0</v>
      </c>
      <c r="K141" s="145">
        <f>I141*J141</f>
        <v>0</v>
      </c>
      <c r="L141" s="137">
        <f>('Grouped Summary'!I236+'Grouped Summary'!I244)</f>
        <v>0</v>
      </c>
      <c r="M141" s="145">
        <f>IF(L141&gt;0,(('Grouped Summary'!I236*'Grouped Summary'!J236)+(('Grouped Summary'!I244*'Grouped Summary'!J244)*0.81818))/L141,0)</f>
        <v>0</v>
      </c>
      <c r="N141" s="145">
        <f>L141*M141</f>
        <v>0</v>
      </c>
      <c r="O141" s="137">
        <f>('Grouped Summary'!K236+'Grouped Summary'!K244)</f>
        <v>0</v>
      </c>
      <c r="P141" s="145">
        <f>IF(O141&gt;0,(('Grouped Summary'!K236*'Grouped Summary'!L236)+(('Grouped Summary'!K244*'Grouped Summary'!L244)*0.81818))/O141,0)</f>
        <v>0</v>
      </c>
      <c r="Q141" s="145">
        <f t="shared" si="28"/>
        <v>0</v>
      </c>
      <c r="R141" s="137">
        <f>('Grouped Summary'!M236+'Grouped Summary'!M244)</f>
        <v>0</v>
      </c>
      <c r="S141" s="145">
        <f>IF(R141&gt;0,(('Grouped Summary'!M236*'Grouped Summary'!N236)+(('Grouped Summary'!M244*'Grouped Summary'!N244)*0.81818))/R141,0)</f>
        <v>0</v>
      </c>
      <c r="T141" s="145">
        <f>R141*S141</f>
        <v>0</v>
      </c>
      <c r="U141" s="137">
        <f>('Grouped Summary'!O236+'Grouped Summary'!O244)</f>
        <v>0</v>
      </c>
      <c r="V141" s="145">
        <f>IF(U141&gt;0,(('Grouped Summary'!O236*'Grouped Summary'!P236)+(('Grouped Summary'!O244*'Grouped Summary'!P244)*0.81818))/U141,0)</f>
        <v>0</v>
      </c>
      <c r="W141" s="145">
        <f>U141*V141</f>
        <v>0</v>
      </c>
      <c r="X141" s="118"/>
    </row>
    <row r="142" spans="1:24" ht="15">
      <c r="A142" s="118" t="s">
        <v>798</v>
      </c>
      <c r="B142" s="128" t="s">
        <v>721</v>
      </c>
      <c r="C142" s="128">
        <f aca="true" t="shared" si="29" ref="C142:C147">(C7+C16+C25+C34+C43+C52+C61+C70+C79+C88+C97+C106+C115+C124+C133)</f>
        <v>11646</v>
      </c>
      <c r="D142" s="141">
        <f aca="true" t="shared" si="30" ref="D142:D147">(E7+E16+E25+E34+E43+E52+E61+E70+E79+E88+E97+E106+E115+E124+E133)/C142</f>
        <v>73596.41800864803</v>
      </c>
      <c r="E142" s="141">
        <f>C142*D142</f>
        <v>857103884.128715</v>
      </c>
      <c r="F142" s="128">
        <f aca="true" t="shared" si="31" ref="F142:F147">(F7+F16+F25+F34+F43+F52+F61+F70+F79+F88+F97+F106+F115+F124+F133)</f>
        <v>8592</v>
      </c>
      <c r="G142" s="141">
        <f aca="true" t="shared" si="32" ref="G142:G147">(H7+H16+H25+H34+H43+H52+H61+H70+H79+H88+H97+H106+H115+H124+H133)/F142</f>
        <v>52407.76412466248</v>
      </c>
      <c r="H142" s="141">
        <f>F142*G142</f>
        <v>450287509.3591</v>
      </c>
      <c r="I142" s="128">
        <f aca="true" t="shared" si="33" ref="I142:I147">(I7+I16+I25+I34+I43+I52+I61+I70+I79+I88+I97+I106+I115+I124+I133)</f>
        <v>5820</v>
      </c>
      <c r="J142" s="141">
        <f aca="true" t="shared" si="34" ref="J142:J147">(K7+K16+K25+K34+K43+K52+K61+K70+K79+K88+K97+K106+K115+K124+K133)/I142</f>
        <v>44686.18877515464</v>
      </c>
      <c r="K142" s="141">
        <f>I142*J142</f>
        <v>260073618.67139998</v>
      </c>
      <c r="L142" s="128">
        <f aca="true" t="shared" si="35" ref="L142:L147">(L7+L16+L25+L34+L43+L52+L61+L70+L79+L88+L97+L106+L115+L124+L133)</f>
        <v>1226</v>
      </c>
      <c r="M142" s="141">
        <f aca="true" t="shared" si="36" ref="M142:M147">(N7+N16+N25+N34+N43+N52+N61+N70+N79+N88+N97+N106+N115+N124+N133)/L142</f>
        <v>30609.087525024475</v>
      </c>
      <c r="N142" s="141">
        <f>L142*M142</f>
        <v>37526741.30568001</v>
      </c>
      <c r="O142" s="128">
        <f aca="true" t="shared" si="37" ref="O142:O147">(O7+O16+O25+O34+O43+O52+O61+O70+O79+O88+O97+O106+O115+O124+O133)</f>
        <v>1646</v>
      </c>
      <c r="P142" s="141">
        <f aca="true" t="shared" si="38" ref="P142:P147">(Q7+Q16+Q25+Q34+Q43+Q52+Q61+Q70+Q79+Q88+Q97+Q106+Q115+Q124+Q133)/O142</f>
        <v>37166.14287318345</v>
      </c>
      <c r="Q142" s="141">
        <f t="shared" si="28"/>
        <v>61175471.169259965</v>
      </c>
      <c r="R142" s="128">
        <f aca="true" t="shared" si="39" ref="R142:R147">(R7+R16+R25+R34+R43+R52+R61+R70+R79+R88+R97+R106+R115+R124+R133)</f>
        <v>0</v>
      </c>
      <c r="S142" s="141">
        <f aca="true" t="shared" si="40" ref="S142:S147">IF(R142&gt;0,((T7+T16+T25+T34+T43+T52+T61+T70+T79+T88+T97+T106+T115+T124+T133)/R142),0)</f>
        <v>0</v>
      </c>
      <c r="T142" s="141">
        <f>R142*S142</f>
        <v>0</v>
      </c>
      <c r="U142" s="128">
        <f aca="true" t="shared" si="41" ref="U142:U147">(U7+U16+U25+U34+U43+U52+U61+U70+U79+U88+U97+U106+U115+U124+U133)</f>
        <v>28930</v>
      </c>
      <c r="V142" s="141">
        <f aca="true" t="shared" si="42" ref="V142:V147">(W7+W16+W25+W34+W43+W52+W61+W70+W79+W88+W97+W106+W115+W124+W133)/U142</f>
        <v>57593.059959701175</v>
      </c>
      <c r="W142" s="141">
        <f>U142*V142</f>
        <v>1666167224.634155</v>
      </c>
      <c r="X142" s="118"/>
    </row>
    <row r="143" spans="1:24" ht="15">
      <c r="A143" s="118" t="s">
        <v>798</v>
      </c>
      <c r="B143" s="128" t="s">
        <v>722</v>
      </c>
      <c r="C143" s="128">
        <f t="shared" si="29"/>
        <v>4978</v>
      </c>
      <c r="D143" s="141">
        <f t="shared" si="30"/>
        <v>68919.15911296043</v>
      </c>
      <c r="E143" s="141">
        <f>C143*D143</f>
        <v>343079574.06431705</v>
      </c>
      <c r="F143" s="128">
        <f t="shared" si="31"/>
        <v>3981</v>
      </c>
      <c r="G143" s="141">
        <f t="shared" si="32"/>
        <v>51708.84570318011</v>
      </c>
      <c r="H143" s="141">
        <f>F143*G143</f>
        <v>205852914.74436</v>
      </c>
      <c r="I143" s="128">
        <f t="shared" si="33"/>
        <v>3047</v>
      </c>
      <c r="J143" s="141">
        <f t="shared" si="34"/>
        <v>42885.501106911724</v>
      </c>
      <c r="K143" s="141">
        <f>I143*J143</f>
        <v>130672121.87276003</v>
      </c>
      <c r="L143" s="128">
        <f t="shared" si="35"/>
        <v>919</v>
      </c>
      <c r="M143" s="141">
        <f t="shared" si="36"/>
        <v>31663.327250315557</v>
      </c>
      <c r="N143" s="141">
        <f>L143*M143</f>
        <v>29098597.743039995</v>
      </c>
      <c r="O143" s="128">
        <f t="shared" si="37"/>
        <v>393</v>
      </c>
      <c r="P143" s="141">
        <f t="shared" si="38"/>
        <v>33503.52518569975</v>
      </c>
      <c r="Q143" s="141">
        <f t="shared" si="28"/>
        <v>13166885.39798</v>
      </c>
      <c r="R143" s="128">
        <f t="shared" si="39"/>
        <v>0</v>
      </c>
      <c r="S143" s="141">
        <f t="shared" si="40"/>
        <v>0</v>
      </c>
      <c r="T143" s="141">
        <f>R143*S143</f>
        <v>0</v>
      </c>
      <c r="U143" s="128">
        <f t="shared" si="41"/>
        <v>13318</v>
      </c>
      <c r="V143" s="141">
        <f t="shared" si="42"/>
        <v>54202.59001520176</v>
      </c>
      <c r="W143" s="141">
        <f>U143*V143</f>
        <v>721870093.822457</v>
      </c>
      <c r="X143" s="118"/>
    </row>
    <row r="144" spans="1:24" ht="15">
      <c r="A144" s="118" t="s">
        <v>798</v>
      </c>
      <c r="B144" s="128" t="s">
        <v>723</v>
      </c>
      <c r="C144" s="128">
        <f t="shared" si="29"/>
        <v>5712</v>
      </c>
      <c r="D144" s="141">
        <f t="shared" si="30"/>
        <v>57813.996529771124</v>
      </c>
      <c r="E144" s="141">
        <f>C144*D144</f>
        <v>330233548.17805266</v>
      </c>
      <c r="F144" s="128">
        <f t="shared" si="31"/>
        <v>4897</v>
      </c>
      <c r="G144" s="141">
        <f t="shared" si="32"/>
        <v>47332.94397598528</v>
      </c>
      <c r="H144" s="141">
        <f>F144*G144</f>
        <v>231789426.65039992</v>
      </c>
      <c r="I144" s="128">
        <f t="shared" si="33"/>
        <v>5251</v>
      </c>
      <c r="J144" s="141">
        <f t="shared" si="34"/>
        <v>39781.31733883071</v>
      </c>
      <c r="K144" s="141">
        <f>I144*J144</f>
        <v>208891697.34620008</v>
      </c>
      <c r="L144" s="128">
        <f t="shared" si="35"/>
        <v>1716</v>
      </c>
      <c r="M144" s="141">
        <f t="shared" si="36"/>
        <v>31144.607484662025</v>
      </c>
      <c r="N144" s="141">
        <f>L144*M144</f>
        <v>53444146.44368003</v>
      </c>
      <c r="O144" s="128">
        <f t="shared" si="37"/>
        <v>1047</v>
      </c>
      <c r="P144" s="141">
        <f t="shared" si="38"/>
        <v>30621.322401528174</v>
      </c>
      <c r="Q144" s="141">
        <f t="shared" si="28"/>
        <v>32060524.554399997</v>
      </c>
      <c r="R144" s="128">
        <f t="shared" si="39"/>
        <v>0</v>
      </c>
      <c r="S144" s="141">
        <f t="shared" si="40"/>
        <v>0</v>
      </c>
      <c r="T144" s="141">
        <f>R144*S144</f>
        <v>0</v>
      </c>
      <c r="U144" s="128">
        <f t="shared" si="41"/>
        <v>18623</v>
      </c>
      <c r="V144" s="141">
        <f t="shared" si="42"/>
        <v>45987.18483449137</v>
      </c>
      <c r="W144" s="141">
        <f>U144*V144</f>
        <v>856419343.1727327</v>
      </c>
      <c r="X144" s="118"/>
    </row>
    <row r="145" spans="1:24" ht="15">
      <c r="A145" s="118" t="s">
        <v>798</v>
      </c>
      <c r="B145" s="128" t="s">
        <v>724</v>
      </c>
      <c r="C145" s="128">
        <f t="shared" si="29"/>
        <v>2295</v>
      </c>
      <c r="D145" s="141">
        <f t="shared" si="30"/>
        <v>57422.12784368627</v>
      </c>
      <c r="E145" s="141">
        <f>C145*D145</f>
        <v>131783783.40125999</v>
      </c>
      <c r="F145" s="128">
        <f t="shared" si="31"/>
        <v>2176</v>
      </c>
      <c r="G145" s="141">
        <f t="shared" si="32"/>
        <v>47165.97590066177</v>
      </c>
      <c r="H145" s="141">
        <f>F145*G145</f>
        <v>102633163.55984001</v>
      </c>
      <c r="I145" s="128">
        <f t="shared" si="33"/>
        <v>2843</v>
      </c>
      <c r="J145" s="141">
        <f t="shared" si="34"/>
        <v>38996.986680161805</v>
      </c>
      <c r="K145" s="141">
        <f>I145*J145</f>
        <v>110868433.13170001</v>
      </c>
      <c r="L145" s="128">
        <f t="shared" si="35"/>
        <v>892</v>
      </c>
      <c r="M145" s="141">
        <f t="shared" si="36"/>
        <v>29749.2727942601</v>
      </c>
      <c r="N145" s="141">
        <f>L145*M145</f>
        <v>26536351.33248001</v>
      </c>
      <c r="O145" s="128">
        <f t="shared" si="37"/>
        <v>263</v>
      </c>
      <c r="P145" s="141">
        <f t="shared" si="38"/>
        <v>32652.85604045627</v>
      </c>
      <c r="Q145" s="141">
        <f t="shared" si="28"/>
        <v>8587701.13864</v>
      </c>
      <c r="R145" s="128">
        <f t="shared" si="39"/>
        <v>0</v>
      </c>
      <c r="S145" s="141">
        <f t="shared" si="40"/>
        <v>0</v>
      </c>
      <c r="T145" s="141">
        <f>R145*S145</f>
        <v>0</v>
      </c>
      <c r="U145" s="128">
        <f t="shared" si="41"/>
        <v>8469</v>
      </c>
      <c r="V145" s="141">
        <f t="shared" si="42"/>
        <v>44917.86900034479</v>
      </c>
      <c r="W145" s="141">
        <f>U145*V145</f>
        <v>380409432.56392</v>
      </c>
      <c r="X145" s="118"/>
    </row>
    <row r="146" spans="1:24" ht="15">
      <c r="A146" s="118" t="s">
        <v>798</v>
      </c>
      <c r="B146" s="128" t="s">
        <v>725</v>
      </c>
      <c r="C146" s="128">
        <f t="shared" si="29"/>
        <v>1455</v>
      </c>
      <c r="D146" s="141">
        <f t="shared" si="30"/>
        <v>53862.974345319584</v>
      </c>
      <c r="E146" s="141">
        <f>C146*D146</f>
        <v>78370627.67243999</v>
      </c>
      <c r="F146" s="128">
        <f t="shared" si="31"/>
        <v>1410</v>
      </c>
      <c r="G146" s="141">
        <f t="shared" si="32"/>
        <v>45529.54514463831</v>
      </c>
      <c r="H146" s="141">
        <f>F146*G146</f>
        <v>64196658.653940015</v>
      </c>
      <c r="I146" s="128">
        <f t="shared" si="33"/>
        <v>1710</v>
      </c>
      <c r="J146" s="141">
        <f t="shared" si="34"/>
        <v>38561.211600280694</v>
      </c>
      <c r="K146" s="141">
        <f>I146*J146</f>
        <v>65939671.836479984</v>
      </c>
      <c r="L146" s="128">
        <f t="shared" si="35"/>
        <v>577</v>
      </c>
      <c r="M146" s="141">
        <f t="shared" si="36"/>
        <v>30550.61456069323</v>
      </c>
      <c r="N146" s="141">
        <f>L146*M146</f>
        <v>17627704.601519994</v>
      </c>
      <c r="O146" s="128">
        <f t="shared" si="37"/>
        <v>201</v>
      </c>
      <c r="P146" s="141">
        <f t="shared" si="38"/>
        <v>30989.412468955226</v>
      </c>
      <c r="Q146" s="141">
        <f t="shared" si="28"/>
        <v>6228871.906260001</v>
      </c>
      <c r="R146" s="128">
        <f t="shared" si="39"/>
        <v>0</v>
      </c>
      <c r="S146" s="141">
        <f t="shared" si="40"/>
        <v>0</v>
      </c>
      <c r="T146" s="141">
        <f>R146*S146</f>
        <v>0</v>
      </c>
      <c r="U146" s="128">
        <f t="shared" si="41"/>
        <v>5353</v>
      </c>
      <c r="V146" s="141">
        <f t="shared" si="42"/>
        <v>43408.095398961326</v>
      </c>
      <c r="W146" s="141">
        <f>U146*V146</f>
        <v>232363534.67064</v>
      </c>
      <c r="X146" s="118"/>
    </row>
    <row r="147" spans="1:24" ht="15">
      <c r="A147" s="118" t="s">
        <v>798</v>
      </c>
      <c r="B147" s="128" t="s">
        <v>726</v>
      </c>
      <c r="C147" s="128">
        <f t="shared" si="29"/>
        <v>1048</v>
      </c>
      <c r="D147" s="141">
        <f t="shared" si="30"/>
        <v>52662.657533263344</v>
      </c>
      <c r="E147" s="141">
        <f>C147*D147</f>
        <v>55190465.09485999</v>
      </c>
      <c r="F147" s="128">
        <f t="shared" si="31"/>
        <v>1135</v>
      </c>
      <c r="G147" s="141">
        <f t="shared" si="32"/>
        <v>43836.75501076651</v>
      </c>
      <c r="H147" s="141">
        <f>F147*G147</f>
        <v>49754716.937219985</v>
      </c>
      <c r="I147" s="128">
        <f t="shared" si="33"/>
        <v>1290</v>
      </c>
      <c r="J147" s="141">
        <f t="shared" si="34"/>
        <v>37277.687477410866</v>
      </c>
      <c r="K147" s="141">
        <f>I147*J147</f>
        <v>48088216.84586002</v>
      </c>
      <c r="L147" s="128">
        <f t="shared" si="35"/>
        <v>397</v>
      </c>
      <c r="M147" s="141">
        <f t="shared" si="36"/>
        <v>30799.173909722915</v>
      </c>
      <c r="N147" s="141">
        <f>L147*M147</f>
        <v>12227272.042159997</v>
      </c>
      <c r="O147" s="128">
        <f t="shared" si="37"/>
        <v>170</v>
      </c>
      <c r="P147" s="141">
        <f t="shared" si="38"/>
        <v>34504.94653176468</v>
      </c>
      <c r="Q147" s="141">
        <f t="shared" si="28"/>
        <v>5865840.910399996</v>
      </c>
      <c r="R147" s="128">
        <f t="shared" si="39"/>
        <v>0</v>
      </c>
      <c r="S147" s="141">
        <f t="shared" si="40"/>
        <v>0</v>
      </c>
      <c r="T147" s="141">
        <f>R147*S147</f>
        <v>0</v>
      </c>
      <c r="U147" s="128">
        <f t="shared" si="41"/>
        <v>4040</v>
      </c>
      <c r="V147" s="141">
        <f t="shared" si="42"/>
        <v>42358.04748279703</v>
      </c>
      <c r="W147" s="141">
        <f>U147*V147</f>
        <v>171126511.8305</v>
      </c>
      <c r="X147" s="118"/>
    </row>
    <row r="148" spans="1:24" ht="15">
      <c r="A148" s="118"/>
      <c r="B148" s="142" t="s">
        <v>797</v>
      </c>
      <c r="C148" s="143">
        <f>SUM(C142:C147)</f>
        <v>27134</v>
      </c>
      <c r="D148" s="144">
        <f>((C142*D142)+(C143*D143)+(C144*D144)+(C145*D145)+(C146*D146)+(C147*D147))/C148</f>
        <v>66181.24428907072</v>
      </c>
      <c r="E148" s="124"/>
      <c r="F148" s="143">
        <f>SUM(F142:F147)</f>
        <v>22191</v>
      </c>
      <c r="G148" s="144">
        <f>((F142*G142)+(F143*G143)+(F144*G144)+(F145*G145)+(F146*G146)+(F147*G147))/F148</f>
        <v>49773.07872132215</v>
      </c>
      <c r="H148" s="124"/>
      <c r="I148" s="143">
        <f>SUM(I142:I147)</f>
        <v>19961</v>
      </c>
      <c r="J148" s="144">
        <f>((I142*J142)+(I143*J143)+(I144*J144)+(I145*J145)+(I146*J146)+(I147*J147))/I148</f>
        <v>41307.23709756025</v>
      </c>
      <c r="K148" s="124"/>
      <c r="L148" s="143">
        <f>SUM(L142:L147)</f>
        <v>5727</v>
      </c>
      <c r="M148" s="144">
        <f>((L142*M142)+(L143*M143)+(L144*M144)+(L145*M145)+(L146*M146)+(L147*M147))/L148</f>
        <v>30812.0854668343</v>
      </c>
      <c r="N148" s="124"/>
      <c r="O148" s="143">
        <f>SUM(O142:O147)</f>
        <v>3720</v>
      </c>
      <c r="P148" s="144">
        <f>((O142*P142)+(O143*P143)+(O144*P144)+(O145*P145)+(O146*P146)+(O147*P147))/O148</f>
        <v>34162.71373036021</v>
      </c>
      <c r="Q148" s="124"/>
      <c r="R148" s="143">
        <f>SUM(R142:R147)</f>
        <v>0</v>
      </c>
      <c r="S148" s="144">
        <f>IF(R148&gt;0,((R142*S142)+(R143*S143)+(R144*S144)+(R145*S145)+(R146*S146)+(R147*S147))/R148,0)</f>
        <v>0</v>
      </c>
      <c r="T148" s="124"/>
      <c r="U148" s="143">
        <f>SUM(U142:U147)</f>
        <v>78733</v>
      </c>
      <c r="V148" s="144">
        <f>((U142*V142)+(U143*V143)+(U144*V144)+(U145*V145)+(U146*V146)+(U147*V147))/U148</f>
        <v>51164.77386476325</v>
      </c>
      <c r="W148" s="124"/>
      <c r="X148" s="118"/>
    </row>
    <row r="149" spans="1:24" ht="15">
      <c r="A149" s="118" t="s">
        <v>798</v>
      </c>
      <c r="B149" s="128" t="s">
        <v>727</v>
      </c>
      <c r="C149" s="128">
        <f>(C14+C23+C32+C41+C50+C59+C68+C77+C86+C95+C104+C113+C122+C131+C140)</f>
        <v>1910</v>
      </c>
      <c r="D149" s="141">
        <f>(E14+E23+E32+E41+E50+E59+E68+E77+E86+E95+E104+E113+E122+E131+E140)/C149</f>
        <v>50736.372554837704</v>
      </c>
      <c r="E149" s="141">
        <f>C149*D149</f>
        <v>96906471.57974002</v>
      </c>
      <c r="F149" s="128">
        <f>(F14+F23+F32+F41+F50+F59+F68+F77+F86+F95+F104+F113+F122+F131+F140)</f>
        <v>2901</v>
      </c>
      <c r="G149" s="141">
        <f>(H14+H23+H32+H41+H50+H59+H68+H77+H86+H95+H104+H113+H122+H131+H140)/F149</f>
        <v>41064.808101440896</v>
      </c>
      <c r="H149" s="141">
        <f>F149*G149</f>
        <v>119129008.30228004</v>
      </c>
      <c r="I149" s="128">
        <f>(I14+I23+I32+I41+I50+I59+I68+I77+I86+I95+I104+I113+I122+I131+I140)</f>
        <v>2333</v>
      </c>
      <c r="J149" s="141">
        <f>(K14+K23+K32+K41+K50+K59+K68+K77+K86+K95+K104+K113+K122+K131+K140)/I149</f>
        <v>35999.39729381911</v>
      </c>
      <c r="K149" s="141">
        <f>I149*J149</f>
        <v>83986593.88647997</v>
      </c>
      <c r="L149" s="128">
        <f>(L14+L23+L32+L41+L50+L59+L68+L77+L86+L95+L104+L113+L122+L131+L140)</f>
        <v>1689</v>
      </c>
      <c r="M149" s="141">
        <f>(N14+N23+N32+N41+N50+N59+N68+N77+N86+N95+N104+N113+N122+N131+N140)/L149</f>
        <v>30976.62087043222</v>
      </c>
      <c r="N149" s="141">
        <f>L149*M149</f>
        <v>52319512.65016002</v>
      </c>
      <c r="O149" s="128">
        <f>(O14+O23+O32+O41+O50+O59+O68+O77+O86+O95+O104+O113+O122+O131+O140)</f>
        <v>939</v>
      </c>
      <c r="P149" s="141">
        <f>(Q14+Q23+Q32+Q41+Q50+Q59+Q68+Q77+Q86+Q95+Q104+Q113+Q122+Q131+Q140)/O149</f>
        <v>33692.44474251329</v>
      </c>
      <c r="Q149" s="141">
        <f>O149*P149</f>
        <v>31637205.61321998</v>
      </c>
      <c r="R149" s="128">
        <f>(+R14+R23+R32+R41+R50+R59+R68+R77+R86+R95+R104+R113+R122+R131+R140)</f>
        <v>22504.3</v>
      </c>
      <c r="S149" s="141">
        <f>IF(R149&gt;0,((T14+T23+T32+T41+T50+T59+T68+T77+T86+T95+T104+T113+T122+T131+T140)/R149),0)</f>
        <v>36922.10470771835</v>
      </c>
      <c r="T149" s="141">
        <f>R149*S149</f>
        <v>830906120.9739059</v>
      </c>
      <c r="U149" s="128">
        <f>(U14+U23+U32+U41+U50+U59+U68+U77+U86+U95+U104+U113+U122+U131+U140)</f>
        <v>32276.3</v>
      </c>
      <c r="V149" s="141">
        <f>(W14+W23+W32+W41+W50+W59+W68+W77+W86+W95+W104+W113+W122+W131+W140)/U149</f>
        <v>37640.15432394004</v>
      </c>
      <c r="W149" s="141">
        <f>U149*V149</f>
        <v>1214884913.005786</v>
      </c>
      <c r="X149" s="118"/>
    </row>
    <row r="150" spans="1:24" ht="15">
      <c r="A150" s="119" t="s">
        <v>798</v>
      </c>
      <c r="B150" s="137" t="s">
        <v>728</v>
      </c>
      <c r="C150" s="137">
        <f>(C15+C24+C33+C42+C51+C60+C69+C78+C87+C96+C105+C114+C123+C132+C141)</f>
        <v>0</v>
      </c>
      <c r="D150" s="145">
        <f>IF(C150&gt;0,((E15+E24+E33+E42+E51+E60+E69+E78+E87+E96+E105+E114+E123+E132+E141)/C150),0)</f>
        <v>0</v>
      </c>
      <c r="E150" s="145">
        <f>C150*D150</f>
        <v>0</v>
      </c>
      <c r="F150" s="137">
        <f>(F15+F24+F33+F42+F51+F60+F69+F78+F87+F96+F105+F114+F123+F132+F141)</f>
        <v>0</v>
      </c>
      <c r="G150" s="145">
        <f>IF(F150&gt;0,((H15+H24+H33+H42+H51+H60+H69+H78+H87+H96+H105+H114+H123+H132+H141)/F150),0)</f>
        <v>0</v>
      </c>
      <c r="H150" s="145">
        <f>F150*G150</f>
        <v>0</v>
      </c>
      <c r="I150" s="137">
        <f>(I15+I24+I33+I42+I51+I60+I69+I78+I87+I96+I105+I114+I123+I132+I141)</f>
        <v>0</v>
      </c>
      <c r="J150" s="145">
        <f>IF(I150&gt;0,((K15+K24+K33+K42+K51+K60+K69+K78+K87+K96+K105+K114+K123+K132+K141)/I150),0)</f>
        <v>0</v>
      </c>
      <c r="K150" s="145">
        <f>I150*J150</f>
        <v>0</v>
      </c>
      <c r="L150" s="137">
        <f>(L15+L24+L33+L42+L51+L60+L69+L78+L87+L96+L105+L114+L123+L132+L141)</f>
        <v>0</v>
      </c>
      <c r="M150" s="145">
        <v>0</v>
      </c>
      <c r="N150" s="145">
        <f>L150*M150</f>
        <v>0</v>
      </c>
      <c r="O150" s="137">
        <f>(O15+O24+O33+O42+O51+O60+O69+O78+O87+O96+O105+O114+O123+O132+O141)</f>
        <v>0</v>
      </c>
      <c r="P150" s="145">
        <f>IF(O150&gt;0,(Q15+Q24+Q33+Q42+Q51+Q60+Q69+Q78+Q87+Q96+Q105+Q114+Q123+Q132+Q141)/O150,0)</f>
        <v>0</v>
      </c>
      <c r="Q150" s="145">
        <f>O150*P150</f>
        <v>0</v>
      </c>
      <c r="R150" s="137">
        <f>(R15+R24+R33+R42+R51+R60+R69+R78+R87+R96+R105+R114+R123+R132+R141)</f>
        <v>2972</v>
      </c>
      <c r="S150" s="145">
        <f>IF(R150&gt;0,((T15+T24+T33+T42+T51+T60+T69+T78+T87+T96+T105+T114+T123+T132+T141)/R150),0)</f>
        <v>36132.1377667887</v>
      </c>
      <c r="T150" s="145">
        <f>R150*S150</f>
        <v>107384713.44289601</v>
      </c>
      <c r="U150" s="137">
        <f>(U15+U24+U33+U42+U51+U60+U69+U78+U87+U96+U105+U114+U123+U132+U141)</f>
        <v>2972</v>
      </c>
      <c r="V150" s="145">
        <f>(W15+W24+W33+W42+W51+W60+W69+W78+W87+W96+W105+W114+W123+W132+W141)/U150</f>
        <v>36132.1377667887</v>
      </c>
      <c r="W150" s="145">
        <f>U150*V150</f>
        <v>107384713.44289601</v>
      </c>
      <c r="X150" s="118"/>
    </row>
    <row r="151" spans="1:24" ht="15">
      <c r="A151" s="148"/>
      <c r="B151" s="83"/>
      <c r="C151" s="83"/>
      <c r="D151" s="148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</row>
  </sheetData>
  <printOptions/>
  <pageMargins left="0.3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V370"/>
  <sheetViews>
    <sheetView showGridLines="0" defaultGridColor="0" zoomScale="75" zoomScaleNormal="75" colorId="22" workbookViewId="0" topLeftCell="A1">
      <selection activeCell="A1" sqref="A1"/>
    </sheetView>
  </sheetViews>
  <sheetFormatPr defaultColWidth="9.7109375" defaultRowHeight="12.75"/>
  <cols>
    <col min="1" max="1" width="10.7109375" style="83" customWidth="1"/>
    <col min="2" max="11" width="7.7109375" style="2" customWidth="1"/>
    <col min="12" max="13" width="6.7109375" style="2" customWidth="1"/>
    <col min="14" max="14" width="7.7109375" style="2" customWidth="1"/>
    <col min="15" max="15" width="5.7109375" style="2" customWidth="1"/>
    <col min="16" max="16384" width="9.7109375" style="2" customWidth="1"/>
  </cols>
  <sheetData>
    <row r="1" spans="1:17" ht="18">
      <c r="A1" s="149" t="s">
        <v>799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51"/>
    </row>
    <row r="2" spans="1:17" ht="15">
      <c r="A2" s="152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51"/>
    </row>
    <row r="3" spans="1:17" ht="15">
      <c r="A3" s="126" t="s">
        <v>800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  <c r="Q3" s="151"/>
    </row>
    <row r="4" spans="1:17" ht="15">
      <c r="A4" s="126" t="s">
        <v>801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  <c r="Q4" s="151"/>
    </row>
    <row r="5" spans="1:17" ht="15">
      <c r="A5" s="126" t="s">
        <v>802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1"/>
    </row>
    <row r="6" spans="1:17" ht="15">
      <c r="A6" s="126" t="s">
        <v>803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51"/>
    </row>
    <row r="7" spans="1:17" ht="15">
      <c r="A7" s="127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  <c r="Q7" s="151"/>
    </row>
    <row r="8" spans="1:17" ht="15">
      <c r="A8" s="153"/>
      <c r="B8" s="154"/>
      <c r="C8" s="155"/>
      <c r="D8" s="154" t="s">
        <v>804</v>
      </c>
      <c r="E8" s="155"/>
      <c r="F8" s="154" t="s">
        <v>805</v>
      </c>
      <c r="G8" s="155"/>
      <c r="H8" s="154"/>
      <c r="I8" s="155"/>
      <c r="J8" s="154" t="s">
        <v>806</v>
      </c>
      <c r="K8" s="155"/>
      <c r="L8" s="154" t="s">
        <v>807</v>
      </c>
      <c r="M8" s="155"/>
      <c r="N8" s="154" t="s">
        <v>808</v>
      </c>
      <c r="O8" s="155"/>
      <c r="P8" s="151"/>
      <c r="Q8" s="151"/>
    </row>
    <row r="9" spans="1:17" ht="15">
      <c r="A9" s="156"/>
      <c r="B9" s="157" t="s">
        <v>2</v>
      </c>
      <c r="C9" s="158"/>
      <c r="D9" s="157" t="s">
        <v>2</v>
      </c>
      <c r="E9" s="157"/>
      <c r="F9" s="157" t="s">
        <v>2</v>
      </c>
      <c r="G9" s="158"/>
      <c r="H9" s="157" t="s">
        <v>5</v>
      </c>
      <c r="I9" s="158"/>
      <c r="J9" s="157" t="s">
        <v>809</v>
      </c>
      <c r="K9" s="158"/>
      <c r="L9" s="157" t="s">
        <v>810</v>
      </c>
      <c r="M9" s="158"/>
      <c r="N9" s="157" t="s">
        <v>811</v>
      </c>
      <c r="O9" s="158"/>
      <c r="P9" s="151"/>
      <c r="Q9" s="151"/>
    </row>
    <row r="10" spans="1:17" ht="15">
      <c r="A10" s="159" t="s">
        <v>721</v>
      </c>
      <c r="B10" s="160">
        <f>'Combined Sals'!D142</f>
        <v>73596.41800864803</v>
      </c>
      <c r="C10" s="161"/>
      <c r="D10" s="160">
        <f>'Combined Sals'!G142</f>
        <v>52407.76412466248</v>
      </c>
      <c r="E10" s="161"/>
      <c r="F10" s="160">
        <f>'Combined Sals'!J142</f>
        <v>44686.18877515464</v>
      </c>
      <c r="G10" s="161"/>
      <c r="H10" s="160">
        <f>'Combined Sals'!M142</f>
        <v>30609.087525024475</v>
      </c>
      <c r="I10" s="161"/>
      <c r="J10" s="160">
        <f>'Combined Sals'!P142</f>
        <v>37166.14287318345</v>
      </c>
      <c r="K10" s="161"/>
      <c r="L10" s="160">
        <f>'Combined Sals'!S142</f>
        <v>0</v>
      </c>
      <c r="M10" s="161"/>
      <c r="N10" s="160">
        <f>'Combined Sals'!V142</f>
        <v>57593.059959701175</v>
      </c>
      <c r="O10" s="162"/>
      <c r="P10" s="151"/>
      <c r="Q10" s="151"/>
    </row>
    <row r="11" spans="1:17" ht="15">
      <c r="A11" s="159" t="s">
        <v>722</v>
      </c>
      <c r="B11" s="160">
        <f>'Combined Sals'!D143</f>
        <v>68919.15911296043</v>
      </c>
      <c r="C11" s="161"/>
      <c r="D11" s="160">
        <f>'Combined Sals'!G143</f>
        <v>51708.84570318011</v>
      </c>
      <c r="E11" s="161"/>
      <c r="F11" s="160">
        <f>'Combined Sals'!J143</f>
        <v>42885.501106911724</v>
      </c>
      <c r="G11" s="161"/>
      <c r="H11" s="160">
        <f>'Combined Sals'!M143</f>
        <v>31663.327250315557</v>
      </c>
      <c r="I11" s="161"/>
      <c r="J11" s="160">
        <f>'Combined Sals'!P143</f>
        <v>33503.52518569975</v>
      </c>
      <c r="K11" s="161"/>
      <c r="L11" s="160">
        <f>'Combined Sals'!S143</f>
        <v>0</v>
      </c>
      <c r="M11" s="161"/>
      <c r="N11" s="160">
        <f>'Combined Sals'!V143</f>
        <v>54202.59001520176</v>
      </c>
      <c r="O11" s="163"/>
      <c r="P11" s="151"/>
      <c r="Q11" s="151"/>
    </row>
    <row r="12" spans="1:17" ht="15">
      <c r="A12" s="159" t="s">
        <v>723</v>
      </c>
      <c r="B12" s="160">
        <f>'Combined Sals'!D144</f>
        <v>57813.996529771124</v>
      </c>
      <c r="C12" s="161"/>
      <c r="D12" s="160">
        <f>'Combined Sals'!G144</f>
        <v>47332.94397598528</v>
      </c>
      <c r="E12" s="161"/>
      <c r="F12" s="160">
        <f>'Combined Sals'!J144</f>
        <v>39781.31733883071</v>
      </c>
      <c r="G12" s="161"/>
      <c r="H12" s="160">
        <f>'Combined Sals'!M144</f>
        <v>31144.607484662025</v>
      </c>
      <c r="I12" s="161"/>
      <c r="J12" s="160">
        <f>'Combined Sals'!P144</f>
        <v>30621.322401528174</v>
      </c>
      <c r="K12" s="161"/>
      <c r="L12" s="160">
        <f>'Combined Sals'!S144</f>
        <v>0</v>
      </c>
      <c r="M12" s="161"/>
      <c r="N12" s="160">
        <f>'Combined Sals'!V144</f>
        <v>45987.18483449137</v>
      </c>
      <c r="O12" s="163"/>
      <c r="P12" s="151"/>
      <c r="Q12" s="151"/>
    </row>
    <row r="13" spans="1:17" ht="15">
      <c r="A13" s="159" t="s">
        <v>724</v>
      </c>
      <c r="B13" s="160">
        <f>'Combined Sals'!D145</f>
        <v>57422.12784368627</v>
      </c>
      <c r="C13" s="161"/>
      <c r="D13" s="160">
        <f>'Combined Sals'!G145</f>
        <v>47165.97590066177</v>
      </c>
      <c r="E13" s="161"/>
      <c r="F13" s="160">
        <f>'Combined Sals'!J145</f>
        <v>38996.986680161805</v>
      </c>
      <c r="G13" s="161"/>
      <c r="H13" s="160">
        <f>'Combined Sals'!M145</f>
        <v>29749.2727942601</v>
      </c>
      <c r="I13" s="161"/>
      <c r="J13" s="160">
        <f>'Combined Sals'!P145</f>
        <v>32652.85604045627</v>
      </c>
      <c r="K13" s="161"/>
      <c r="L13" s="160">
        <f>'Combined Sals'!S145</f>
        <v>0</v>
      </c>
      <c r="M13" s="161"/>
      <c r="N13" s="160">
        <f>'Combined Sals'!V145</f>
        <v>44917.86900034479</v>
      </c>
      <c r="O13" s="163"/>
      <c r="P13" s="151"/>
      <c r="Q13" s="151"/>
    </row>
    <row r="14" spans="1:17" ht="15">
      <c r="A14" s="159" t="s">
        <v>725</v>
      </c>
      <c r="B14" s="160">
        <f>'Combined Sals'!D146</f>
        <v>53862.974345319584</v>
      </c>
      <c r="C14" s="161"/>
      <c r="D14" s="160">
        <f>'Combined Sals'!G146</f>
        <v>45529.54514463831</v>
      </c>
      <c r="E14" s="161"/>
      <c r="F14" s="160">
        <f>'Combined Sals'!J146</f>
        <v>38561.211600280694</v>
      </c>
      <c r="G14" s="161"/>
      <c r="H14" s="160">
        <f>'Combined Sals'!M146</f>
        <v>30550.61456069323</v>
      </c>
      <c r="I14" s="161"/>
      <c r="J14" s="160">
        <f>'Combined Sals'!P146</f>
        <v>30989.412468955226</v>
      </c>
      <c r="K14" s="161"/>
      <c r="L14" s="160">
        <f>'Combined Sals'!S146</f>
        <v>0</v>
      </c>
      <c r="M14" s="161"/>
      <c r="N14" s="160">
        <f>'Combined Sals'!V146</f>
        <v>43408.095398961326</v>
      </c>
      <c r="O14" s="163"/>
      <c r="P14" s="151"/>
      <c r="Q14" s="151"/>
    </row>
    <row r="15" spans="1:17" ht="15">
      <c r="A15" s="159" t="s">
        <v>726</v>
      </c>
      <c r="B15" s="160">
        <f>'Combined Sals'!D147</f>
        <v>52662.657533263344</v>
      </c>
      <c r="C15" s="161"/>
      <c r="D15" s="160">
        <f>'Combined Sals'!G147</f>
        <v>43836.75501076651</v>
      </c>
      <c r="E15" s="161"/>
      <c r="F15" s="160">
        <f>'Combined Sals'!J147</f>
        <v>37277.687477410866</v>
      </c>
      <c r="G15" s="161"/>
      <c r="H15" s="160">
        <f>'Combined Sals'!M147</f>
        <v>30799.173909722915</v>
      </c>
      <c r="I15" s="161"/>
      <c r="J15" s="160">
        <f>'Combined Sals'!P147</f>
        <v>34504.94653176468</v>
      </c>
      <c r="K15" s="161"/>
      <c r="L15" s="160">
        <f>'Combined Sals'!S147</f>
        <v>0</v>
      </c>
      <c r="M15" s="161"/>
      <c r="N15" s="160">
        <f>'Combined Sals'!V147</f>
        <v>42358.04748279703</v>
      </c>
      <c r="O15" s="163"/>
      <c r="P15" s="151"/>
      <c r="Q15" s="151"/>
    </row>
    <row r="16" spans="1:17" ht="15">
      <c r="A16" s="159" t="s">
        <v>812</v>
      </c>
      <c r="B16" s="160">
        <f>'Combined Sals'!D148</f>
        <v>66181.24428907072</v>
      </c>
      <c r="C16" s="161"/>
      <c r="D16" s="160">
        <f>'Combined Sals'!G148</f>
        <v>49773.07872132215</v>
      </c>
      <c r="E16" s="161"/>
      <c r="F16" s="160">
        <f>'Combined Sals'!J148</f>
        <v>41307.23709756025</v>
      </c>
      <c r="G16" s="161"/>
      <c r="H16" s="160">
        <f>'Combined Sals'!M148</f>
        <v>30812.0854668343</v>
      </c>
      <c r="I16" s="161"/>
      <c r="J16" s="160">
        <f>'Combined Sals'!P148</f>
        <v>34162.71373036021</v>
      </c>
      <c r="K16" s="161"/>
      <c r="L16" s="160">
        <f>'Combined Sals'!S148</f>
        <v>0</v>
      </c>
      <c r="M16" s="161"/>
      <c r="N16" s="160">
        <f>'Combined Sals'!V148</f>
        <v>51164.77386476325</v>
      </c>
      <c r="O16" s="163"/>
      <c r="P16" s="151"/>
      <c r="Q16" s="151"/>
    </row>
    <row r="17" spans="1:17" ht="15">
      <c r="A17" s="164"/>
      <c r="B17" s="160"/>
      <c r="C17" s="161"/>
      <c r="D17" s="160"/>
      <c r="E17" s="161"/>
      <c r="F17" s="160"/>
      <c r="G17" s="161"/>
      <c r="H17" s="160"/>
      <c r="I17" s="161"/>
      <c r="J17" s="160"/>
      <c r="K17" s="161"/>
      <c r="L17" s="160"/>
      <c r="M17" s="161"/>
      <c r="N17" s="160"/>
      <c r="O17" s="163"/>
      <c r="P17" s="151"/>
      <c r="Q17" s="151"/>
    </row>
    <row r="18" spans="1:17" ht="15">
      <c r="A18" s="159" t="s">
        <v>727</v>
      </c>
      <c r="B18" s="160">
        <f>'Combined Sals'!D149</f>
        <v>50736.372554837704</v>
      </c>
      <c r="C18" s="161"/>
      <c r="D18" s="160">
        <f>'Combined Sals'!G149</f>
        <v>41064.808101440896</v>
      </c>
      <c r="E18" s="161"/>
      <c r="F18" s="160">
        <f>'Combined Sals'!J149</f>
        <v>35999.39729381911</v>
      </c>
      <c r="G18" s="161"/>
      <c r="H18" s="160">
        <f>'Combined Sals'!M149</f>
        <v>30976.62087043222</v>
      </c>
      <c r="I18" s="161"/>
      <c r="J18" s="160">
        <f>'Combined Sals'!P149</f>
        <v>33692.44474251329</v>
      </c>
      <c r="K18" s="161"/>
      <c r="L18" s="160">
        <f>'Combined Sals'!S149</f>
        <v>36922.10470771835</v>
      </c>
      <c r="M18" s="161"/>
      <c r="N18" s="160">
        <f>'Combined Sals'!V149</f>
        <v>37640.15432394004</v>
      </c>
      <c r="O18" s="163"/>
      <c r="P18" s="151"/>
      <c r="Q18" s="151"/>
    </row>
    <row r="19" spans="1:17" ht="15">
      <c r="A19" s="165" t="s">
        <v>728</v>
      </c>
      <c r="B19" s="166">
        <f>'Combined Sals'!D150</f>
        <v>0</v>
      </c>
      <c r="C19" s="167"/>
      <c r="D19" s="166">
        <f>'Combined Sals'!G150</f>
        <v>0</v>
      </c>
      <c r="E19" s="167"/>
      <c r="F19" s="166">
        <f>'Combined Sals'!J150</f>
        <v>0</v>
      </c>
      <c r="G19" s="167"/>
      <c r="H19" s="166">
        <f>'Combined Sals'!M150</f>
        <v>0</v>
      </c>
      <c r="I19" s="167"/>
      <c r="J19" s="166">
        <f>'Combined Sals'!P150</f>
        <v>0</v>
      </c>
      <c r="K19" s="167"/>
      <c r="L19" s="166">
        <f>'Combined Sals'!S150</f>
        <v>36132.1377667887</v>
      </c>
      <c r="M19" s="167"/>
      <c r="N19" s="166">
        <f>'Combined Sals'!V150</f>
        <v>36132.1377667887</v>
      </c>
      <c r="O19" s="168"/>
      <c r="P19" s="151"/>
      <c r="Q19" s="151"/>
    </row>
    <row r="20" spans="1:17" ht="1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163"/>
      <c r="P20" s="151"/>
      <c r="Q20" s="151"/>
    </row>
    <row r="21" spans="1:17" ht="1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72"/>
      <c r="P21" s="151"/>
      <c r="Q21" s="151"/>
    </row>
    <row r="22" spans="1:17" ht="18">
      <c r="A22" s="149" t="s">
        <v>813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51"/>
    </row>
    <row r="23" spans="1:17" ht="15">
      <c r="A23" s="126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1"/>
      <c r="Q23" s="151"/>
    </row>
    <row r="24" spans="1:17" ht="15">
      <c r="A24" s="126" t="s">
        <v>814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51"/>
    </row>
    <row r="25" spans="1:17" ht="15">
      <c r="A25" s="126" t="s">
        <v>815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  <c r="Q25" s="151"/>
    </row>
    <row r="26" spans="1:17" ht="15">
      <c r="A26" s="126" t="s">
        <v>802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1"/>
      <c r="Q26" s="151"/>
    </row>
    <row r="27" spans="1:17" ht="15">
      <c r="A27" s="126" t="s">
        <v>803</v>
      </c>
      <c r="B27" s="173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1"/>
      <c r="Q27" s="151"/>
    </row>
    <row r="28" spans="1:17" ht="15">
      <c r="A28" s="127"/>
      <c r="B28" s="173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1"/>
      <c r="Q28" s="151"/>
    </row>
    <row r="29" spans="1:18" ht="15">
      <c r="A29" s="153"/>
      <c r="B29" s="174">
        <v>1</v>
      </c>
      <c r="C29" s="175"/>
      <c r="D29" s="174">
        <v>2</v>
      </c>
      <c r="E29" s="175"/>
      <c r="F29" s="174">
        <v>3</v>
      </c>
      <c r="G29" s="175"/>
      <c r="H29" s="174">
        <v>4</v>
      </c>
      <c r="I29" s="175"/>
      <c r="J29" s="174">
        <v>5</v>
      </c>
      <c r="K29" s="175"/>
      <c r="L29" s="174">
        <v>6</v>
      </c>
      <c r="M29" s="175"/>
      <c r="N29" s="174"/>
      <c r="O29" s="176"/>
      <c r="P29" s="177"/>
      <c r="Q29" s="177"/>
      <c r="R29" s="178"/>
    </row>
    <row r="30" spans="1:18" ht="15">
      <c r="A30" s="156"/>
      <c r="B30" s="179" t="s">
        <v>816</v>
      </c>
      <c r="C30" s="180" t="s">
        <v>810</v>
      </c>
      <c r="D30" s="179" t="s">
        <v>816</v>
      </c>
      <c r="E30" s="180" t="s">
        <v>810</v>
      </c>
      <c r="F30" s="179" t="s">
        <v>816</v>
      </c>
      <c r="G30" s="180" t="s">
        <v>810</v>
      </c>
      <c r="H30" s="179" t="s">
        <v>816</v>
      </c>
      <c r="I30" s="180" t="s">
        <v>810</v>
      </c>
      <c r="J30" s="179" t="s">
        <v>816</v>
      </c>
      <c r="K30" s="180" t="s">
        <v>810</v>
      </c>
      <c r="L30" s="179" t="s">
        <v>816</v>
      </c>
      <c r="M30" s="180" t="s">
        <v>810</v>
      </c>
      <c r="N30" s="181"/>
      <c r="O30" s="182"/>
      <c r="P30" s="177"/>
      <c r="Q30" s="177"/>
      <c r="R30" s="178"/>
    </row>
    <row r="31" spans="1:17" ht="15">
      <c r="A31" s="159" t="s">
        <v>817</v>
      </c>
      <c r="B31" s="161">
        <f>('Combined Sals'!U7*'Combined Sals'!V7+'Combined Sals'!U16*'Combined Sals'!V16+'Combined Sals'!U25*'Combined Sals'!V25+'Combined Sals'!U34*'Combined Sals'!V34+'Combined Sals'!U43*'Combined Sals'!V43+'Combined Sals'!U52*'Combined Sals'!V52+'Combined Sals'!U61*'Combined Sals'!V61+'Combined Sals'!U70*'Combined Sals'!V70+'Combined Sals'!U79*'Combined Sals'!V79+'Combined Sals'!U88*'Combined Sals'!V88+'Combined Sals'!U97*'Combined Sals'!V97+'Combined Sals'!U106*'Combined Sals'!V106+'Combined Sals'!U115*'Combined Sals'!V115+'Combined Sals'!U124*'Combined Sals'!V124+'Combined Sals'!U133*'Combined Sals'!V133)/('Combined Sals'!U7+'Combined Sals'!U16+'Combined Sals'!U25+'Combined Sals'!U34+'Combined Sals'!U43+'Combined Sals'!U52+'Combined Sals'!U61+'Combined Sals'!U70+'Combined Sals'!U79+'Combined Sals'!U88+'Combined Sals'!U97+'Combined Sals'!U106+'Combined Sals'!U115+'Combined Sals'!U124+'Combined Sals'!U133)</f>
        <v>57593.059959701175</v>
      </c>
      <c r="C31" s="161"/>
      <c r="D31" s="161">
        <f>('Combined Sals'!U8*'Combined Sals'!V8+'Combined Sals'!U17*'Combined Sals'!V17+'Combined Sals'!U26*'Combined Sals'!V26+'Combined Sals'!U35*'Combined Sals'!V35+'Combined Sals'!U44*'Combined Sals'!V44+'Combined Sals'!U53*'Combined Sals'!V53+'Combined Sals'!U62*'Combined Sals'!V62+'Combined Sals'!U71*'Combined Sals'!V71+'Combined Sals'!U80*'Combined Sals'!V80+'Combined Sals'!U89*'Combined Sals'!V89+'Combined Sals'!U98*'Combined Sals'!V98+'Combined Sals'!U107*'Combined Sals'!V107+'Combined Sals'!U116*'Combined Sals'!V116+'Combined Sals'!U125*'Combined Sals'!V125+'Combined Sals'!U134*'Combined Sals'!V134)/('Combined Sals'!U8+'Combined Sals'!U17+'Combined Sals'!U26+'Combined Sals'!U35+'Combined Sals'!U44+'Combined Sals'!U53+'Combined Sals'!U62+'Combined Sals'!U71+'Combined Sals'!U80+'Combined Sals'!U89+'Combined Sals'!U98+'Combined Sals'!U107+'Combined Sals'!U116+'Combined Sals'!U125+'Combined Sals'!U134)</f>
        <v>54202.59001520176</v>
      </c>
      <c r="E31" s="161"/>
      <c r="F31" s="161">
        <f>('Combined Sals'!U9*'Combined Sals'!V9+'Combined Sals'!U18*'Combined Sals'!V18+'Combined Sals'!U27*'Combined Sals'!V27+'Combined Sals'!U36*'Combined Sals'!V36+'Combined Sals'!U45*'Combined Sals'!V45+'Combined Sals'!U54*'Combined Sals'!V54+'Combined Sals'!U63*'Combined Sals'!V63+'Combined Sals'!U72*'Combined Sals'!V72+'Combined Sals'!U81*'Combined Sals'!V81+'Combined Sals'!U90*'Combined Sals'!V90+'Combined Sals'!U99*'Combined Sals'!V99+'Combined Sals'!U108*'Combined Sals'!V108+'Combined Sals'!U117*'Combined Sals'!V117+'Combined Sals'!U126*'Combined Sals'!V126+'Combined Sals'!U135*'Combined Sals'!V135)/('Combined Sals'!U9+'Combined Sals'!U18+'Combined Sals'!U27+'Combined Sals'!U36+'Combined Sals'!U45+'Combined Sals'!U54+'Combined Sals'!U63+'Combined Sals'!U72+'Combined Sals'!U81+'Combined Sals'!U90+'Combined Sals'!U99+'Combined Sals'!U108+'Combined Sals'!U117+'Combined Sals'!U126+'Combined Sals'!U135)</f>
        <v>45987.18483449137</v>
      </c>
      <c r="G31" s="161"/>
      <c r="H31" s="161">
        <f>('Combined Sals'!U10*'Combined Sals'!V10+'Combined Sals'!U19*'Combined Sals'!V19+'Combined Sals'!U28*'Combined Sals'!V28+'Combined Sals'!U37*'Combined Sals'!V37+'Combined Sals'!U46*'Combined Sals'!V46+'Combined Sals'!U55*'Combined Sals'!V55+'Combined Sals'!U64*'Combined Sals'!V64+'Combined Sals'!U73*'Combined Sals'!V73+'Combined Sals'!U82*'Combined Sals'!V82+'Combined Sals'!U91*'Combined Sals'!V91+'Combined Sals'!U100*'Combined Sals'!V100+'Combined Sals'!U109*'Combined Sals'!V109+'Combined Sals'!U118*'Combined Sals'!V118+'Combined Sals'!U127*'Combined Sals'!V127+'Combined Sals'!U136*'Combined Sals'!V136)/('Combined Sals'!U10+'Combined Sals'!U19+'Combined Sals'!U28+'Combined Sals'!U37+'Combined Sals'!U46+'Combined Sals'!U55+'Combined Sals'!U64+'Combined Sals'!U73+'Combined Sals'!U82+'Combined Sals'!U91+'Combined Sals'!U100+'Combined Sals'!U109+'Combined Sals'!U118+'Combined Sals'!U127+'Combined Sals'!U136)</f>
        <v>44917.86900034479</v>
      </c>
      <c r="I31" s="161"/>
      <c r="J31" s="161">
        <f>('Combined Sals'!U11*'Combined Sals'!V11+'Combined Sals'!U20*'Combined Sals'!V20+'Combined Sals'!U29*'Combined Sals'!V29+'Combined Sals'!U38*'Combined Sals'!V38+'Combined Sals'!U47*'Combined Sals'!V47+'Combined Sals'!U56*'Combined Sals'!V56+'Combined Sals'!U65*'Combined Sals'!V65+'Combined Sals'!U74*'Combined Sals'!V74+'Combined Sals'!U83*'Combined Sals'!V83+'Combined Sals'!U92*'Combined Sals'!V92+'Combined Sals'!U101*'Combined Sals'!V101+'Combined Sals'!U110*'Combined Sals'!V110+'Combined Sals'!U119*'Combined Sals'!V119+'Combined Sals'!U128*'Combined Sals'!V128+'Combined Sals'!U137*'Combined Sals'!V137)/('Combined Sals'!U11+'Combined Sals'!U20+'Combined Sals'!U29+'Combined Sals'!U38+'Combined Sals'!U47+'Combined Sals'!U56+'Combined Sals'!U65+'Combined Sals'!U74+'Combined Sals'!U83+'Combined Sals'!U92+'Combined Sals'!U101+'Combined Sals'!U110+'Combined Sals'!U119+'Combined Sals'!U128+'Combined Sals'!U137)</f>
        <v>43408.095398961326</v>
      </c>
      <c r="K31" s="161"/>
      <c r="L31" s="161">
        <f>('Combined Sals'!U12*'Combined Sals'!V12+'Combined Sals'!U21*'Combined Sals'!V21+'Combined Sals'!U30*'Combined Sals'!V30+'Combined Sals'!U39*'Combined Sals'!V39+'Combined Sals'!U48*'Combined Sals'!V48+'Combined Sals'!U57*'Combined Sals'!V57+'Combined Sals'!U66*'Combined Sals'!V66+'Combined Sals'!U75*'Combined Sals'!V75+'Combined Sals'!U84*'Combined Sals'!V84+'Combined Sals'!U93*'Combined Sals'!V93+'Combined Sals'!U102*'Combined Sals'!V102+'Combined Sals'!U111*'Combined Sals'!V111+'Combined Sals'!U120*'Combined Sals'!V120+'Combined Sals'!U129*'Combined Sals'!V129+'Combined Sals'!U138*'Combined Sals'!V138)/('Combined Sals'!U12+'Combined Sals'!U21+'Combined Sals'!U30+'Combined Sals'!U39+'Combined Sals'!U48+'Combined Sals'!U57+'Combined Sals'!U66+'Combined Sals'!U75+'Combined Sals'!U84+'Combined Sals'!U93+'Combined Sals'!U102+'Combined Sals'!U111+'Combined Sals'!U120+'Combined Sals'!U129+'Combined Sals'!U138)</f>
        <v>42358.04748279703</v>
      </c>
      <c r="M31" s="162"/>
      <c r="N31" s="162"/>
      <c r="O31" s="183"/>
      <c r="P31" s="151"/>
      <c r="Q31" s="151"/>
    </row>
    <row r="32" spans="1:17" ht="15">
      <c r="A32" s="169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63"/>
      <c r="N32" s="163"/>
      <c r="O32" s="185"/>
      <c r="P32" s="151"/>
      <c r="Q32" s="151"/>
    </row>
    <row r="33" spans="1:20" ht="15">
      <c r="A33" s="169" t="s">
        <v>818</v>
      </c>
      <c r="B33" s="160">
        <f>'Combined Sals'!V7</f>
        <v>50619.1683237889</v>
      </c>
      <c r="C33" s="160"/>
      <c r="D33" s="160">
        <f>'Combined Sals'!V8</f>
        <v>51838.3288173274</v>
      </c>
      <c r="E33" s="160"/>
      <c r="F33" s="160">
        <f>'Combined Sals'!V9</f>
        <v>45133.294562179784</v>
      </c>
      <c r="G33" s="160"/>
      <c r="H33" s="160">
        <f>'Combined Sals'!V10</f>
        <v>40598.54542198896</v>
      </c>
      <c r="I33" s="160"/>
      <c r="J33" s="160">
        <f>'Combined Sals'!V11</f>
        <v>39915.992599830526</v>
      </c>
      <c r="K33" s="160"/>
      <c r="L33" s="160">
        <f>'Combined Sals'!V12</f>
        <v>44576.687365915495</v>
      </c>
      <c r="M33" s="186"/>
      <c r="N33" s="186"/>
      <c r="O33" s="187"/>
      <c r="P33" s="188"/>
      <c r="Q33" s="188"/>
      <c r="R33" s="47"/>
      <c r="S33" s="47"/>
      <c r="T33" s="47"/>
    </row>
    <row r="34" spans="1:20" ht="15">
      <c r="A34" s="169" t="s">
        <v>819</v>
      </c>
      <c r="B34" s="160">
        <f>'Combined Sals'!V16</f>
        <v>51589.32064140097</v>
      </c>
      <c r="C34" s="160"/>
      <c r="D34" s="160">
        <f>'Combined Sals'!V17</f>
        <v>0</v>
      </c>
      <c r="E34" s="160"/>
      <c r="F34" s="160">
        <f>'Combined Sals'!V18</f>
        <v>43482.610105945045</v>
      </c>
      <c r="G34" s="160"/>
      <c r="H34" s="160">
        <f>'Combined Sals'!V19</f>
        <v>0</v>
      </c>
      <c r="I34" s="160"/>
      <c r="J34" s="160">
        <f>'Combined Sals'!V20</f>
        <v>41367.34772949</v>
      </c>
      <c r="K34" s="160"/>
      <c r="L34" s="160">
        <f>'Combined Sals'!V21</f>
        <v>37599.508917879866</v>
      </c>
      <c r="M34" s="186"/>
      <c r="N34" s="186"/>
      <c r="O34" s="187"/>
      <c r="P34" s="188"/>
      <c r="Q34" s="188"/>
      <c r="R34" s="47"/>
      <c r="S34" s="47"/>
      <c r="T34" s="47"/>
    </row>
    <row r="35" spans="1:20" ht="15">
      <c r="A35" s="169" t="s">
        <v>820</v>
      </c>
      <c r="B35" s="160">
        <f>'Combined Sals'!V25</f>
        <v>55301.141607660866</v>
      </c>
      <c r="C35" s="160"/>
      <c r="D35" s="160">
        <f>'Combined Sals'!V26</f>
        <v>54215.064209560565</v>
      </c>
      <c r="E35" s="160"/>
      <c r="F35" s="160">
        <f>'Combined Sals'!V27</f>
        <v>51029.79673055801</v>
      </c>
      <c r="G35" s="160"/>
      <c r="H35" s="160">
        <f>'Combined Sals'!V28</f>
        <v>44722.459183673425</v>
      </c>
      <c r="I35" s="160"/>
      <c r="J35" s="160">
        <f>'Combined Sals'!V29</f>
        <v>0</v>
      </c>
      <c r="K35" s="160"/>
      <c r="L35" s="160">
        <f>'Combined Sals'!V30</f>
        <v>0</v>
      </c>
      <c r="M35" s="186"/>
      <c r="N35" s="186"/>
      <c r="O35" s="187"/>
      <c r="P35" s="188"/>
      <c r="Q35" s="188"/>
      <c r="R35" s="47"/>
      <c r="S35" s="47"/>
      <c r="T35" s="47"/>
    </row>
    <row r="36" spans="1:20" ht="15">
      <c r="A36" s="169" t="s">
        <v>821</v>
      </c>
      <c r="B36" s="160">
        <f>'Combined Sals'!V34</f>
        <v>60824.444214876</v>
      </c>
      <c r="C36" s="160"/>
      <c r="D36" s="160">
        <f>'Combined Sals'!V35</f>
        <v>71498.75453277545</v>
      </c>
      <c r="E36" s="160"/>
      <c r="F36" s="160">
        <f>'Combined Sals'!V36</f>
        <v>44938.192307692305</v>
      </c>
      <c r="G36" s="160"/>
      <c r="H36" s="160">
        <f>'Combined Sals'!V37</f>
        <v>47571.97300215985</v>
      </c>
      <c r="I36" s="160"/>
      <c r="J36" s="160">
        <f>'Combined Sals'!V38</f>
        <v>47731.20082389288</v>
      </c>
      <c r="K36" s="160"/>
      <c r="L36" s="160">
        <f>'Combined Sals'!V39</f>
        <v>46023.080610021796</v>
      </c>
      <c r="M36" s="186"/>
      <c r="N36" s="186"/>
      <c r="O36" s="187"/>
      <c r="P36" s="188"/>
      <c r="Q36" s="188"/>
      <c r="R36" s="47"/>
      <c r="S36" s="47"/>
      <c r="T36" s="47"/>
    </row>
    <row r="37" spans="1:20" ht="15">
      <c r="A37" s="169" t="s">
        <v>822</v>
      </c>
      <c r="B37" s="160">
        <f>'Combined Sals'!V43</f>
        <v>58659.19017040916</v>
      </c>
      <c r="C37" s="160"/>
      <c r="D37" s="160">
        <f>'Combined Sals'!V44</f>
        <v>54209.36977778409</v>
      </c>
      <c r="E37" s="160"/>
      <c r="F37" s="160">
        <f>'Combined Sals'!V45</f>
        <v>47422.79491493927</v>
      </c>
      <c r="G37" s="160"/>
      <c r="H37" s="160">
        <f>'Combined Sals'!V46</f>
        <v>41638.738170347</v>
      </c>
      <c r="I37" s="160"/>
      <c r="J37" s="160">
        <f>'Combined Sals'!V47</f>
        <v>44796.46080301588</v>
      </c>
      <c r="K37" s="160"/>
      <c r="L37" s="160">
        <f>'Combined Sals'!V48</f>
        <v>42556.40910165289</v>
      </c>
      <c r="M37" s="186"/>
      <c r="N37" s="186"/>
      <c r="O37" s="187"/>
      <c r="P37" s="188"/>
      <c r="Q37" s="188"/>
      <c r="R37" s="47"/>
      <c r="S37" s="47"/>
      <c r="T37" s="47"/>
    </row>
    <row r="38" spans="1:20" ht="15">
      <c r="A38" s="169" t="s">
        <v>823</v>
      </c>
      <c r="B38" s="160">
        <f>'Combined Sals'!V52</f>
        <v>50490.0668716372</v>
      </c>
      <c r="C38" s="160"/>
      <c r="D38" s="160">
        <f>'Combined Sals'!V53</f>
        <v>48330.19600725952</v>
      </c>
      <c r="E38" s="160"/>
      <c r="F38" s="160">
        <f>'Combined Sals'!V54</f>
        <v>42878.61713286715</v>
      </c>
      <c r="G38" s="160"/>
      <c r="H38" s="160">
        <f>'Combined Sals'!V55</f>
        <v>40036.75680421424</v>
      </c>
      <c r="I38" s="160"/>
      <c r="J38" s="160">
        <f>'Combined Sals'!V56</f>
        <v>41209.856655290125</v>
      </c>
      <c r="K38" s="160"/>
      <c r="L38" s="160">
        <f>'Combined Sals'!V57</f>
        <v>0</v>
      </c>
      <c r="M38" s="186"/>
      <c r="N38" s="186"/>
      <c r="O38" s="187"/>
      <c r="P38" s="188"/>
      <c r="Q38" s="188"/>
      <c r="R38" s="47"/>
      <c r="S38" s="47"/>
      <c r="T38" s="47"/>
    </row>
    <row r="39" spans="1:20" ht="15">
      <c r="A39" s="169" t="s">
        <v>824</v>
      </c>
      <c r="B39" s="160">
        <f>'Combined Sals'!V61</f>
        <v>62676.000708308144</v>
      </c>
      <c r="C39" s="160"/>
      <c r="D39" s="160">
        <f>'Combined Sals'!V62</f>
        <v>54464.44199916666</v>
      </c>
      <c r="E39" s="160"/>
      <c r="F39" s="160">
        <f>'Combined Sals'!V63</f>
        <v>0</v>
      </c>
      <c r="G39" s="160"/>
      <c r="H39" s="160">
        <f>'Combined Sals'!V64</f>
        <v>49678.243142776635</v>
      </c>
      <c r="I39" s="160"/>
      <c r="J39" s="160">
        <f>'Combined Sals'!V65</f>
        <v>44607.97471110234</v>
      </c>
      <c r="K39" s="160"/>
      <c r="L39" s="160">
        <f>'Combined Sals'!V66</f>
        <v>51192.00917431194</v>
      </c>
      <c r="M39" s="186"/>
      <c r="N39" s="186"/>
      <c r="O39" s="187"/>
      <c r="P39" s="188"/>
      <c r="Q39" s="188"/>
      <c r="R39" s="47"/>
      <c r="S39" s="47"/>
      <c r="T39" s="47"/>
    </row>
    <row r="40" spans="1:20" ht="15">
      <c r="A40" s="169" t="s">
        <v>825</v>
      </c>
      <c r="B40" s="160">
        <f>'Combined Sals'!V70</f>
        <v>48214.31936997567</v>
      </c>
      <c r="C40" s="160"/>
      <c r="D40" s="160">
        <f>'Combined Sals'!V71</f>
        <v>49382.01936361764</v>
      </c>
      <c r="E40" s="160"/>
      <c r="F40" s="160">
        <f>'Combined Sals'!V72</f>
        <v>42178.448716126986</v>
      </c>
      <c r="G40" s="160"/>
      <c r="H40" s="160">
        <f>'Combined Sals'!V73</f>
        <v>0</v>
      </c>
      <c r="I40" s="160"/>
      <c r="J40" s="160">
        <f>'Combined Sals'!V74</f>
        <v>40430.76666150288</v>
      </c>
      <c r="K40" s="160"/>
      <c r="L40" s="160">
        <f>'Combined Sals'!V75</f>
        <v>36991.44508128513</v>
      </c>
      <c r="M40" s="186"/>
      <c r="N40" s="186"/>
      <c r="O40" s="187"/>
      <c r="P40" s="188"/>
      <c r="Q40" s="188"/>
      <c r="R40" s="47"/>
      <c r="S40" s="47"/>
      <c r="T40" s="47"/>
    </row>
    <row r="41" spans="1:20" ht="15">
      <c r="A41" s="169" t="s">
        <v>826</v>
      </c>
      <c r="B41" s="160">
        <f>'Combined Sals'!V79</f>
        <v>65291.12448958554</v>
      </c>
      <c r="C41" s="160"/>
      <c r="D41" s="160">
        <f>'Combined Sals'!V80</f>
        <v>50335.149524070795</v>
      </c>
      <c r="E41" s="160"/>
      <c r="F41" s="160">
        <f>'Combined Sals'!V81</f>
        <v>49765.59349761193</v>
      </c>
      <c r="G41" s="160"/>
      <c r="H41" s="160">
        <f>'Combined Sals'!V82</f>
        <v>49228.700616779635</v>
      </c>
      <c r="I41" s="160"/>
      <c r="J41" s="160">
        <f>'Combined Sals'!V83</f>
        <v>49074.73371286713</v>
      </c>
      <c r="K41" s="160"/>
      <c r="L41" s="160">
        <f>'Combined Sals'!V84</f>
        <v>47699.0585503258</v>
      </c>
      <c r="M41" s="186"/>
      <c r="N41" s="186"/>
      <c r="O41" s="187"/>
      <c r="P41" s="188"/>
      <c r="Q41" s="188"/>
      <c r="R41" s="47"/>
      <c r="S41" s="47"/>
      <c r="T41" s="47"/>
    </row>
    <row r="42" spans="1:20" ht="15">
      <c r="A42" s="169" t="s">
        <v>827</v>
      </c>
      <c r="B42" s="160">
        <f>'Combined Sals'!V88</f>
        <v>53612.850313573785</v>
      </c>
      <c r="C42" s="160"/>
      <c r="D42" s="160">
        <f>'Combined Sals'!V89</f>
        <v>0</v>
      </c>
      <c r="E42" s="160"/>
      <c r="F42" s="160">
        <f>'Combined Sals'!V90</f>
        <v>47509.63852242744</v>
      </c>
      <c r="G42" s="160"/>
      <c r="H42" s="160">
        <f>'Combined Sals'!V91</f>
        <v>42011.63573607439</v>
      </c>
      <c r="I42" s="160"/>
      <c r="J42" s="160">
        <f>'Combined Sals'!V92</f>
        <v>40408.24805236889</v>
      </c>
      <c r="K42" s="160"/>
      <c r="L42" s="160">
        <f>'Combined Sals'!V93</f>
        <v>36840.130128571414</v>
      </c>
      <c r="M42" s="186"/>
      <c r="N42" s="186"/>
      <c r="O42" s="187"/>
      <c r="P42" s="188"/>
      <c r="Q42" s="188"/>
      <c r="R42" s="47"/>
      <c r="S42" s="47"/>
      <c r="T42" s="47"/>
    </row>
    <row r="43" spans="1:20" ht="15">
      <c r="A43" s="169" t="s">
        <v>828</v>
      </c>
      <c r="B43" s="160">
        <f>'Combined Sals'!V97</f>
        <v>56288.498478972884</v>
      </c>
      <c r="C43" s="160"/>
      <c r="D43" s="160">
        <f>'Combined Sals'!V98</f>
        <v>54596.11582631214</v>
      </c>
      <c r="E43" s="160"/>
      <c r="F43" s="160">
        <f>'Combined Sals'!V99</f>
        <v>43089.82964450821</v>
      </c>
      <c r="G43" s="160"/>
      <c r="H43" s="160">
        <f>'Combined Sals'!V100</f>
        <v>43802.79033049239</v>
      </c>
      <c r="I43" s="160"/>
      <c r="J43" s="160">
        <f>'Combined Sals'!V101</f>
        <v>44123.6867379798</v>
      </c>
      <c r="K43" s="160"/>
      <c r="L43" s="160">
        <f>'Combined Sals'!V102</f>
        <v>43230.559609054566</v>
      </c>
      <c r="M43" s="186"/>
      <c r="N43" s="186"/>
      <c r="O43" s="187"/>
      <c r="P43" s="188"/>
      <c r="Q43" s="188"/>
      <c r="R43" s="47"/>
      <c r="S43" s="47"/>
      <c r="T43" s="47"/>
    </row>
    <row r="44" spans="1:20" ht="15">
      <c r="A44" s="169" t="s">
        <v>829</v>
      </c>
      <c r="B44" s="160">
        <f>'Combined Sals'!V106</f>
        <v>57210.2123502873</v>
      </c>
      <c r="C44" s="160"/>
      <c r="D44" s="160">
        <f>'Combined Sals'!V107</f>
        <v>50468.782170683764</v>
      </c>
      <c r="E44" s="160"/>
      <c r="F44" s="160">
        <f>'Combined Sals'!V108</f>
        <v>46275.401192043035</v>
      </c>
      <c r="G44" s="160"/>
      <c r="H44" s="160">
        <f>'Combined Sals'!V109</f>
        <v>45989.55719857144</v>
      </c>
      <c r="I44" s="160"/>
      <c r="J44" s="160">
        <f>'Combined Sals'!V110</f>
        <v>44964.01786017241</v>
      </c>
      <c r="K44" s="160"/>
      <c r="L44" s="160">
        <f>'Combined Sals'!V111</f>
        <v>0</v>
      </c>
      <c r="M44" s="186"/>
      <c r="N44" s="186"/>
      <c r="O44" s="187"/>
      <c r="P44" s="188"/>
      <c r="Q44" s="188"/>
      <c r="R44" s="47"/>
      <c r="S44" s="47"/>
      <c r="T44" s="47"/>
    </row>
    <row r="45" spans="1:20" ht="15">
      <c r="A45" s="169" t="s">
        <v>830</v>
      </c>
      <c r="B45" s="160">
        <f>'Combined Sals'!V115</f>
        <v>58806.827396373075</v>
      </c>
      <c r="C45" s="160"/>
      <c r="D45" s="160">
        <f>'Combined Sals'!V116</f>
        <v>51795.74819566961</v>
      </c>
      <c r="E45" s="160"/>
      <c r="F45" s="160">
        <f>'Combined Sals'!V117</f>
        <v>43957.289441747576</v>
      </c>
      <c r="G45" s="160"/>
      <c r="H45" s="160">
        <f>'Combined Sals'!V118</f>
        <v>41979.33836477986</v>
      </c>
      <c r="I45" s="160"/>
      <c r="J45" s="160">
        <f>'Combined Sals'!V119</f>
        <v>43139.1593220339</v>
      </c>
      <c r="K45" s="160"/>
      <c r="L45" s="160">
        <f>'Combined Sals'!V120</f>
        <v>41424.83913043477</v>
      </c>
      <c r="M45" s="186"/>
      <c r="N45" s="186"/>
      <c r="O45" s="187"/>
      <c r="P45" s="188"/>
      <c r="Q45" s="188"/>
      <c r="R45" s="47"/>
      <c r="S45" s="47"/>
      <c r="T45" s="47"/>
    </row>
    <row r="46" spans="1:20" ht="15">
      <c r="A46" s="169" t="s">
        <v>831</v>
      </c>
      <c r="B46" s="160">
        <f>'Combined Sals'!V124</f>
        <v>62659.509085617065</v>
      </c>
      <c r="C46" s="160"/>
      <c r="D46" s="160">
        <f>'Combined Sals'!V125</f>
        <v>57104.78071839636</v>
      </c>
      <c r="E46" s="160"/>
      <c r="F46" s="160">
        <f>'Combined Sals'!V126</f>
        <v>48250.63364017148</v>
      </c>
      <c r="G46" s="160"/>
      <c r="H46" s="160">
        <f>'Combined Sals'!V127</f>
        <v>45800.55988049178</v>
      </c>
      <c r="I46" s="160"/>
      <c r="J46" s="160">
        <f>'Combined Sals'!V128</f>
        <v>46922.70886075949</v>
      </c>
      <c r="K46" s="160"/>
      <c r="L46" s="160">
        <f>'Combined Sals'!V129</f>
        <v>46805.172809552234</v>
      </c>
      <c r="M46" s="186"/>
      <c r="N46" s="186"/>
      <c r="O46" s="187"/>
      <c r="P46" s="188"/>
      <c r="Q46" s="188"/>
      <c r="R46" s="47"/>
      <c r="S46" s="47"/>
      <c r="T46" s="47"/>
    </row>
    <row r="47" spans="1:20" ht="15">
      <c r="A47" s="165" t="s">
        <v>832</v>
      </c>
      <c r="B47" s="166">
        <f>'Combined Sals'!V133</f>
        <v>52013.308253907904</v>
      </c>
      <c r="C47" s="167"/>
      <c r="D47" s="166">
        <v>0</v>
      </c>
      <c r="E47" s="167"/>
      <c r="F47" s="166">
        <f>'Combined Sals'!V135</f>
        <v>43826.0396113382</v>
      </c>
      <c r="G47" s="167"/>
      <c r="H47" s="166">
        <f>'Combined Sals'!V136</f>
        <v>0</v>
      </c>
      <c r="I47" s="167"/>
      <c r="J47" s="166">
        <f>'Combined Sals'!V137</f>
        <v>0</v>
      </c>
      <c r="K47" s="167"/>
      <c r="L47" s="166">
        <f>'Combined Sals'!V138</f>
        <v>39079.3996950371</v>
      </c>
      <c r="M47" s="167"/>
      <c r="N47" s="166"/>
      <c r="O47" s="168"/>
      <c r="P47" s="188"/>
      <c r="Q47" s="188"/>
      <c r="R47" s="47"/>
      <c r="S47" s="47"/>
      <c r="T47" s="47"/>
    </row>
    <row r="48" spans="1:20" ht="15">
      <c r="A48" s="16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86"/>
      <c r="N48" s="186"/>
      <c r="O48" s="187"/>
      <c r="P48" s="188"/>
      <c r="Q48" s="188"/>
      <c r="R48" s="47"/>
      <c r="S48" s="47"/>
      <c r="T48" s="47"/>
    </row>
    <row r="49" spans="1:20" ht="13.5">
      <c r="A49" s="185" t="s">
        <v>833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6"/>
      <c r="N49" s="186"/>
      <c r="O49" s="187"/>
      <c r="P49" s="188"/>
      <c r="Q49" s="188"/>
      <c r="R49" s="47"/>
      <c r="S49" s="47"/>
      <c r="T49" s="47"/>
    </row>
    <row r="50" spans="1:20" ht="13.5">
      <c r="A50" s="185" t="s">
        <v>834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6"/>
      <c r="N50" s="186"/>
      <c r="O50" s="187"/>
      <c r="P50" s="188"/>
      <c r="Q50" s="188"/>
      <c r="R50" s="47"/>
      <c r="S50" s="47"/>
      <c r="T50" s="47"/>
    </row>
    <row r="51" spans="1:20" ht="13.5">
      <c r="A51" s="185" t="s">
        <v>835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6"/>
      <c r="N51" s="186"/>
      <c r="O51" s="187"/>
      <c r="P51" s="188"/>
      <c r="Q51" s="188"/>
      <c r="R51" s="47"/>
      <c r="S51" s="47"/>
      <c r="T51" s="47"/>
    </row>
    <row r="52" spans="1:17" ht="13.5">
      <c r="A52" s="185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63"/>
      <c r="N52" s="163"/>
      <c r="O52" s="187"/>
      <c r="P52" s="151"/>
      <c r="Q52" s="151"/>
    </row>
    <row r="53" spans="1:17" ht="18">
      <c r="A53" s="151"/>
      <c r="B53" s="150"/>
      <c r="D53" s="191" t="s">
        <v>836</v>
      </c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1"/>
      <c r="Q53" s="151"/>
    </row>
    <row r="54" spans="1:17" ht="15">
      <c r="A54" s="2"/>
      <c r="B54" s="150"/>
      <c r="D54" s="192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1"/>
      <c r="Q54" s="151"/>
    </row>
    <row r="55" spans="1:17" ht="15">
      <c r="A55" s="2"/>
      <c r="B55" s="150"/>
      <c r="D55" s="192" t="s">
        <v>814</v>
      </c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1"/>
      <c r="Q55" s="151"/>
    </row>
    <row r="56" spans="1:17" ht="15">
      <c r="A56" s="2"/>
      <c r="B56" s="150"/>
      <c r="D56" s="192" t="s">
        <v>837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1"/>
      <c r="Q56" s="151"/>
    </row>
    <row r="57" spans="1:17" ht="15">
      <c r="A57" s="2"/>
      <c r="B57" s="150"/>
      <c r="D57" s="192" t="s">
        <v>802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1"/>
      <c r="Q57" s="151"/>
    </row>
    <row r="58" spans="1:17" ht="15">
      <c r="A58" s="2"/>
      <c r="B58" s="150"/>
      <c r="D58" s="192" t="s">
        <v>803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  <c r="Q58" s="151"/>
    </row>
    <row r="59" spans="1:17" ht="15">
      <c r="A59" s="127"/>
      <c r="B59" s="150"/>
      <c r="C59" s="150"/>
      <c r="D59" s="150"/>
      <c r="E59" s="150"/>
      <c r="F59" s="150"/>
      <c r="G59" s="150"/>
      <c r="H59" s="150"/>
      <c r="I59" s="185"/>
      <c r="J59" s="185"/>
      <c r="K59" s="185"/>
      <c r="L59" s="185"/>
      <c r="M59" s="185"/>
      <c r="N59" s="185"/>
      <c r="O59" s="185"/>
      <c r="P59" s="151"/>
      <c r="Q59" s="151"/>
    </row>
    <row r="60" spans="1:17" ht="15">
      <c r="A60" s="153"/>
      <c r="B60" s="193" t="s">
        <v>838</v>
      </c>
      <c r="C60" s="194"/>
      <c r="D60" s="176"/>
      <c r="E60" s="176"/>
      <c r="F60" s="193" t="s">
        <v>839</v>
      </c>
      <c r="G60" s="194"/>
      <c r="H60" s="195"/>
      <c r="I60" s="177"/>
      <c r="J60" s="177"/>
      <c r="K60" s="177"/>
      <c r="L60" s="177"/>
      <c r="M60" s="177"/>
      <c r="N60" s="177"/>
      <c r="O60" s="177"/>
      <c r="P60" s="151"/>
      <c r="Q60" s="151"/>
    </row>
    <row r="61" spans="1:17" ht="15">
      <c r="A61" s="156"/>
      <c r="B61" s="158" t="s">
        <v>816</v>
      </c>
      <c r="C61" s="157" t="s">
        <v>810</v>
      </c>
      <c r="D61" s="181"/>
      <c r="E61" s="181"/>
      <c r="F61" s="158" t="s">
        <v>816</v>
      </c>
      <c r="G61" s="157" t="s">
        <v>810</v>
      </c>
      <c r="H61" s="181"/>
      <c r="I61" s="196"/>
      <c r="J61" s="196"/>
      <c r="K61" s="196"/>
      <c r="L61" s="196"/>
      <c r="M61" s="196"/>
      <c r="N61" s="177"/>
      <c r="O61" s="177"/>
      <c r="P61" s="151"/>
      <c r="Q61" s="151"/>
    </row>
    <row r="62" spans="1:17" ht="15">
      <c r="A62" s="169" t="s">
        <v>817</v>
      </c>
      <c r="B62" s="161">
        <f>'Combined Sals'!V149</f>
        <v>37640.15432394004</v>
      </c>
      <c r="C62" s="170"/>
      <c r="D62" s="170"/>
      <c r="E62" s="170"/>
      <c r="F62" s="161">
        <f>'Combined Sals'!V150</f>
        <v>36132.1377667887</v>
      </c>
      <c r="G62" s="163"/>
      <c r="H62" s="183"/>
      <c r="I62" s="185"/>
      <c r="J62" s="185"/>
      <c r="K62" s="185"/>
      <c r="L62" s="185"/>
      <c r="M62" s="185"/>
      <c r="N62" s="185"/>
      <c r="O62" s="185"/>
      <c r="P62" s="151"/>
      <c r="Q62" s="151"/>
    </row>
    <row r="63" spans="1:17" ht="15">
      <c r="A63" s="169"/>
      <c r="B63" s="184"/>
      <c r="C63" s="170"/>
      <c r="D63" s="170"/>
      <c r="E63" s="170"/>
      <c r="F63" s="184"/>
      <c r="G63" s="163"/>
      <c r="H63" s="185"/>
      <c r="I63" s="185"/>
      <c r="J63" s="185"/>
      <c r="K63" s="185"/>
      <c r="L63" s="185"/>
      <c r="M63" s="185"/>
      <c r="N63" s="185"/>
      <c r="O63" s="185"/>
      <c r="P63" s="151"/>
      <c r="Q63" s="151"/>
    </row>
    <row r="64" spans="1:17" ht="15">
      <c r="A64" s="169" t="s">
        <v>818</v>
      </c>
      <c r="B64" s="160">
        <f>'Combined Sals'!V14</f>
        <v>38213.75068888102</v>
      </c>
      <c r="C64" s="171"/>
      <c r="D64" s="171"/>
      <c r="E64" s="171"/>
      <c r="F64" s="160">
        <f>'Combined Sals'!V15</f>
        <v>40816.46853198694</v>
      </c>
      <c r="G64" s="186"/>
      <c r="H64" s="185"/>
      <c r="I64" s="185"/>
      <c r="J64" s="185"/>
      <c r="K64" s="185"/>
      <c r="L64" s="185"/>
      <c r="M64" s="185"/>
      <c r="N64" s="185"/>
      <c r="O64" s="185"/>
      <c r="P64" s="151"/>
      <c r="Q64" s="151"/>
    </row>
    <row r="65" spans="1:17" ht="15">
      <c r="A65" s="169" t="s">
        <v>819</v>
      </c>
      <c r="B65" s="160">
        <f>'Combined Sals'!V23</f>
        <v>32879.834761798265</v>
      </c>
      <c r="C65" s="171"/>
      <c r="D65" s="171"/>
      <c r="E65" s="171"/>
      <c r="F65" s="160">
        <f>'Combined Sals'!V24</f>
        <v>0</v>
      </c>
      <c r="G65" s="186"/>
      <c r="H65" s="185"/>
      <c r="I65" s="185"/>
      <c r="J65" s="185"/>
      <c r="K65" s="185"/>
      <c r="L65" s="185"/>
      <c r="M65" s="185"/>
      <c r="N65" s="185"/>
      <c r="O65" s="185"/>
      <c r="P65" s="151"/>
      <c r="Q65" s="151"/>
    </row>
    <row r="66" spans="1:17" ht="15">
      <c r="A66" s="169" t="s">
        <v>820</v>
      </c>
      <c r="B66" s="160">
        <f>'Combined Sals'!V32</f>
        <v>39147.9190371991</v>
      </c>
      <c r="C66" s="171"/>
      <c r="D66" s="171"/>
      <c r="E66" s="171"/>
      <c r="F66" s="160">
        <f>'Combined Sals'!V33</f>
        <v>0</v>
      </c>
      <c r="G66" s="186"/>
      <c r="H66" s="185"/>
      <c r="I66" s="185"/>
      <c r="J66" s="185"/>
      <c r="K66" s="185"/>
      <c r="L66" s="185"/>
      <c r="M66" s="185"/>
      <c r="N66" s="185"/>
      <c r="O66" s="185"/>
      <c r="P66" s="151"/>
      <c r="Q66" s="151"/>
    </row>
    <row r="67" spans="1:17" ht="15">
      <c r="A67" s="169" t="s">
        <v>821</v>
      </c>
      <c r="B67" s="160">
        <f>'Combined Sals'!V41</f>
        <v>40887.46957311534</v>
      </c>
      <c r="C67" s="171"/>
      <c r="D67" s="171"/>
      <c r="E67" s="171"/>
      <c r="F67" s="160">
        <f>'Combined Sals'!V42</f>
        <v>38430.08490441109</v>
      </c>
      <c r="G67" s="186"/>
      <c r="H67" s="185"/>
      <c r="I67" s="185"/>
      <c r="J67" s="185"/>
      <c r="K67" s="185"/>
      <c r="L67" s="185"/>
      <c r="M67" s="185"/>
      <c r="N67" s="185"/>
      <c r="O67" s="185"/>
      <c r="P67" s="151"/>
      <c r="Q67" s="151"/>
    </row>
    <row r="68" spans="1:17" ht="15">
      <c r="A68" s="169" t="s">
        <v>822</v>
      </c>
      <c r="B68" s="160">
        <f>'Combined Sals'!V50</f>
        <v>36709.17502990456</v>
      </c>
      <c r="C68" s="171"/>
      <c r="D68" s="171"/>
      <c r="E68" s="171"/>
      <c r="F68" s="160">
        <f>'Combined Sals'!V51</f>
        <v>0</v>
      </c>
      <c r="G68" s="163"/>
      <c r="H68" s="185"/>
      <c r="I68" s="185"/>
      <c r="J68" s="185"/>
      <c r="K68" s="185"/>
      <c r="L68" s="185"/>
      <c r="M68" s="185"/>
      <c r="N68" s="185"/>
      <c r="O68" s="185"/>
      <c r="P68" s="151"/>
      <c r="Q68" s="151"/>
    </row>
    <row r="69" spans="1:17" ht="15">
      <c r="A69" s="169" t="s">
        <v>823</v>
      </c>
      <c r="B69" s="160">
        <f>'Combined Sals'!V59</f>
        <v>35254.18090452261</v>
      </c>
      <c r="C69" s="171"/>
      <c r="D69" s="171"/>
      <c r="E69" s="171"/>
      <c r="F69" s="160">
        <f>'Combined Sals'!V60</f>
        <v>33540.3177805801</v>
      </c>
      <c r="G69" s="163"/>
      <c r="H69" s="185"/>
      <c r="I69" s="185"/>
      <c r="J69" s="185"/>
      <c r="K69" s="185"/>
      <c r="L69" s="185"/>
      <c r="M69" s="185"/>
      <c r="N69" s="185"/>
      <c r="O69" s="185"/>
      <c r="P69" s="151"/>
      <c r="Q69" s="151"/>
    </row>
    <row r="70" spans="1:17" ht="15">
      <c r="A70" s="169" t="s">
        <v>824</v>
      </c>
      <c r="B70" s="160">
        <f>'Combined Sals'!V68</f>
        <v>46680.35251790306</v>
      </c>
      <c r="C70" s="171"/>
      <c r="D70" s="171"/>
      <c r="E70" s="171"/>
      <c r="F70" s="160">
        <f>'Combined Sals'!V69</f>
        <v>0</v>
      </c>
      <c r="G70" s="186"/>
      <c r="H70" s="185"/>
      <c r="I70" s="185"/>
      <c r="J70" s="185"/>
      <c r="K70" s="185"/>
      <c r="L70" s="185"/>
      <c r="M70" s="185"/>
      <c r="N70" s="185"/>
      <c r="O70" s="185"/>
      <c r="P70" s="151"/>
      <c r="Q70" s="151"/>
    </row>
    <row r="71" spans="1:17" ht="15">
      <c r="A71" s="169" t="s">
        <v>825</v>
      </c>
      <c r="B71" s="160">
        <f>'Combined Sals'!V77</f>
        <v>36880.277422996835</v>
      </c>
      <c r="C71" s="171"/>
      <c r="D71" s="171"/>
      <c r="E71" s="171"/>
      <c r="F71" s="160">
        <f>'Combined Sals'!V78</f>
        <v>0</v>
      </c>
      <c r="G71" s="186"/>
      <c r="H71" s="185"/>
      <c r="I71" s="185"/>
      <c r="J71" s="185"/>
      <c r="K71" s="185"/>
      <c r="L71" s="185"/>
      <c r="M71" s="185"/>
      <c r="N71" s="185"/>
      <c r="O71" s="185"/>
      <c r="P71" s="151"/>
      <c r="Q71" s="151"/>
    </row>
    <row r="72" spans="1:17" ht="15">
      <c r="A72" s="169" t="s">
        <v>826</v>
      </c>
      <c r="B72" s="160">
        <f>'Combined Sals'!V86</f>
        <v>32205.7891207154</v>
      </c>
      <c r="C72" s="171"/>
      <c r="D72" s="171"/>
      <c r="E72" s="171"/>
      <c r="F72" s="160">
        <f>'Combined Sals'!V87</f>
        <v>0</v>
      </c>
      <c r="G72" s="186"/>
      <c r="H72" s="185"/>
      <c r="I72" s="185"/>
      <c r="J72" s="185"/>
      <c r="K72" s="185"/>
      <c r="L72" s="185"/>
      <c r="M72" s="185"/>
      <c r="N72" s="185"/>
      <c r="O72" s="185"/>
      <c r="P72" s="151"/>
      <c r="Q72" s="151"/>
    </row>
    <row r="73" spans="1:17" ht="15">
      <c r="A73" s="169" t="s">
        <v>827</v>
      </c>
      <c r="B73" s="160">
        <f>'Combined Sals'!V95</f>
        <v>36632.720558230256</v>
      </c>
      <c r="C73" s="171"/>
      <c r="D73" s="171"/>
      <c r="E73" s="171"/>
      <c r="F73" s="160">
        <f>'Combined Sals'!V96</f>
        <v>0</v>
      </c>
      <c r="G73" s="163"/>
      <c r="H73" s="185"/>
      <c r="I73" s="185"/>
      <c r="J73" s="185"/>
      <c r="K73" s="185"/>
      <c r="L73" s="185"/>
      <c r="M73" s="185"/>
      <c r="N73" s="185"/>
      <c r="O73" s="185"/>
      <c r="P73" s="151"/>
      <c r="Q73" s="151"/>
    </row>
    <row r="74" spans="1:17" ht="15">
      <c r="A74" s="169" t="s">
        <v>828</v>
      </c>
      <c r="B74" s="160">
        <f>'Combined Sals'!V104</f>
        <v>33751.367294303716</v>
      </c>
      <c r="C74" s="171"/>
      <c r="D74" s="171"/>
      <c r="E74" s="171"/>
      <c r="F74" s="160">
        <f>'Combined Sals'!V105</f>
        <v>0</v>
      </c>
      <c r="G74" s="186"/>
      <c r="H74" s="185"/>
      <c r="I74" s="185"/>
      <c r="J74" s="185"/>
      <c r="K74" s="185"/>
      <c r="L74" s="185"/>
      <c r="M74" s="185"/>
      <c r="N74" s="185"/>
      <c r="O74" s="185"/>
      <c r="P74" s="151"/>
      <c r="Q74" s="151"/>
    </row>
    <row r="75" spans="1:17" ht="15">
      <c r="A75" s="169" t="s">
        <v>829</v>
      </c>
      <c r="B75" s="160">
        <f>'Combined Sals'!V113</f>
        <v>36669.42046435608</v>
      </c>
      <c r="C75" s="171"/>
      <c r="D75" s="171"/>
      <c r="E75" s="171"/>
      <c r="F75" s="160">
        <f>'Combined Sals'!V114</f>
        <v>25547.101206923082</v>
      </c>
      <c r="G75" s="186"/>
      <c r="H75" s="185"/>
      <c r="I75" s="185"/>
      <c r="J75" s="185"/>
      <c r="K75" s="185"/>
      <c r="L75" s="185"/>
      <c r="M75" s="185"/>
      <c r="N75" s="185"/>
      <c r="O75" s="185"/>
      <c r="P75" s="151"/>
      <c r="Q75" s="151"/>
    </row>
    <row r="76" spans="1:17" ht="15">
      <c r="A76" s="169" t="s">
        <v>830</v>
      </c>
      <c r="B76" s="160">
        <f>'Combined Sals'!V122</f>
        <v>38275.6404811587</v>
      </c>
      <c r="C76" s="171"/>
      <c r="D76" s="171"/>
      <c r="E76" s="171"/>
      <c r="F76" s="160">
        <f>'Combined Sals'!V123</f>
        <v>0</v>
      </c>
      <c r="G76" s="186"/>
      <c r="H76" s="185"/>
      <c r="I76" s="185"/>
      <c r="J76" s="185"/>
      <c r="K76" s="185"/>
      <c r="L76" s="185"/>
      <c r="M76" s="185"/>
      <c r="N76" s="185"/>
      <c r="O76" s="185"/>
      <c r="P76" s="151"/>
      <c r="Q76" s="151"/>
    </row>
    <row r="77" spans="1:17" ht="15">
      <c r="A77" s="169" t="s">
        <v>831</v>
      </c>
      <c r="B77" s="160">
        <f>'Combined Sals'!V131</f>
        <v>40601.43976835523</v>
      </c>
      <c r="C77" s="171"/>
      <c r="D77" s="171"/>
      <c r="E77" s="171"/>
      <c r="F77" s="160">
        <f>'Combined Sals'!V132</f>
        <v>0</v>
      </c>
      <c r="G77" s="186"/>
      <c r="H77" s="185"/>
      <c r="I77" s="185"/>
      <c r="J77" s="185"/>
      <c r="K77" s="185"/>
      <c r="L77" s="185"/>
      <c r="M77" s="185"/>
      <c r="N77" s="185"/>
      <c r="O77" s="185"/>
      <c r="P77" s="151"/>
      <c r="Q77" s="151"/>
    </row>
    <row r="78" spans="1:17" ht="15">
      <c r="A78" s="165" t="s">
        <v>832</v>
      </c>
      <c r="B78" s="166">
        <f>'Combined Sals'!V140</f>
        <v>36906.05699530436</v>
      </c>
      <c r="C78" s="167"/>
      <c r="D78" s="166"/>
      <c r="E78" s="167"/>
      <c r="F78" s="166">
        <f>'Combined Sals'!V141</f>
        <v>0</v>
      </c>
      <c r="G78" s="167"/>
      <c r="H78" s="166"/>
      <c r="I78" s="161"/>
      <c r="J78" s="160"/>
      <c r="K78" s="161"/>
      <c r="L78" s="160"/>
      <c r="M78" s="161"/>
      <c r="N78" s="160"/>
      <c r="O78" s="163"/>
      <c r="P78" s="151"/>
      <c r="Q78" s="151"/>
    </row>
    <row r="79" spans="1:17" ht="15">
      <c r="A79" s="169"/>
      <c r="B79" s="160"/>
      <c r="C79" s="171"/>
      <c r="D79" s="171"/>
      <c r="E79" s="171"/>
      <c r="F79" s="160"/>
      <c r="G79" s="186"/>
      <c r="H79" s="185"/>
      <c r="I79" s="185"/>
      <c r="J79" s="185"/>
      <c r="K79" s="185"/>
      <c r="L79" s="185"/>
      <c r="M79" s="185"/>
      <c r="N79" s="185"/>
      <c r="O79" s="185"/>
      <c r="P79" s="151"/>
      <c r="Q79" s="151"/>
    </row>
    <row r="80" spans="1:17" ht="13.5">
      <c r="A80" s="185" t="s">
        <v>840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6"/>
      <c r="N80" s="186"/>
      <c r="O80" s="187"/>
      <c r="P80" s="151"/>
      <c r="Q80" s="151"/>
    </row>
    <row r="81" spans="1:17" ht="13.5">
      <c r="A81" s="185" t="s">
        <v>841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6"/>
      <c r="N81" s="186"/>
      <c r="O81" s="187"/>
      <c r="P81" s="151"/>
      <c r="Q81" s="151"/>
    </row>
    <row r="82" spans="1:17" ht="13.5">
      <c r="A82" s="185" t="s">
        <v>842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6"/>
      <c r="N82" s="186"/>
      <c r="O82" s="187"/>
      <c r="P82" s="151"/>
      <c r="Q82" s="151"/>
    </row>
    <row r="83" spans="1:17" ht="13.5">
      <c r="A83" s="185" t="s">
        <v>843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63"/>
      <c r="N83" s="163"/>
      <c r="O83" s="187"/>
      <c r="P83" s="151"/>
      <c r="Q83" s="151"/>
    </row>
    <row r="84" spans="1:17" ht="13.5">
      <c r="A84" s="185" t="s">
        <v>844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63"/>
      <c r="N84" s="163"/>
      <c r="O84" s="187"/>
      <c r="P84" s="151"/>
      <c r="Q84" s="151"/>
    </row>
    <row r="85" spans="1:17" ht="18">
      <c r="A85" s="149" t="s">
        <v>845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51"/>
      <c r="Q85" s="151"/>
    </row>
    <row r="86" spans="1:17" ht="15">
      <c r="A86" s="126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51"/>
      <c r="Q86" s="151"/>
    </row>
    <row r="87" spans="1:17" ht="15">
      <c r="A87" s="126" t="s">
        <v>846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51"/>
      <c r="Q87" s="151"/>
    </row>
    <row r="88" spans="1:17" ht="15">
      <c r="A88" s="126" t="s">
        <v>815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51"/>
      <c r="Q88" s="151"/>
    </row>
    <row r="89" spans="1:17" ht="15">
      <c r="A89" s="126" t="s">
        <v>802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51"/>
      <c r="Q89" s="151"/>
    </row>
    <row r="90" spans="1:17" ht="15">
      <c r="A90" s="126" t="s">
        <v>803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51"/>
      <c r="Q90" s="151"/>
    </row>
    <row r="91" spans="1:17" ht="15">
      <c r="A91" s="126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51"/>
      <c r="Q91" s="151"/>
    </row>
    <row r="92" spans="1:17" ht="15">
      <c r="A92" s="134"/>
      <c r="B92" s="197" t="s">
        <v>847</v>
      </c>
      <c r="C92" s="198"/>
      <c r="D92" s="197" t="s">
        <v>713</v>
      </c>
      <c r="E92" s="198"/>
      <c r="F92" s="197" t="s">
        <v>714</v>
      </c>
      <c r="G92" s="198"/>
      <c r="H92" s="197" t="s">
        <v>715</v>
      </c>
      <c r="I92" s="198"/>
      <c r="J92" s="197" t="s">
        <v>848</v>
      </c>
      <c r="K92" s="198"/>
      <c r="L92" s="197" t="s">
        <v>849</v>
      </c>
      <c r="M92" s="198"/>
      <c r="N92" s="198" t="s">
        <v>850</v>
      </c>
      <c r="O92" s="198"/>
      <c r="P92" s="151" t="s">
        <v>65</v>
      </c>
      <c r="Q92" s="151"/>
    </row>
    <row r="93" spans="1:17" ht="15">
      <c r="A93" s="199"/>
      <c r="B93" s="194" t="s">
        <v>816</v>
      </c>
      <c r="C93" s="193" t="s">
        <v>810</v>
      </c>
      <c r="D93" s="194" t="s">
        <v>816</v>
      </c>
      <c r="E93" s="193" t="s">
        <v>810</v>
      </c>
      <c r="F93" s="194" t="s">
        <v>816</v>
      </c>
      <c r="G93" s="193" t="s">
        <v>810</v>
      </c>
      <c r="H93" s="194" t="s">
        <v>816</v>
      </c>
      <c r="I93" s="193" t="s">
        <v>810</v>
      </c>
      <c r="J93" s="194" t="s">
        <v>816</v>
      </c>
      <c r="K93" s="193" t="s">
        <v>810</v>
      </c>
      <c r="L93" s="194" t="s">
        <v>816</v>
      </c>
      <c r="M93" s="193" t="s">
        <v>810</v>
      </c>
      <c r="N93" s="194" t="s">
        <v>816</v>
      </c>
      <c r="O93" s="193" t="s">
        <v>810</v>
      </c>
      <c r="P93" s="151"/>
      <c r="Q93" s="151"/>
    </row>
    <row r="94" spans="1:17" ht="15">
      <c r="A94" s="169" t="s">
        <v>817</v>
      </c>
      <c r="B94" s="161">
        <f>'Combined Sals'!D148</f>
        <v>66181.24428907072</v>
      </c>
      <c r="C94" s="184"/>
      <c r="D94" s="161">
        <f>'Combined Sals'!G148</f>
        <v>49773.07872132215</v>
      </c>
      <c r="E94" s="184"/>
      <c r="F94" s="161">
        <f>'Combined Sals'!J148</f>
        <v>41307.23709756025</v>
      </c>
      <c r="G94" s="184"/>
      <c r="H94" s="161">
        <f>'Combined Sals'!M148</f>
        <v>30812.0854668343</v>
      </c>
      <c r="I94" s="184"/>
      <c r="J94" s="161">
        <f>'Combined Sals'!P148</f>
        <v>34162.71373036021</v>
      </c>
      <c r="K94" s="184"/>
      <c r="L94" s="161">
        <f>'Combined Sals'!S148</f>
        <v>0</v>
      </c>
      <c r="M94" s="184"/>
      <c r="N94" s="161">
        <f>'Combined Sals'!V148</f>
        <v>51164.77386476325</v>
      </c>
      <c r="O94" s="185"/>
      <c r="P94" s="151"/>
      <c r="Q94" s="151"/>
    </row>
    <row r="95" spans="1:17" ht="15">
      <c r="A95" s="169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85"/>
      <c r="P95" s="151"/>
      <c r="Q95" s="151"/>
    </row>
    <row r="96" spans="1:17" ht="15">
      <c r="A96" s="169" t="s">
        <v>818</v>
      </c>
      <c r="B96" s="160">
        <f>'Combined Sals'!D13</f>
        <v>60572.00343027872</v>
      </c>
      <c r="C96" s="184"/>
      <c r="D96" s="160">
        <f>'Combined Sals'!G13</f>
        <v>45901.42042177981</v>
      </c>
      <c r="E96" s="184"/>
      <c r="F96" s="160">
        <f>'Combined Sals'!J13</f>
        <v>38947.79320399068</v>
      </c>
      <c r="G96" s="160"/>
      <c r="H96" s="160">
        <f>'Combined Sals'!M13</f>
        <v>29692.10672728052</v>
      </c>
      <c r="I96" s="160"/>
      <c r="J96" s="160">
        <f>'Combined Sals'!P13</f>
        <v>31077.93813032259</v>
      </c>
      <c r="K96" s="160"/>
      <c r="L96" s="160">
        <f>'Combined Sals'!S13</f>
        <v>0</v>
      </c>
      <c r="M96" s="160"/>
      <c r="N96" s="160">
        <f>'Combined Sals'!V13</f>
        <v>46762.05525041415</v>
      </c>
      <c r="O96" s="187"/>
      <c r="P96" s="151"/>
      <c r="Q96" s="151"/>
    </row>
    <row r="97" spans="1:17" ht="15">
      <c r="A97" s="169" t="s">
        <v>819</v>
      </c>
      <c r="B97" s="160">
        <f>'Combined Sals'!D22</f>
        <v>58890.08486170059</v>
      </c>
      <c r="C97" s="184"/>
      <c r="D97" s="160">
        <f>'Combined Sals'!G22</f>
        <v>46316.31695228611</v>
      </c>
      <c r="E97" s="184"/>
      <c r="F97" s="160">
        <f>'Combined Sals'!J22</f>
        <v>39205.58133604904</v>
      </c>
      <c r="G97" s="184"/>
      <c r="H97" s="160">
        <f>'Combined Sals'!M22</f>
        <v>29554.323764245273</v>
      </c>
      <c r="I97" s="184"/>
      <c r="J97" s="160">
        <f>'Combined Sals'!P22</f>
        <v>12828.460611929824</v>
      </c>
      <c r="K97" s="184"/>
      <c r="L97" s="160">
        <f>'Combined Sals'!S22</f>
        <v>0</v>
      </c>
      <c r="M97" s="184"/>
      <c r="N97" s="160">
        <f>'Combined Sals'!V22</f>
        <v>44964.1357503004</v>
      </c>
      <c r="O97" s="187"/>
      <c r="P97" s="151"/>
      <c r="Q97" s="151"/>
    </row>
    <row r="98" spans="1:17" ht="15">
      <c r="A98" s="169" t="s">
        <v>820</v>
      </c>
      <c r="B98" s="160">
        <f>'Combined Sals'!D31</f>
        <v>65145.117944372054</v>
      </c>
      <c r="C98" s="184"/>
      <c r="D98" s="160">
        <f>'Combined Sals'!G31</f>
        <v>49726.51754270374</v>
      </c>
      <c r="E98" s="184"/>
      <c r="F98" s="160">
        <f>'Combined Sals'!J31</f>
        <v>42929.88021260085</v>
      </c>
      <c r="G98" s="184"/>
      <c r="H98" s="160">
        <f>'Combined Sals'!M31</f>
        <v>32302.64364415323</v>
      </c>
      <c r="I98" s="184"/>
      <c r="J98" s="160">
        <f>'Combined Sals'!P31</f>
        <v>29064.838709677388</v>
      </c>
      <c r="K98" s="184"/>
      <c r="L98" s="160">
        <f>'Combined Sals'!S31</f>
        <v>0</v>
      </c>
      <c r="M98" s="184"/>
      <c r="N98" s="160">
        <f>'Combined Sals'!V31</f>
        <v>53861.98642218395</v>
      </c>
      <c r="O98" s="187"/>
      <c r="P98" s="151"/>
      <c r="Q98" s="151"/>
    </row>
    <row r="99" spans="1:17" ht="15">
      <c r="A99" s="169" t="s">
        <v>821</v>
      </c>
      <c r="B99" s="160">
        <f>'Combined Sals'!D40</f>
        <v>72311.98482384822</v>
      </c>
      <c r="C99" s="184"/>
      <c r="D99" s="160">
        <f>'Combined Sals'!G40</f>
        <v>53844.91724941724</v>
      </c>
      <c r="E99" s="184"/>
      <c r="F99" s="160">
        <f>'Combined Sals'!J40</f>
        <v>44500.305352798045</v>
      </c>
      <c r="G99" s="184"/>
      <c r="H99" s="160">
        <f>'Combined Sals'!M40</f>
        <v>35259.910313901346</v>
      </c>
      <c r="I99" s="184"/>
      <c r="J99" s="160">
        <f>'Combined Sals'!P40</f>
        <v>46281.769230769234</v>
      </c>
      <c r="K99" s="184"/>
      <c r="L99" s="160">
        <f>'Combined Sals'!S40</f>
        <v>0</v>
      </c>
      <c r="M99" s="184"/>
      <c r="N99" s="160">
        <f>'Combined Sals'!V40</f>
        <v>56218.79060210826</v>
      </c>
      <c r="O99" s="187"/>
      <c r="P99" s="151"/>
      <c r="Q99" s="151"/>
    </row>
    <row r="100" spans="1:17" ht="15">
      <c r="A100" s="169" t="s">
        <v>822</v>
      </c>
      <c r="B100" s="160">
        <f>'Combined Sals'!D49</f>
        <v>64162.17547416665</v>
      </c>
      <c r="C100" s="184"/>
      <c r="D100" s="160">
        <f>'Combined Sals'!G49</f>
        <v>49342.08963211891</v>
      </c>
      <c r="E100" s="184"/>
      <c r="F100" s="160">
        <f>'Combined Sals'!J49</f>
        <v>40530.3063357565</v>
      </c>
      <c r="G100" s="184"/>
      <c r="H100" s="160">
        <f>'Combined Sals'!M49</f>
        <v>30564.9607910145</v>
      </c>
      <c r="I100" s="184"/>
      <c r="J100" s="160">
        <f>'Combined Sals'!P49</f>
        <v>28738.12951793105</v>
      </c>
      <c r="K100" s="184"/>
      <c r="L100" s="160">
        <f>'Combined Sals'!S49</f>
        <v>0</v>
      </c>
      <c r="M100" s="184"/>
      <c r="N100" s="160">
        <f>'Combined Sals'!V49</f>
        <v>50996.064502978224</v>
      </c>
      <c r="O100" s="187"/>
      <c r="P100" s="151"/>
      <c r="Q100" s="151"/>
    </row>
    <row r="101" spans="1:17" ht="15">
      <c r="A101" s="169" t="s">
        <v>823</v>
      </c>
      <c r="B101" s="160">
        <f>'Combined Sals'!D58</f>
        <v>61260.21946795647</v>
      </c>
      <c r="C101" s="184"/>
      <c r="D101" s="160">
        <f>'Combined Sals'!G58</f>
        <v>46537.066314996235</v>
      </c>
      <c r="E101" s="184"/>
      <c r="F101" s="160">
        <f>'Combined Sals'!J58</f>
        <v>38549.284457478025</v>
      </c>
      <c r="G101" s="184"/>
      <c r="H101" s="160">
        <f>'Combined Sals'!M58</f>
        <v>28905.33851468049</v>
      </c>
      <c r="I101" s="184"/>
      <c r="J101" s="160">
        <f>'Combined Sals'!P58</f>
        <v>0</v>
      </c>
      <c r="K101" s="184"/>
      <c r="L101" s="160">
        <f>'Combined Sals'!S58</f>
        <v>0</v>
      </c>
      <c r="M101" s="184"/>
      <c r="N101" s="160">
        <f>'Combined Sals'!V58</f>
        <v>44879.87713894593</v>
      </c>
      <c r="O101" s="187"/>
      <c r="P101" s="151"/>
      <c r="Q101" s="151"/>
    </row>
    <row r="102" spans="1:17" ht="15">
      <c r="A102" s="169" t="s">
        <v>824</v>
      </c>
      <c r="B102" s="160">
        <f>'Combined Sals'!D67</f>
        <v>73064.74098446376</v>
      </c>
      <c r="C102" s="184"/>
      <c r="D102" s="160">
        <f>'Combined Sals'!G67</f>
        <v>52940.02588302917</v>
      </c>
      <c r="E102" s="184"/>
      <c r="F102" s="160">
        <f>'Combined Sals'!J67</f>
        <v>44185.131401478975</v>
      </c>
      <c r="G102" s="184"/>
      <c r="H102" s="160">
        <f>'Combined Sals'!M67</f>
        <v>35983.80765676057</v>
      </c>
      <c r="I102" s="184"/>
      <c r="J102" s="160">
        <f>'Combined Sals'!P67</f>
        <v>33717.12434102981</v>
      </c>
      <c r="K102" s="184"/>
      <c r="L102" s="160">
        <f>'Combined Sals'!S67</f>
        <v>0</v>
      </c>
      <c r="M102" s="184"/>
      <c r="N102" s="160">
        <f>'Combined Sals'!V67</f>
        <v>55176.401277334066</v>
      </c>
      <c r="O102" s="187"/>
      <c r="P102" s="151"/>
      <c r="Q102" s="151"/>
    </row>
    <row r="103" spans="1:17" ht="15">
      <c r="A103" s="169" t="s">
        <v>825</v>
      </c>
      <c r="B103" s="160">
        <f>'Combined Sals'!D76</f>
        <v>58996.47777239438</v>
      </c>
      <c r="C103" s="184"/>
      <c r="D103" s="160">
        <f>'Combined Sals'!G76</f>
        <v>47816.44287250358</v>
      </c>
      <c r="E103" s="184"/>
      <c r="F103" s="160">
        <f>'Combined Sals'!J76</f>
        <v>39481.56556336867</v>
      </c>
      <c r="G103" s="184"/>
      <c r="H103" s="160">
        <f>'Combined Sals'!M76</f>
        <v>30175.649333946596</v>
      </c>
      <c r="I103" s="184"/>
      <c r="J103" s="160">
        <f>'Combined Sals'!P76</f>
        <v>23083.483870967742</v>
      </c>
      <c r="K103" s="184"/>
      <c r="L103" s="160">
        <f>'Combined Sals'!S76</f>
        <v>0</v>
      </c>
      <c r="M103" s="184"/>
      <c r="N103" s="160">
        <f>'Combined Sals'!V76</f>
        <v>46019.61829896392</v>
      </c>
      <c r="O103" s="187"/>
      <c r="P103" s="151"/>
      <c r="Q103" s="151"/>
    </row>
    <row r="104" spans="1:17" ht="15">
      <c r="A104" s="169" t="s">
        <v>826</v>
      </c>
      <c r="B104" s="160">
        <f>'Combined Sals'!D85</f>
        <v>72367.77231506033</v>
      </c>
      <c r="C104" s="184"/>
      <c r="D104" s="160">
        <f>'Combined Sals'!G85</f>
        <v>53204.642302685985</v>
      </c>
      <c r="E104" s="184"/>
      <c r="F104" s="160">
        <f>'Combined Sals'!J85</f>
        <v>44627.06034514355</v>
      </c>
      <c r="G104" s="184"/>
      <c r="H104" s="160">
        <f>'Combined Sals'!M85</f>
        <v>38758.51986261905</v>
      </c>
      <c r="I104" s="184"/>
      <c r="J104" s="160">
        <f>'Combined Sals'!P85</f>
        <v>36950.466390154135</v>
      </c>
      <c r="K104" s="184"/>
      <c r="L104" s="160">
        <f>'Combined Sals'!S85</f>
        <v>0</v>
      </c>
      <c r="M104" s="184"/>
      <c r="N104" s="160">
        <f>'Combined Sals'!V85</f>
        <v>54929.589999152326</v>
      </c>
      <c r="O104" s="187"/>
      <c r="P104" s="151"/>
      <c r="Q104" s="151"/>
    </row>
    <row r="105" spans="1:17" ht="15">
      <c r="A105" s="169" t="s">
        <v>827</v>
      </c>
      <c r="B105" s="160">
        <f>'Combined Sals'!D94</f>
        <v>63095.17675250259</v>
      </c>
      <c r="C105" s="184"/>
      <c r="D105" s="160">
        <f>'Combined Sals'!G94</f>
        <v>46916.98920234743</v>
      </c>
      <c r="E105" s="184"/>
      <c r="F105" s="160">
        <f>'Combined Sals'!J94</f>
        <v>39659.830301166505</v>
      </c>
      <c r="G105" s="184"/>
      <c r="H105" s="160">
        <f>'Combined Sals'!M94</f>
        <v>30870.22545248156</v>
      </c>
      <c r="I105" s="184"/>
      <c r="J105" s="160">
        <f>'Combined Sals'!P94</f>
        <v>0</v>
      </c>
      <c r="K105" s="184"/>
      <c r="L105" s="160">
        <f>'Combined Sals'!S94</f>
        <v>0</v>
      </c>
      <c r="M105" s="184"/>
      <c r="N105" s="160">
        <f>'Combined Sals'!V94</f>
        <v>47613.69091507741</v>
      </c>
      <c r="O105" s="185"/>
      <c r="P105" s="151"/>
      <c r="Q105" s="151"/>
    </row>
    <row r="106" spans="1:17" ht="15">
      <c r="A106" s="169" t="s">
        <v>828</v>
      </c>
      <c r="B106" s="160">
        <f>'Combined Sals'!D103</f>
        <v>63365.19358060324</v>
      </c>
      <c r="C106" s="184"/>
      <c r="D106" s="160">
        <f>'Combined Sals'!G103</f>
        <v>48635.54654025711</v>
      </c>
      <c r="E106" s="184"/>
      <c r="F106" s="160">
        <f>'Combined Sals'!J103</f>
        <v>39917.43632524392</v>
      </c>
      <c r="G106" s="184"/>
      <c r="H106" s="160">
        <f>'Combined Sals'!M103</f>
        <v>28054.928948223678</v>
      </c>
      <c r="I106" s="184"/>
      <c r="J106" s="160">
        <f>'Combined Sals'!P103</f>
        <v>37161.91203688072</v>
      </c>
      <c r="K106" s="184"/>
      <c r="L106" s="160">
        <f>'Combined Sals'!S103</f>
        <v>0</v>
      </c>
      <c r="M106" s="184"/>
      <c r="N106" s="160">
        <f>'Combined Sals'!V103</f>
        <v>49849.7787222794</v>
      </c>
      <c r="O106" s="187"/>
      <c r="P106" s="151"/>
      <c r="Q106" s="151"/>
    </row>
    <row r="107" spans="1:17" ht="15">
      <c r="A107" s="169" t="s">
        <v>829</v>
      </c>
      <c r="B107" s="160">
        <f>'Combined Sals'!D112</f>
        <v>61812.99497138267</v>
      </c>
      <c r="C107" s="184"/>
      <c r="D107" s="160">
        <f>'Combined Sals'!G112</f>
        <v>47738.56009644893</v>
      </c>
      <c r="E107" s="184"/>
      <c r="F107" s="160">
        <f>'Combined Sals'!J112</f>
        <v>38398.159247230644</v>
      </c>
      <c r="G107" s="184"/>
      <c r="H107" s="160">
        <f>'Combined Sals'!M112</f>
        <v>29580.970086588244</v>
      </c>
      <c r="I107" s="184"/>
      <c r="J107" s="160">
        <f>'Combined Sals'!P112</f>
        <v>34572.429403636364</v>
      </c>
      <c r="K107" s="184"/>
      <c r="L107" s="160">
        <f>'Combined Sals'!S112</f>
        <v>0</v>
      </c>
      <c r="M107" s="184"/>
      <c r="N107" s="160">
        <f>'Combined Sals'!V112</f>
        <v>49489.65095846748</v>
      </c>
      <c r="O107" s="187"/>
      <c r="P107" s="151"/>
      <c r="Q107" s="151"/>
    </row>
    <row r="108" spans="1:17" ht="15">
      <c r="A108" s="169" t="s">
        <v>830</v>
      </c>
      <c r="B108" s="160">
        <f>'Combined Sals'!D121</f>
        <v>68067.12920122217</v>
      </c>
      <c r="C108" s="184"/>
      <c r="D108" s="160">
        <f>'Combined Sals'!G121</f>
        <v>49485.08506564552</v>
      </c>
      <c r="E108" s="184"/>
      <c r="F108" s="160">
        <f>'Combined Sals'!J121</f>
        <v>41674.30527261834</v>
      </c>
      <c r="G108" s="184"/>
      <c r="H108" s="160">
        <f>'Combined Sals'!M121</f>
        <v>32222.941087613326</v>
      </c>
      <c r="I108" s="184"/>
      <c r="J108" s="160">
        <f>'Combined Sals'!P121</f>
        <v>32774.99447895098</v>
      </c>
      <c r="K108" s="184"/>
      <c r="L108" s="160">
        <f>'Combined Sals'!S121</f>
        <v>0</v>
      </c>
      <c r="M108" s="184"/>
      <c r="N108" s="160">
        <f>'Combined Sals'!V121</f>
        <v>51196.9344633594</v>
      </c>
      <c r="O108" s="187"/>
      <c r="P108" s="151"/>
      <c r="Q108" s="151"/>
    </row>
    <row r="109" spans="1:17" ht="15">
      <c r="A109" s="169" t="s">
        <v>831</v>
      </c>
      <c r="B109" s="160">
        <f>'Combined Sals'!D130</f>
        <v>72135.78045222921</v>
      </c>
      <c r="C109" s="184"/>
      <c r="D109" s="160">
        <f>'Combined Sals'!G130</f>
        <v>53473.15187157568</v>
      </c>
      <c r="E109" s="184"/>
      <c r="F109" s="160">
        <f>'Combined Sals'!J130</f>
        <v>43287.62008454171</v>
      </c>
      <c r="G109" s="184"/>
      <c r="H109" s="160">
        <f>'Combined Sals'!M130</f>
        <v>32886.106293812954</v>
      </c>
      <c r="I109" s="184"/>
      <c r="J109" s="160">
        <f>'Combined Sals'!P130</f>
        <v>36862.258402153864</v>
      </c>
      <c r="K109" s="184"/>
      <c r="L109" s="160">
        <f>'Combined Sals'!S130</f>
        <v>0</v>
      </c>
      <c r="M109" s="184"/>
      <c r="N109" s="160">
        <f>'Combined Sals'!V130</f>
        <v>56255.426230814046</v>
      </c>
      <c r="O109" s="187"/>
      <c r="P109" s="151"/>
      <c r="Q109" s="151"/>
    </row>
    <row r="110" spans="1:17" ht="15">
      <c r="A110" s="165" t="s">
        <v>832</v>
      </c>
      <c r="B110" s="166">
        <f>'Combined Sals'!D139</f>
        <v>55037.696450051015</v>
      </c>
      <c r="C110" s="167"/>
      <c r="D110" s="166">
        <f>'Combined Sals'!G139</f>
        <v>43931.16232458148</v>
      </c>
      <c r="E110" s="167"/>
      <c r="F110" s="166">
        <f>'Combined Sals'!J139</f>
        <v>36599.243211271474</v>
      </c>
      <c r="G110" s="167"/>
      <c r="H110" s="166">
        <f>'Combined Sals'!M139</f>
        <v>29359.648590468754</v>
      </c>
      <c r="I110" s="167"/>
      <c r="J110" s="166">
        <f>'Combined Sals'!P139</f>
        <v>30545.313666153823</v>
      </c>
      <c r="K110" s="167"/>
      <c r="L110" s="166">
        <f>'Combined Sals'!S139</f>
        <v>0</v>
      </c>
      <c r="M110" s="167"/>
      <c r="N110" s="166">
        <f>'Combined Sals'!V139</f>
        <v>44943.04783450249</v>
      </c>
      <c r="O110" s="168"/>
      <c r="P110" s="151"/>
      <c r="Q110" s="151"/>
    </row>
    <row r="111" spans="1:17" ht="15">
      <c r="A111" s="169"/>
      <c r="B111" s="160"/>
      <c r="C111" s="184"/>
      <c r="D111" s="160"/>
      <c r="E111" s="184"/>
      <c r="F111" s="160"/>
      <c r="G111" s="184"/>
      <c r="H111" s="160"/>
      <c r="I111" s="184"/>
      <c r="J111" s="160"/>
      <c r="K111" s="184"/>
      <c r="L111" s="160"/>
      <c r="M111" s="184"/>
      <c r="N111" s="160"/>
      <c r="O111" s="187"/>
      <c r="P111" s="151"/>
      <c r="Q111" s="151"/>
    </row>
    <row r="112" spans="1:17" ht="13.5">
      <c r="A112" s="185" t="s">
        <v>833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6"/>
      <c r="N112" s="186"/>
      <c r="O112" s="187"/>
      <c r="P112" s="151"/>
      <c r="Q112" s="151"/>
    </row>
    <row r="113" spans="1:17" ht="13.5">
      <c r="A113" s="185" t="s">
        <v>834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6"/>
      <c r="N113" s="186"/>
      <c r="O113" s="187"/>
      <c r="P113" s="151"/>
      <c r="Q113" s="151"/>
    </row>
    <row r="114" spans="1:17" ht="13.5">
      <c r="A114" s="185" t="s">
        <v>835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6"/>
      <c r="N114" s="186"/>
      <c r="O114" s="187"/>
      <c r="P114" s="151"/>
      <c r="Q114" s="151"/>
    </row>
    <row r="115" spans="1:17" ht="13.5">
      <c r="A115" s="185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63"/>
      <c r="N115" s="163"/>
      <c r="O115" s="187"/>
      <c r="P115" s="151"/>
      <c r="Q115" s="151"/>
    </row>
    <row r="116" spans="1:17" ht="18">
      <c r="A116" s="149" t="s">
        <v>851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51"/>
      <c r="Q116" s="151"/>
    </row>
    <row r="117" spans="1:17" ht="15">
      <c r="A117" s="126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51"/>
      <c r="Q117" s="151"/>
    </row>
    <row r="118" spans="1:17" ht="15">
      <c r="A118" s="126" t="s">
        <v>846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51"/>
      <c r="Q118" s="151"/>
    </row>
    <row r="119" spans="1:17" ht="15">
      <c r="A119" s="126" t="s">
        <v>852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51"/>
      <c r="Q119" s="151"/>
    </row>
    <row r="120" spans="1:17" ht="15">
      <c r="A120" s="126" t="s">
        <v>802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51"/>
      <c r="Q120" s="151"/>
    </row>
    <row r="121" spans="1:17" ht="15">
      <c r="A121" s="126" t="s">
        <v>803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51"/>
      <c r="Q121" s="151"/>
    </row>
    <row r="122" spans="1:17" ht="13.5">
      <c r="A122" s="177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51"/>
      <c r="Q122" s="151"/>
    </row>
    <row r="123" spans="1:17" ht="15">
      <c r="A123" s="200"/>
      <c r="B123" s="197" t="s">
        <v>847</v>
      </c>
      <c r="C123" s="198"/>
      <c r="D123" s="197" t="s">
        <v>713</v>
      </c>
      <c r="E123" s="198"/>
      <c r="F123" s="197" t="s">
        <v>714</v>
      </c>
      <c r="G123" s="198"/>
      <c r="H123" s="197" t="s">
        <v>715</v>
      </c>
      <c r="I123" s="198"/>
      <c r="J123" s="197" t="s">
        <v>848</v>
      </c>
      <c r="K123" s="198"/>
      <c r="L123" s="197" t="s">
        <v>849</v>
      </c>
      <c r="M123" s="198"/>
      <c r="N123" s="198" t="s">
        <v>850</v>
      </c>
      <c r="O123" s="198"/>
      <c r="P123" s="177"/>
      <c r="Q123" s="151"/>
    </row>
    <row r="124" spans="1:17" ht="15">
      <c r="A124" s="199"/>
      <c r="B124" s="194" t="s">
        <v>816</v>
      </c>
      <c r="C124" s="193" t="s">
        <v>810</v>
      </c>
      <c r="D124" s="194" t="s">
        <v>816</v>
      </c>
      <c r="E124" s="193" t="s">
        <v>810</v>
      </c>
      <c r="F124" s="194" t="s">
        <v>816</v>
      </c>
      <c r="G124" s="193" t="s">
        <v>810</v>
      </c>
      <c r="H124" s="194" t="s">
        <v>816</v>
      </c>
      <c r="I124" s="193" t="s">
        <v>810</v>
      </c>
      <c r="J124" s="194" t="s">
        <v>816</v>
      </c>
      <c r="K124" s="193" t="s">
        <v>810</v>
      </c>
      <c r="L124" s="194" t="s">
        <v>816</v>
      </c>
      <c r="M124" s="193" t="s">
        <v>810</v>
      </c>
      <c r="N124" s="194" t="s">
        <v>816</v>
      </c>
      <c r="O124" s="193" t="s">
        <v>810</v>
      </c>
      <c r="P124" s="177"/>
      <c r="Q124" s="151"/>
    </row>
    <row r="125" spans="1:17" ht="15">
      <c r="A125" s="169" t="s">
        <v>817</v>
      </c>
      <c r="B125" s="161">
        <f>'Combined Sals'!D142</f>
        <v>73596.41800864803</v>
      </c>
      <c r="C125" s="161"/>
      <c r="D125" s="161">
        <f>'Combined Sals'!G142</f>
        <v>52407.76412466248</v>
      </c>
      <c r="E125" s="161"/>
      <c r="F125" s="161">
        <f>'Combined Sals'!J142</f>
        <v>44686.18877515464</v>
      </c>
      <c r="G125" s="161"/>
      <c r="H125" s="161">
        <f>'Combined Sals'!M142</f>
        <v>30609.087525024475</v>
      </c>
      <c r="I125" s="161"/>
      <c r="J125" s="161">
        <f>'Combined Sals'!P142</f>
        <v>37166.14287318345</v>
      </c>
      <c r="K125" s="161"/>
      <c r="L125" s="161">
        <f>'Combined Sals'!S142</f>
        <v>0</v>
      </c>
      <c r="M125" s="161"/>
      <c r="N125" s="161">
        <f>'Combined Sals'!V142</f>
        <v>57593.059959701175</v>
      </c>
      <c r="O125" s="161"/>
      <c r="P125" s="151"/>
      <c r="Q125" s="151"/>
    </row>
    <row r="126" spans="1:17" ht="15">
      <c r="A126" s="169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51"/>
      <c r="Q126" s="151"/>
    </row>
    <row r="127" spans="1:17" ht="15">
      <c r="A127" s="169" t="s">
        <v>818</v>
      </c>
      <c r="B127" s="160">
        <f>'Combined Sals'!D7</f>
        <v>64536.45851599999</v>
      </c>
      <c r="C127" s="160"/>
      <c r="D127" s="160">
        <f>'Combined Sals'!G7</f>
        <v>47959.45703018125</v>
      </c>
      <c r="E127" s="160"/>
      <c r="F127" s="160">
        <f>'Combined Sals'!J7</f>
        <v>40883.37854096256</v>
      </c>
      <c r="G127" s="160"/>
      <c r="H127" s="160">
        <f>'Combined Sals'!M7</f>
        <v>27002.769393288585</v>
      </c>
      <c r="I127" s="160"/>
      <c r="J127" s="160">
        <f>'Combined Sals'!P7</f>
        <v>32519.18049333337</v>
      </c>
      <c r="K127" s="184"/>
      <c r="L127" s="160">
        <f>'Combined Sals'!S7</f>
        <v>0</v>
      </c>
      <c r="M127" s="184"/>
      <c r="N127" s="160">
        <f>'Combined Sals'!V7</f>
        <v>50619.1683237889</v>
      </c>
      <c r="O127" s="184"/>
      <c r="P127" s="151"/>
      <c r="Q127" s="151"/>
    </row>
    <row r="128" spans="1:17" ht="15">
      <c r="A128" s="169" t="s">
        <v>819</v>
      </c>
      <c r="B128" s="160">
        <f>'Combined Sals'!D16</f>
        <v>65962.92756424437</v>
      </c>
      <c r="C128" s="160"/>
      <c r="D128" s="160">
        <f>'Combined Sals'!G16</f>
        <v>49693.28471556561</v>
      </c>
      <c r="E128" s="160"/>
      <c r="F128" s="160">
        <f>'Combined Sals'!J16</f>
        <v>42201.556022336445</v>
      </c>
      <c r="G128" s="160"/>
      <c r="H128" s="160">
        <f>'Combined Sals'!M16</f>
        <v>29049.84297904762</v>
      </c>
      <c r="I128" s="160"/>
      <c r="J128" s="160">
        <f>'Combined Sals'!P16</f>
        <v>18842</v>
      </c>
      <c r="K128" s="184"/>
      <c r="L128" s="160">
        <f>'Combined Sals'!S16</f>
        <v>0</v>
      </c>
      <c r="M128" s="160"/>
      <c r="N128" s="160">
        <f>'Combined Sals'!V16</f>
        <v>51589.32064140097</v>
      </c>
      <c r="O128" s="184"/>
      <c r="P128" s="151"/>
      <c r="Q128" s="151"/>
    </row>
    <row r="129" spans="1:17" ht="15">
      <c r="A129" s="169" t="s">
        <v>820</v>
      </c>
      <c r="B129" s="160">
        <f>'Combined Sals'!D25</f>
        <v>68349.3105890717</v>
      </c>
      <c r="C129" s="160"/>
      <c r="D129" s="160">
        <f>'Combined Sals'!G25</f>
        <v>50160.4657872928</v>
      </c>
      <c r="E129" s="160"/>
      <c r="F129" s="160">
        <f>'Combined Sals'!J25</f>
        <v>44126.2872410221</v>
      </c>
      <c r="G129" s="160"/>
      <c r="H129" s="160">
        <f>'Combined Sals'!M25</f>
        <v>30820.4072115385</v>
      </c>
      <c r="I129" s="160"/>
      <c r="J129" s="160">
        <f>'Combined Sals'!P25</f>
        <v>29898.6556603773</v>
      </c>
      <c r="K129" s="184"/>
      <c r="L129" s="160">
        <f>'Combined Sals'!S25</f>
        <v>0</v>
      </c>
      <c r="M129" s="160"/>
      <c r="N129" s="160">
        <f>'Combined Sals'!V25</f>
        <v>55301.141607660866</v>
      </c>
      <c r="O129" s="184"/>
      <c r="P129" s="151"/>
      <c r="Q129" s="151"/>
    </row>
    <row r="130" spans="1:17" ht="15">
      <c r="A130" s="169" t="s">
        <v>821</v>
      </c>
      <c r="B130" s="160">
        <f>'Combined Sals'!D34</f>
        <v>78314.9887260428</v>
      </c>
      <c r="C130" s="160"/>
      <c r="D130" s="160">
        <f>'Combined Sals'!G34</f>
        <v>55145.7360208062</v>
      </c>
      <c r="E130" s="160"/>
      <c r="F130" s="160">
        <f>'Combined Sals'!J34</f>
        <v>47337.9302325581</v>
      </c>
      <c r="G130" s="160"/>
      <c r="H130" s="160">
        <f>'Combined Sals'!M34</f>
        <v>39473.7625</v>
      </c>
      <c r="I130" s="160"/>
      <c r="J130" s="160">
        <f>'Combined Sals'!P34</f>
        <v>46062</v>
      </c>
      <c r="K130" s="184"/>
      <c r="L130" s="160">
        <f>'Combined Sals'!S34</f>
        <v>0</v>
      </c>
      <c r="M130" s="160"/>
      <c r="N130" s="160">
        <f>'Combined Sals'!V34</f>
        <v>60824.444214876</v>
      </c>
      <c r="O130" s="184"/>
      <c r="P130" s="151"/>
      <c r="Q130" s="151"/>
    </row>
    <row r="131" spans="1:17" ht="15">
      <c r="A131" s="169" t="s">
        <v>822</v>
      </c>
      <c r="B131" s="160">
        <f>'Combined Sals'!D43</f>
        <v>71225.18406741804</v>
      </c>
      <c r="C131" s="160"/>
      <c r="D131" s="160">
        <f>'Combined Sals'!G43</f>
        <v>53048.15825674418</v>
      </c>
      <c r="E131" s="160"/>
      <c r="F131" s="160">
        <f>'Combined Sals'!J43</f>
        <v>45324.74435007812</v>
      </c>
      <c r="G131" s="160"/>
      <c r="H131" s="160">
        <f>'Combined Sals'!M43</f>
        <v>45745.430856000006</v>
      </c>
      <c r="I131" s="160"/>
      <c r="J131" s="160">
        <f>'Combined Sals'!P43</f>
        <v>0</v>
      </c>
      <c r="K131" s="184"/>
      <c r="L131" s="160">
        <f>'Combined Sals'!S43</f>
        <v>0</v>
      </c>
      <c r="M131" s="184"/>
      <c r="N131" s="160">
        <f>'Combined Sals'!V43</f>
        <v>58659.19017040916</v>
      </c>
      <c r="O131" s="184"/>
      <c r="P131" s="151"/>
      <c r="Q131" s="151"/>
    </row>
    <row r="132" spans="1:17" ht="15">
      <c r="A132" s="169" t="s">
        <v>823</v>
      </c>
      <c r="B132" s="160">
        <f>'Combined Sals'!D52</f>
        <v>68505</v>
      </c>
      <c r="C132" s="160"/>
      <c r="D132" s="160">
        <f>'Combined Sals'!G52</f>
        <v>49805</v>
      </c>
      <c r="E132" s="160"/>
      <c r="F132" s="160">
        <f>'Combined Sals'!J52</f>
        <v>41701</v>
      </c>
      <c r="G132" s="160"/>
      <c r="H132" s="160">
        <f>'Combined Sals'!M52</f>
        <v>29269</v>
      </c>
      <c r="I132" s="160"/>
      <c r="J132" s="160">
        <f>'Combined Sals'!P52</f>
        <v>0</v>
      </c>
      <c r="K132" s="184"/>
      <c r="L132" s="160">
        <f>'Combined Sals'!S52</f>
        <v>0</v>
      </c>
      <c r="M132" s="184"/>
      <c r="N132" s="160">
        <f>'Combined Sals'!V52</f>
        <v>50490.0668716372</v>
      </c>
      <c r="O132" s="184"/>
      <c r="P132" s="151"/>
      <c r="Q132" s="151"/>
    </row>
    <row r="133" spans="1:17" ht="15">
      <c r="A133" s="169" t="s">
        <v>824</v>
      </c>
      <c r="B133" s="160">
        <f>'Combined Sals'!D61</f>
        <v>80986.1458748711</v>
      </c>
      <c r="C133" s="160"/>
      <c r="D133" s="160">
        <f>'Combined Sals'!G61</f>
        <v>56065.85618364081</v>
      </c>
      <c r="E133" s="160"/>
      <c r="F133" s="160">
        <f>'Combined Sals'!J61</f>
        <v>49307.604666818195</v>
      </c>
      <c r="G133" s="160"/>
      <c r="H133" s="160">
        <f>'Combined Sals'!M61</f>
        <v>37853.83018622223</v>
      </c>
      <c r="I133" s="160"/>
      <c r="J133" s="160">
        <f>'Combined Sals'!P61</f>
        <v>33796.43066469945</v>
      </c>
      <c r="K133" s="184"/>
      <c r="L133" s="160">
        <f>'Combined Sals'!S61</f>
        <v>0</v>
      </c>
      <c r="M133" s="160"/>
      <c r="N133" s="160">
        <f>'Combined Sals'!V61</f>
        <v>62676.000708308144</v>
      </c>
      <c r="O133" s="184"/>
      <c r="P133" s="151"/>
      <c r="Q133" s="151"/>
    </row>
    <row r="134" spans="1:17" ht="15">
      <c r="A134" s="169" t="s">
        <v>825</v>
      </c>
      <c r="B134" s="160">
        <f>'Combined Sals'!D70</f>
        <v>61340.498996332186</v>
      </c>
      <c r="C134" s="160"/>
      <c r="D134" s="160">
        <f>'Combined Sals'!G70</f>
        <v>48964.22652066986</v>
      </c>
      <c r="E134" s="160"/>
      <c r="F134" s="160">
        <f>'Combined Sals'!J70</f>
        <v>42046.80570117647</v>
      </c>
      <c r="G134" s="160"/>
      <c r="H134" s="160">
        <f>'Combined Sals'!M70</f>
        <v>28433.99343866667</v>
      </c>
      <c r="I134" s="160"/>
      <c r="J134" s="160">
        <f>'Combined Sals'!P70</f>
        <v>23127.583333333332</v>
      </c>
      <c r="K134" s="160"/>
      <c r="L134" s="160">
        <f>'Combined Sals'!S70</f>
        <v>0</v>
      </c>
      <c r="M134" s="160"/>
      <c r="N134" s="160">
        <f>'Combined Sals'!V70</f>
        <v>48214.31936997567</v>
      </c>
      <c r="O134" s="184"/>
      <c r="P134" s="151"/>
      <c r="Q134" s="151"/>
    </row>
    <row r="135" spans="1:17" ht="15">
      <c r="A135" s="169" t="s">
        <v>826</v>
      </c>
      <c r="B135" s="160">
        <f>'Combined Sals'!D79</f>
        <v>83278.86883036606</v>
      </c>
      <c r="C135" s="160"/>
      <c r="D135" s="160">
        <f>'Combined Sals'!G79</f>
        <v>59304.28562534593</v>
      </c>
      <c r="E135" s="160"/>
      <c r="F135" s="160">
        <f>'Combined Sals'!J79</f>
        <v>49807.619789835306</v>
      </c>
      <c r="G135" s="160"/>
      <c r="H135" s="160">
        <f>'Combined Sals'!M79</f>
        <v>39094.733135238115</v>
      </c>
      <c r="I135" s="160"/>
      <c r="J135" s="160">
        <f>'Combined Sals'!P79</f>
        <v>40896.69107558357</v>
      </c>
      <c r="K135" s="184"/>
      <c r="L135" s="160">
        <f>'Combined Sals'!S79</f>
        <v>0</v>
      </c>
      <c r="M135" s="160"/>
      <c r="N135" s="160">
        <f>'Combined Sals'!V79</f>
        <v>65291.12448958554</v>
      </c>
      <c r="O135" s="184"/>
      <c r="P135" s="151"/>
      <c r="Q135" s="151"/>
    </row>
    <row r="136" spans="1:17" ht="15">
      <c r="A136" s="169" t="s">
        <v>827</v>
      </c>
      <c r="B136" s="160">
        <f>'Combined Sals'!D88</f>
        <v>70759.51282947368</v>
      </c>
      <c r="C136" s="160"/>
      <c r="D136" s="160">
        <f>'Combined Sals'!G88</f>
        <v>48479.53496402367</v>
      </c>
      <c r="E136" s="160"/>
      <c r="F136" s="160">
        <f>'Combined Sals'!J88</f>
        <v>40357.85015215264</v>
      </c>
      <c r="G136" s="160"/>
      <c r="H136" s="160">
        <f>'Combined Sals'!M88</f>
        <v>25138.508429629648</v>
      </c>
      <c r="I136" s="160"/>
      <c r="J136" s="160">
        <f>'Combined Sals'!P88</f>
        <v>0</v>
      </c>
      <c r="K136" s="184"/>
      <c r="L136" s="160">
        <f>'Combined Sals'!S88</f>
        <v>0</v>
      </c>
      <c r="M136" s="160"/>
      <c r="N136" s="160">
        <f>'Combined Sals'!V88</f>
        <v>53612.850313573785</v>
      </c>
      <c r="O136" s="184"/>
      <c r="P136" s="151"/>
      <c r="Q136" s="151"/>
    </row>
    <row r="137" spans="1:17" ht="15">
      <c r="A137" s="169" t="s">
        <v>828</v>
      </c>
      <c r="B137" s="160">
        <f>'Combined Sals'!D97</f>
        <v>70716.26309308273</v>
      </c>
      <c r="C137" s="160"/>
      <c r="D137" s="160">
        <f>'Combined Sals'!G97</f>
        <v>52788.745708352966</v>
      </c>
      <c r="E137" s="160"/>
      <c r="F137" s="160">
        <f>'Combined Sals'!J97</f>
        <v>43385.48204312505</v>
      </c>
      <c r="G137" s="160"/>
      <c r="H137" s="160">
        <f>'Combined Sals'!M97</f>
        <v>32661.831731692288</v>
      </c>
      <c r="I137" s="160"/>
      <c r="J137" s="160">
        <f>'Combined Sals'!P97</f>
        <v>40909.34168</v>
      </c>
      <c r="K137" s="184"/>
      <c r="L137" s="160">
        <f>'Combined Sals'!S97</f>
        <v>0</v>
      </c>
      <c r="M137" s="160"/>
      <c r="N137" s="160">
        <f>'Combined Sals'!V97</f>
        <v>56288.498478972884</v>
      </c>
      <c r="O137" s="184"/>
      <c r="P137" s="151"/>
      <c r="Q137" s="151"/>
    </row>
    <row r="138" spans="1:17" ht="15">
      <c r="A138" s="169" t="s">
        <v>829</v>
      </c>
      <c r="B138" s="160">
        <f>'Combined Sals'!D106</f>
        <v>68009.49010552239</v>
      </c>
      <c r="C138" s="160"/>
      <c r="D138" s="160">
        <f>'Combined Sals'!G106</f>
        <v>52262.439622368416</v>
      </c>
      <c r="E138" s="160"/>
      <c r="F138" s="160">
        <f>'Combined Sals'!J106</f>
        <v>42739.98926305085</v>
      </c>
      <c r="G138" s="160"/>
      <c r="H138" s="160">
        <f>'Combined Sals'!M106</f>
        <v>28241.752581818182</v>
      </c>
      <c r="I138" s="160"/>
      <c r="J138" s="160">
        <f>'Combined Sals'!P106</f>
        <v>38668.04180571429</v>
      </c>
      <c r="K138" s="184"/>
      <c r="L138" s="160">
        <f>'Combined Sals'!S106</f>
        <v>0</v>
      </c>
      <c r="M138" s="160"/>
      <c r="N138" s="160">
        <f>'Combined Sals'!V106</f>
        <v>57210.2123502873</v>
      </c>
      <c r="O138" s="184"/>
      <c r="P138" s="151"/>
      <c r="Q138" s="151"/>
    </row>
    <row r="139" spans="1:17" ht="15">
      <c r="A139" s="169" t="s">
        <v>830</v>
      </c>
      <c r="B139" s="160">
        <f>'Combined Sals'!D115</f>
        <v>76634.9776536313</v>
      </c>
      <c r="C139" s="160"/>
      <c r="D139" s="160">
        <f>'Combined Sals'!G115</f>
        <v>52288.0557238038</v>
      </c>
      <c r="E139" s="160"/>
      <c r="F139" s="160">
        <f>'Combined Sals'!J115</f>
        <v>45524.7870296237</v>
      </c>
      <c r="G139" s="160"/>
      <c r="H139" s="160">
        <f>'Combined Sals'!M115</f>
        <v>36040.7321428571</v>
      </c>
      <c r="I139" s="160"/>
      <c r="J139" s="160">
        <f>'Combined Sals'!P115</f>
        <v>36326.8795518207</v>
      </c>
      <c r="K139" s="184"/>
      <c r="L139" s="160">
        <f>'Combined Sals'!S115</f>
        <v>0</v>
      </c>
      <c r="M139" s="184"/>
      <c r="N139" s="160">
        <f>'Combined Sals'!V115</f>
        <v>58806.827396373075</v>
      </c>
      <c r="O139" s="184"/>
      <c r="P139" s="151"/>
      <c r="Q139" s="151"/>
    </row>
    <row r="140" spans="1:17" ht="15">
      <c r="A140" s="169" t="s">
        <v>831</v>
      </c>
      <c r="B140" s="160">
        <f>'Combined Sals'!D124</f>
        <v>79043.9189136194</v>
      </c>
      <c r="C140" s="160"/>
      <c r="D140" s="160">
        <f>'Combined Sals'!G124</f>
        <v>54939.295729526326</v>
      </c>
      <c r="E140" s="160"/>
      <c r="F140" s="160">
        <f>'Combined Sals'!J124</f>
        <v>46694.810051390734</v>
      </c>
      <c r="G140" s="160"/>
      <c r="H140" s="160">
        <f>'Combined Sals'!M124</f>
        <v>30084.13549714287</v>
      </c>
      <c r="I140" s="160"/>
      <c r="J140" s="160">
        <f>'Combined Sals'!P124</f>
        <v>41347.2173367347</v>
      </c>
      <c r="K140" s="184"/>
      <c r="L140" s="160">
        <f>'Combined Sals'!S124</f>
        <v>0</v>
      </c>
      <c r="M140" s="160"/>
      <c r="N140" s="160">
        <f>'Combined Sals'!V124</f>
        <v>62659.509085617065</v>
      </c>
      <c r="O140" s="184"/>
      <c r="P140" s="151"/>
      <c r="Q140" s="151"/>
    </row>
    <row r="141" spans="1:17" ht="15">
      <c r="A141" s="165" t="s">
        <v>832</v>
      </c>
      <c r="B141" s="166">
        <f>'Combined Sals'!D133</f>
        <v>62461.923475144504</v>
      </c>
      <c r="C141" s="167"/>
      <c r="D141" s="166">
        <f>'Combined Sals'!G133</f>
        <v>49986.42793320159</v>
      </c>
      <c r="E141" s="167"/>
      <c r="F141" s="166">
        <f>'Combined Sals'!J133</f>
        <v>40522.73504864865</v>
      </c>
      <c r="G141" s="167"/>
      <c r="H141" s="166">
        <f>'Combined Sals'!M133</f>
        <v>32840.702595</v>
      </c>
      <c r="I141" s="167"/>
      <c r="J141" s="166">
        <f>'Combined Sals'!P133</f>
        <v>27538.187923999998</v>
      </c>
      <c r="K141" s="167"/>
      <c r="L141" s="166">
        <f>'Combined Sals'!S133</f>
        <v>0</v>
      </c>
      <c r="M141" s="167"/>
      <c r="N141" s="166">
        <f>'Combined Sals'!V133</f>
        <v>52013.308253907904</v>
      </c>
      <c r="O141" s="168"/>
      <c r="P141" s="151"/>
      <c r="Q141" s="151"/>
    </row>
    <row r="142" spans="1:17" ht="13.5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51"/>
      <c r="Q142" s="151"/>
    </row>
    <row r="143" spans="1:17" ht="13.5">
      <c r="A143" s="185" t="s">
        <v>833</v>
      </c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6"/>
      <c r="N143" s="186"/>
      <c r="O143" s="187"/>
      <c r="P143" s="151"/>
      <c r="Q143" s="151"/>
    </row>
    <row r="144" spans="1:17" ht="13.5">
      <c r="A144" s="185" t="s">
        <v>834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6"/>
      <c r="N144" s="186"/>
      <c r="O144" s="187"/>
      <c r="P144" s="151"/>
      <c r="Q144" s="151"/>
    </row>
    <row r="145" spans="1:17" ht="13.5">
      <c r="A145" s="185" t="s">
        <v>835</v>
      </c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6"/>
      <c r="N145" s="186"/>
      <c r="O145" s="187"/>
      <c r="P145" s="151"/>
      <c r="Q145" s="151"/>
    </row>
    <row r="146" spans="1:17" ht="13.5">
      <c r="A146" s="185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63"/>
      <c r="N146" s="163"/>
      <c r="O146" s="187"/>
      <c r="P146" s="151"/>
      <c r="Q146" s="151"/>
    </row>
    <row r="147" spans="1:17" ht="18">
      <c r="A147" s="149" t="s">
        <v>853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51"/>
      <c r="Q147" s="151"/>
    </row>
    <row r="148" spans="1:17" ht="15">
      <c r="A148" s="126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51"/>
      <c r="Q148" s="151"/>
    </row>
    <row r="149" spans="1:17" ht="15">
      <c r="A149" s="126" t="s">
        <v>846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51"/>
      <c r="Q149" s="151"/>
    </row>
    <row r="150" spans="1:17" ht="15">
      <c r="A150" s="126" t="s">
        <v>854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51"/>
      <c r="Q150" s="151"/>
    </row>
    <row r="151" spans="1:17" ht="15">
      <c r="A151" s="126" t="s">
        <v>802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51"/>
      <c r="Q151" s="151"/>
    </row>
    <row r="152" spans="1:17" ht="15">
      <c r="A152" s="126" t="s">
        <v>803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51"/>
      <c r="Q152" s="151"/>
    </row>
    <row r="153" spans="1:17" ht="15">
      <c r="A153" s="169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51"/>
      <c r="Q153" s="151"/>
    </row>
    <row r="154" spans="1:17" ht="15">
      <c r="A154" s="200"/>
      <c r="B154" s="197" t="s">
        <v>847</v>
      </c>
      <c r="C154" s="198"/>
      <c r="D154" s="197" t="s">
        <v>713</v>
      </c>
      <c r="E154" s="198"/>
      <c r="F154" s="197" t="s">
        <v>714</v>
      </c>
      <c r="G154" s="198"/>
      <c r="H154" s="197" t="s">
        <v>715</v>
      </c>
      <c r="I154" s="198"/>
      <c r="J154" s="197" t="s">
        <v>848</v>
      </c>
      <c r="K154" s="198"/>
      <c r="L154" s="197" t="s">
        <v>849</v>
      </c>
      <c r="M154" s="198"/>
      <c r="N154" s="198" t="s">
        <v>850</v>
      </c>
      <c r="O154" s="198"/>
      <c r="P154" s="151"/>
      <c r="Q154" s="151"/>
    </row>
    <row r="155" spans="1:17" ht="15">
      <c r="A155" s="199"/>
      <c r="B155" s="194" t="s">
        <v>816</v>
      </c>
      <c r="C155" s="193" t="s">
        <v>810</v>
      </c>
      <c r="D155" s="194" t="s">
        <v>816</v>
      </c>
      <c r="E155" s="193" t="s">
        <v>810</v>
      </c>
      <c r="F155" s="194" t="s">
        <v>816</v>
      </c>
      <c r="G155" s="193" t="s">
        <v>810</v>
      </c>
      <c r="H155" s="194" t="s">
        <v>816</v>
      </c>
      <c r="I155" s="193" t="s">
        <v>810</v>
      </c>
      <c r="J155" s="194" t="s">
        <v>816</v>
      </c>
      <c r="K155" s="193" t="s">
        <v>810</v>
      </c>
      <c r="L155" s="194" t="s">
        <v>816</v>
      </c>
      <c r="M155" s="193" t="s">
        <v>810</v>
      </c>
      <c r="N155" s="194" t="s">
        <v>816</v>
      </c>
      <c r="O155" s="193" t="s">
        <v>810</v>
      </c>
      <c r="P155" s="151"/>
      <c r="Q155" s="151"/>
    </row>
    <row r="156" spans="1:17" ht="15">
      <c r="A156" s="169" t="s">
        <v>817</v>
      </c>
      <c r="B156" s="161">
        <f>'Combined Sals'!D143</f>
        <v>68919.15911296043</v>
      </c>
      <c r="C156" s="161"/>
      <c r="D156" s="161">
        <f>'Combined Sals'!G143</f>
        <v>51708.84570318011</v>
      </c>
      <c r="E156" s="161"/>
      <c r="F156" s="161">
        <f>'Combined Sals'!J143</f>
        <v>42885.501106911724</v>
      </c>
      <c r="G156" s="161"/>
      <c r="H156" s="161">
        <f>'Combined Sals'!M143</f>
        <v>31663.327250315557</v>
      </c>
      <c r="I156" s="161"/>
      <c r="J156" s="161">
        <f>'Combined Sals'!P143</f>
        <v>33503.52518569975</v>
      </c>
      <c r="K156" s="161"/>
      <c r="L156" s="161">
        <f>'Combined Sals'!S143</f>
        <v>0</v>
      </c>
      <c r="M156" s="161"/>
      <c r="N156" s="161">
        <f>'Combined Sals'!V143</f>
        <v>54202.59001520176</v>
      </c>
      <c r="O156" s="161"/>
      <c r="P156" s="201"/>
      <c r="Q156" s="151"/>
    </row>
    <row r="157" spans="1:17" ht="15">
      <c r="A157" s="169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201"/>
      <c r="Q157" s="151"/>
    </row>
    <row r="158" spans="1:17" ht="15">
      <c r="A158" s="169" t="s">
        <v>818</v>
      </c>
      <c r="B158" s="160">
        <f>'Combined Sals'!D8</f>
        <v>71253.27814</v>
      </c>
      <c r="C158" s="160"/>
      <c r="D158" s="160">
        <f>'Combined Sals'!G8</f>
        <v>48817.570939680845</v>
      </c>
      <c r="E158" s="160"/>
      <c r="F158" s="160">
        <f>'Combined Sals'!J8</f>
        <v>41074.575697297296</v>
      </c>
      <c r="G158" s="160"/>
      <c r="H158" s="160">
        <f>'Combined Sals'!M8</f>
        <v>29341.3753536</v>
      </c>
      <c r="I158" s="160"/>
      <c r="J158" s="160">
        <f>'Combined Sals'!P8</f>
        <v>37331.361</v>
      </c>
      <c r="K158" s="184"/>
      <c r="L158" s="160">
        <f>'Combined Sals'!S8</f>
        <v>0</v>
      </c>
      <c r="M158" s="184"/>
      <c r="N158" s="160">
        <f>'Combined Sals'!V8</f>
        <v>51838.3288173274</v>
      </c>
      <c r="O158" s="184"/>
      <c r="P158" s="201"/>
      <c r="Q158" s="151"/>
    </row>
    <row r="159" spans="1:17" ht="15">
      <c r="A159" s="169" t="s">
        <v>819</v>
      </c>
      <c r="B159" s="160">
        <f>'Combined Sals'!D17</f>
        <v>0</v>
      </c>
      <c r="C159" s="160"/>
      <c r="D159" s="160">
        <f>'Combined Sals'!G17</f>
        <v>0</v>
      </c>
      <c r="E159" s="160"/>
      <c r="F159" s="160">
        <f>'Combined Sals'!J17</f>
        <v>0</v>
      </c>
      <c r="G159" s="160"/>
      <c r="H159" s="160">
        <f>'Combined Sals'!M17</f>
        <v>0</v>
      </c>
      <c r="I159" s="160"/>
      <c r="J159" s="160">
        <f>'Combined Sals'!P17</f>
        <v>0</v>
      </c>
      <c r="K159" s="184"/>
      <c r="L159" s="160">
        <f>'Combined Sals'!S17</f>
        <v>0</v>
      </c>
      <c r="M159" s="160"/>
      <c r="N159" s="160">
        <f>'Combined Sals'!V17</f>
        <v>0</v>
      </c>
      <c r="O159" s="184"/>
      <c r="P159" s="201"/>
      <c r="Q159" s="151"/>
    </row>
    <row r="160" spans="1:17" ht="15">
      <c r="A160" s="169" t="s">
        <v>820</v>
      </c>
      <c r="B160" s="160">
        <f>'Combined Sals'!D26</f>
        <v>65101.418279983605</v>
      </c>
      <c r="C160" s="160"/>
      <c r="D160" s="160">
        <f>'Combined Sals'!G26</f>
        <v>49201.4599853157</v>
      </c>
      <c r="E160" s="160"/>
      <c r="F160" s="160">
        <f>'Combined Sals'!J26</f>
        <v>42408.7971530249</v>
      </c>
      <c r="G160" s="160"/>
      <c r="H160" s="160">
        <f>'Combined Sals'!M26</f>
        <v>33136.3114224138</v>
      </c>
      <c r="I160" s="160"/>
      <c r="J160" s="160">
        <f>'Combined Sals'!P26</f>
        <v>35060.4027777778</v>
      </c>
      <c r="K160" s="184"/>
      <c r="L160" s="160">
        <f>'Combined Sals'!S26</f>
        <v>0</v>
      </c>
      <c r="M160" s="160"/>
      <c r="N160" s="160">
        <f>'Combined Sals'!V26</f>
        <v>54215.064209560565</v>
      </c>
      <c r="O160" s="184"/>
      <c r="P160" s="201"/>
      <c r="Q160" s="151"/>
    </row>
    <row r="161" spans="1:17" ht="15">
      <c r="A161" s="169" t="s">
        <v>821</v>
      </c>
      <c r="B161" s="160">
        <f>'Combined Sals'!D35</f>
        <v>89190</v>
      </c>
      <c r="C161" s="160"/>
      <c r="D161" s="160">
        <f>'Combined Sals'!G35</f>
        <v>64908</v>
      </c>
      <c r="E161" s="160"/>
      <c r="F161" s="160">
        <f>'Combined Sals'!J35</f>
        <v>56019</v>
      </c>
      <c r="G161" s="160"/>
      <c r="H161" s="160">
        <f>'Combined Sals'!M35</f>
        <v>29985</v>
      </c>
      <c r="I161" s="160"/>
      <c r="J161" s="160">
        <f>'Combined Sals'!P35</f>
        <v>83203</v>
      </c>
      <c r="K161" s="184"/>
      <c r="L161" s="160">
        <f>'Combined Sals'!S35</f>
        <v>0</v>
      </c>
      <c r="M161" s="160"/>
      <c r="N161" s="160">
        <f>'Combined Sals'!V35</f>
        <v>71498.75453277545</v>
      </c>
      <c r="O161" s="184"/>
      <c r="P161" s="201"/>
      <c r="Q161" s="151"/>
    </row>
    <row r="162" spans="1:17" ht="15">
      <c r="A162" s="169" t="s">
        <v>822</v>
      </c>
      <c r="B162" s="160">
        <f>'Combined Sals'!D44</f>
        <v>66642.5462757143</v>
      </c>
      <c r="C162" s="160"/>
      <c r="D162" s="160">
        <f>'Combined Sals'!G44</f>
        <v>49318.80448695652</v>
      </c>
      <c r="E162" s="160"/>
      <c r="F162" s="160">
        <f>'Combined Sals'!J44</f>
        <v>41393.61346589743</v>
      </c>
      <c r="G162" s="160"/>
      <c r="H162" s="160">
        <f>'Combined Sals'!M44</f>
        <v>32982.754992941176</v>
      </c>
      <c r="I162" s="160"/>
      <c r="J162" s="160">
        <f>'Combined Sals'!P44</f>
        <v>25649.3128925</v>
      </c>
      <c r="K162" s="184"/>
      <c r="L162" s="160">
        <f>'Combined Sals'!S44</f>
        <v>0</v>
      </c>
      <c r="M162" s="184"/>
      <c r="N162" s="160">
        <f>'Combined Sals'!V44</f>
        <v>54209.36977778409</v>
      </c>
      <c r="O162" s="184"/>
      <c r="P162" s="201"/>
      <c r="Q162" s="151"/>
    </row>
    <row r="163" spans="1:17" ht="15">
      <c r="A163" s="169" t="s">
        <v>823</v>
      </c>
      <c r="B163" s="160">
        <f>'Combined Sals'!D53</f>
        <v>63238.442748091606</v>
      </c>
      <c r="C163" s="160"/>
      <c r="D163" s="160">
        <f>'Combined Sals'!G53</f>
        <v>46750.1730103806</v>
      </c>
      <c r="E163" s="160"/>
      <c r="F163" s="160">
        <f>'Combined Sals'!J53</f>
        <v>40069.12236286921</v>
      </c>
      <c r="G163" s="160"/>
      <c r="H163" s="160">
        <f>'Combined Sals'!M53</f>
        <v>29508.1202185792</v>
      </c>
      <c r="I163" s="160"/>
      <c r="J163" s="160">
        <f>'Combined Sals'!P53</f>
        <v>0</v>
      </c>
      <c r="K163" s="184"/>
      <c r="L163" s="160">
        <f>'Combined Sals'!S53</f>
        <v>0</v>
      </c>
      <c r="M163" s="184"/>
      <c r="N163" s="160">
        <f>'Combined Sals'!V53</f>
        <v>48330.19600725952</v>
      </c>
      <c r="O163" s="184"/>
      <c r="P163" s="201"/>
      <c r="Q163" s="151"/>
    </row>
    <row r="164" spans="1:17" ht="15">
      <c r="A164" s="169" t="s">
        <v>824</v>
      </c>
      <c r="B164" s="160">
        <f>'Combined Sals'!D62</f>
        <v>73209.454319322</v>
      </c>
      <c r="C164" s="160"/>
      <c r="D164" s="160">
        <f>'Combined Sals'!G62</f>
        <v>51264.15652641222</v>
      </c>
      <c r="E164" s="160"/>
      <c r="F164" s="160">
        <f>'Combined Sals'!J62</f>
        <v>45134.757229999996</v>
      </c>
      <c r="G164" s="160"/>
      <c r="H164" s="160">
        <f>'Combined Sals'!M62</f>
        <v>31840.08252571424</v>
      </c>
      <c r="I164" s="160"/>
      <c r="J164" s="160">
        <f>'Combined Sals'!P62</f>
        <v>33590.28249272724</v>
      </c>
      <c r="K164" s="184"/>
      <c r="L164" s="160">
        <f>'Combined Sals'!S62</f>
        <v>0</v>
      </c>
      <c r="M164" s="160"/>
      <c r="N164" s="160">
        <f>'Combined Sals'!V62</f>
        <v>54464.44199916666</v>
      </c>
      <c r="O164" s="184"/>
      <c r="P164" s="201"/>
      <c r="Q164" s="151"/>
    </row>
    <row r="165" spans="1:17" ht="15">
      <c r="A165" s="169" t="s">
        <v>825</v>
      </c>
      <c r="B165" s="160">
        <f>'Combined Sals'!D71</f>
        <v>63939.097115120516</v>
      </c>
      <c r="C165" s="160"/>
      <c r="D165" s="160">
        <f>'Combined Sals'!G71</f>
        <v>49282.54091122258</v>
      </c>
      <c r="E165" s="160"/>
      <c r="F165" s="160">
        <f>'Combined Sals'!J71</f>
        <v>40463.7309689474</v>
      </c>
      <c r="G165" s="160"/>
      <c r="H165" s="160">
        <f>'Combined Sals'!M71</f>
        <v>30883.715032000022</v>
      </c>
      <c r="I165" s="160"/>
      <c r="J165" s="160">
        <f>'Combined Sals'!P71</f>
        <v>21760.5</v>
      </c>
      <c r="K165" s="160"/>
      <c r="L165" s="160">
        <f>'Combined Sals'!S71</f>
        <v>0</v>
      </c>
      <c r="M165" s="160"/>
      <c r="N165" s="160">
        <f>'Combined Sals'!V71</f>
        <v>49382.01936361764</v>
      </c>
      <c r="O165" s="184"/>
      <c r="P165" s="201"/>
      <c r="Q165" s="151"/>
    </row>
    <row r="166" spans="1:17" ht="15">
      <c r="A166" s="169" t="s">
        <v>826</v>
      </c>
      <c r="B166" s="160">
        <f>'Combined Sals'!D80</f>
        <v>71726.19354608696</v>
      </c>
      <c r="C166" s="160"/>
      <c r="D166" s="160">
        <f>'Combined Sals'!G80</f>
        <v>52032.5459477647</v>
      </c>
      <c r="E166" s="160"/>
      <c r="F166" s="160">
        <f>'Combined Sals'!J80</f>
        <v>41204.22415953488</v>
      </c>
      <c r="G166" s="160"/>
      <c r="H166" s="160">
        <f>'Combined Sals'!M80</f>
        <v>46343</v>
      </c>
      <c r="I166" s="160"/>
      <c r="J166" s="160">
        <f>'Combined Sals'!P80</f>
        <v>33304.033983529414</v>
      </c>
      <c r="K166" s="184"/>
      <c r="L166" s="160">
        <f>'Combined Sals'!S80</f>
        <v>0</v>
      </c>
      <c r="M166" s="160"/>
      <c r="N166" s="160">
        <f>'Combined Sals'!V80</f>
        <v>50335.149524070795</v>
      </c>
      <c r="O166" s="184"/>
      <c r="P166" s="201"/>
      <c r="Q166" s="151"/>
    </row>
    <row r="167" spans="1:17" ht="15">
      <c r="A167" s="169" t="s">
        <v>827</v>
      </c>
      <c r="B167" s="160">
        <f>'Combined Sals'!D89</f>
        <v>0</v>
      </c>
      <c r="C167" s="160"/>
      <c r="D167" s="160">
        <f>'Combined Sals'!G89</f>
        <v>0</v>
      </c>
      <c r="E167" s="160"/>
      <c r="F167" s="160">
        <f>'Combined Sals'!J89</f>
        <v>0</v>
      </c>
      <c r="G167" s="160"/>
      <c r="H167" s="160">
        <f>'Combined Sals'!M89</f>
        <v>0</v>
      </c>
      <c r="I167" s="160"/>
      <c r="J167" s="160">
        <f>'Combined Sals'!P89</f>
        <v>0</v>
      </c>
      <c r="K167" s="184"/>
      <c r="L167" s="160">
        <f>'Combined Sals'!S89</f>
        <v>0</v>
      </c>
      <c r="M167" s="160"/>
      <c r="N167" s="160">
        <f>'Combined Sals'!V89</f>
        <v>0</v>
      </c>
      <c r="O167" s="184"/>
      <c r="P167" s="201"/>
      <c r="Q167" s="151"/>
    </row>
    <row r="168" spans="1:17" ht="15">
      <c r="A168" s="169" t="s">
        <v>828</v>
      </c>
      <c r="B168" s="160">
        <f>'Combined Sals'!D98</f>
        <v>68844.44747782609</v>
      </c>
      <c r="C168" s="160"/>
      <c r="D168" s="160">
        <f>'Combined Sals'!G98</f>
        <v>51489.52984776369</v>
      </c>
      <c r="E168" s="160"/>
      <c r="F168" s="160">
        <f>'Combined Sals'!J98</f>
        <v>41996.35044204085</v>
      </c>
      <c r="G168" s="160"/>
      <c r="H168" s="160">
        <f>'Combined Sals'!M98</f>
        <v>24921</v>
      </c>
      <c r="I168" s="160"/>
      <c r="J168" s="160">
        <f>'Combined Sals'!P98</f>
        <v>35664.514292615364</v>
      </c>
      <c r="K168" s="184"/>
      <c r="L168" s="160">
        <f>'Combined Sals'!S98</f>
        <v>0</v>
      </c>
      <c r="M168" s="160"/>
      <c r="N168" s="160">
        <f>'Combined Sals'!V98</f>
        <v>54596.11582631214</v>
      </c>
      <c r="O168" s="184"/>
      <c r="P168" s="201"/>
      <c r="Q168" s="151"/>
    </row>
    <row r="169" spans="1:17" ht="15">
      <c r="A169" s="169" t="s">
        <v>829</v>
      </c>
      <c r="B169" s="160">
        <f>'Combined Sals'!D107</f>
        <v>64034.85830051852</v>
      </c>
      <c r="C169" s="160"/>
      <c r="D169" s="160">
        <f>'Combined Sals'!G107</f>
        <v>47498.7229775</v>
      </c>
      <c r="E169" s="160"/>
      <c r="F169" s="160">
        <f>'Combined Sals'!J107</f>
        <v>39954.7019778344</v>
      </c>
      <c r="G169" s="160"/>
      <c r="H169" s="160">
        <f>'Combined Sals'!M107</f>
        <v>27226.191604</v>
      </c>
      <c r="I169" s="160"/>
      <c r="J169" s="160">
        <f>'Combined Sals'!P107</f>
        <v>27405.1077</v>
      </c>
      <c r="K169" s="184"/>
      <c r="L169" s="160">
        <f>'Combined Sals'!S107</f>
        <v>0</v>
      </c>
      <c r="M169" s="160"/>
      <c r="N169" s="160">
        <f>'Combined Sals'!V107</f>
        <v>50468.782170683764</v>
      </c>
      <c r="O169" s="184"/>
      <c r="P169" s="201"/>
      <c r="Q169" s="151"/>
    </row>
    <row r="170" spans="1:17" ht="15">
      <c r="A170" s="169" t="s">
        <v>830</v>
      </c>
      <c r="B170" s="160">
        <f>'Combined Sals'!D116</f>
        <v>67057.7878048781</v>
      </c>
      <c r="C170" s="160"/>
      <c r="D170" s="160">
        <f>'Combined Sals'!G116</f>
        <v>49887.26737967909</v>
      </c>
      <c r="E170" s="160"/>
      <c r="F170" s="160">
        <f>'Combined Sals'!J116</f>
        <v>42600.7205882353</v>
      </c>
      <c r="G170" s="160"/>
      <c r="H170" s="160">
        <f>'Combined Sals'!M116</f>
        <v>32276.0263157895</v>
      </c>
      <c r="I170" s="160"/>
      <c r="J170" s="160">
        <f>'Combined Sals'!P116</f>
        <v>32082.741176470598</v>
      </c>
      <c r="K170" s="184"/>
      <c r="L170" s="160">
        <f>'Combined Sals'!S116</f>
        <v>0</v>
      </c>
      <c r="M170" s="184"/>
      <c r="N170" s="160">
        <f>'Combined Sals'!V116</f>
        <v>51795.74819566961</v>
      </c>
      <c r="O170" s="184"/>
      <c r="P170" s="201"/>
      <c r="Q170" s="151"/>
    </row>
    <row r="171" spans="1:17" ht="15">
      <c r="A171" s="169" t="s">
        <v>831</v>
      </c>
      <c r="B171" s="160">
        <f>'Combined Sals'!D125</f>
        <v>75030.87999876814</v>
      </c>
      <c r="C171" s="160"/>
      <c r="D171" s="160">
        <f>'Combined Sals'!G125</f>
        <v>55412.21938180648</v>
      </c>
      <c r="E171" s="160"/>
      <c r="F171" s="160">
        <f>'Combined Sals'!J125</f>
        <v>43811.81482590065</v>
      </c>
      <c r="G171" s="160"/>
      <c r="H171" s="160">
        <f>'Combined Sals'!M125</f>
        <v>35559.75691534593</v>
      </c>
      <c r="I171" s="160"/>
      <c r="J171" s="160">
        <f>'Combined Sals'!P125</f>
        <v>34994.447241379334</v>
      </c>
      <c r="K171" s="184"/>
      <c r="L171" s="160">
        <f>'Combined Sals'!S125</f>
        <v>0</v>
      </c>
      <c r="M171" s="160"/>
      <c r="N171" s="160">
        <f>'Combined Sals'!V125</f>
        <v>57104.78071839636</v>
      </c>
      <c r="O171" s="184"/>
      <c r="P171" s="201"/>
      <c r="Q171" s="151"/>
    </row>
    <row r="172" spans="1:17" ht="15">
      <c r="A172" s="165" t="s">
        <v>832</v>
      </c>
      <c r="B172" s="166">
        <f>'Combined Sals'!D134</f>
        <v>0</v>
      </c>
      <c r="C172" s="167"/>
      <c r="D172" s="166">
        <f>'Combined Sals'!G134</f>
        <v>0</v>
      </c>
      <c r="E172" s="167"/>
      <c r="F172" s="166">
        <f>'Combined Sals'!J134</f>
        <v>0</v>
      </c>
      <c r="G172" s="167"/>
      <c r="H172" s="166">
        <f>'Combined Sals'!M134</f>
        <v>0</v>
      </c>
      <c r="I172" s="167"/>
      <c r="J172" s="166">
        <f>'Combined Sals'!P134</f>
        <v>0</v>
      </c>
      <c r="K172" s="167"/>
      <c r="L172" s="166">
        <f>'Combined Sals'!S134</f>
        <v>0</v>
      </c>
      <c r="M172" s="167"/>
      <c r="N172" s="166">
        <f>'Combined Sals'!V134</f>
        <v>0</v>
      </c>
      <c r="O172" s="168"/>
      <c r="P172" s="201"/>
      <c r="Q172" s="151"/>
    </row>
    <row r="173" spans="1:21" ht="13.5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</row>
    <row r="174" spans="1:21" ht="13.5">
      <c r="A174" s="185" t="s">
        <v>833</v>
      </c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6"/>
      <c r="N174" s="186"/>
      <c r="O174" s="187"/>
      <c r="P174" s="185"/>
      <c r="Q174" s="185"/>
      <c r="R174" s="185"/>
      <c r="S174" s="185"/>
      <c r="T174" s="185"/>
      <c r="U174" s="185"/>
    </row>
    <row r="175" spans="1:21" ht="13.5">
      <c r="A175" s="185" t="s">
        <v>834</v>
      </c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6"/>
      <c r="N175" s="186"/>
      <c r="O175" s="187"/>
      <c r="P175" s="185"/>
      <c r="Q175" s="185"/>
      <c r="R175" s="185"/>
      <c r="S175" s="185"/>
      <c r="T175" s="185"/>
      <c r="U175" s="185"/>
    </row>
    <row r="176" spans="1:21" ht="13.5">
      <c r="A176" s="185" t="s">
        <v>835</v>
      </c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6"/>
      <c r="N176" s="186"/>
      <c r="O176" s="187"/>
      <c r="P176" s="185"/>
      <c r="Q176" s="185"/>
      <c r="R176" s="185"/>
      <c r="S176" s="185"/>
      <c r="T176" s="185"/>
      <c r="U176" s="185"/>
    </row>
    <row r="177" spans="1:21" ht="13.5">
      <c r="A177" s="185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63"/>
      <c r="N177" s="163"/>
      <c r="O177" s="187"/>
      <c r="P177" s="185"/>
      <c r="Q177" s="185"/>
      <c r="R177" s="185"/>
      <c r="S177" s="185"/>
      <c r="T177" s="185"/>
      <c r="U177" s="185"/>
    </row>
    <row r="178" spans="1:17" ht="18">
      <c r="A178" s="149" t="s">
        <v>855</v>
      </c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51"/>
      <c r="Q178" s="151"/>
    </row>
    <row r="179" spans="1:17" ht="15">
      <c r="A179" s="126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51"/>
      <c r="Q179" s="151"/>
    </row>
    <row r="180" spans="1:17" ht="15">
      <c r="A180" s="126" t="s">
        <v>846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51"/>
      <c r="Q180" s="151"/>
    </row>
    <row r="181" spans="1:17" ht="15">
      <c r="A181" s="126" t="s">
        <v>856</v>
      </c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51"/>
      <c r="Q181" s="151"/>
    </row>
    <row r="182" spans="1:17" ht="15">
      <c r="A182" s="126" t="s">
        <v>802</v>
      </c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51"/>
      <c r="Q182" s="151"/>
    </row>
    <row r="183" spans="1:17" ht="15">
      <c r="A183" s="126" t="s">
        <v>803</v>
      </c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51"/>
      <c r="Q183" s="151"/>
    </row>
    <row r="184" spans="1:17" ht="15">
      <c r="A184" s="126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51"/>
      <c r="Q184" s="151"/>
    </row>
    <row r="185" spans="1:17" ht="13.5">
      <c r="A185" s="202"/>
      <c r="B185" s="197" t="s">
        <v>847</v>
      </c>
      <c r="C185" s="198"/>
      <c r="D185" s="197" t="s">
        <v>713</v>
      </c>
      <c r="E185" s="198"/>
      <c r="F185" s="197" t="s">
        <v>714</v>
      </c>
      <c r="G185" s="198"/>
      <c r="H185" s="197" t="s">
        <v>715</v>
      </c>
      <c r="I185" s="198"/>
      <c r="J185" s="197" t="s">
        <v>848</v>
      </c>
      <c r="K185" s="198"/>
      <c r="L185" s="197" t="s">
        <v>849</v>
      </c>
      <c r="M185" s="198"/>
      <c r="N185" s="198" t="s">
        <v>850</v>
      </c>
      <c r="O185" s="198"/>
      <c r="P185" s="177"/>
      <c r="Q185" s="151"/>
    </row>
    <row r="186" spans="1:17" ht="13.5">
      <c r="A186" s="181"/>
      <c r="B186" s="194" t="s">
        <v>816</v>
      </c>
      <c r="C186" s="193" t="s">
        <v>810</v>
      </c>
      <c r="D186" s="194" t="s">
        <v>816</v>
      </c>
      <c r="E186" s="193" t="s">
        <v>810</v>
      </c>
      <c r="F186" s="194" t="s">
        <v>816</v>
      </c>
      <c r="G186" s="193" t="s">
        <v>810</v>
      </c>
      <c r="H186" s="194" t="s">
        <v>816</v>
      </c>
      <c r="I186" s="193" t="s">
        <v>810</v>
      </c>
      <c r="J186" s="194" t="s">
        <v>816</v>
      </c>
      <c r="K186" s="193" t="s">
        <v>810</v>
      </c>
      <c r="L186" s="194" t="s">
        <v>816</v>
      </c>
      <c r="M186" s="193" t="s">
        <v>810</v>
      </c>
      <c r="N186" s="194" t="s">
        <v>816</v>
      </c>
      <c r="O186" s="193" t="s">
        <v>810</v>
      </c>
      <c r="P186" s="177"/>
      <c r="Q186" s="151"/>
    </row>
    <row r="187" spans="1:17" ht="15">
      <c r="A187" s="169" t="s">
        <v>817</v>
      </c>
      <c r="B187" s="161">
        <f>'Combined Sals'!D144</f>
        <v>57813.996529771124</v>
      </c>
      <c r="C187" s="161"/>
      <c r="D187" s="161">
        <f>'Combined Sals'!G144</f>
        <v>47332.94397598528</v>
      </c>
      <c r="E187" s="161"/>
      <c r="F187" s="161">
        <f>'Combined Sals'!J144</f>
        <v>39781.31733883071</v>
      </c>
      <c r="G187" s="161"/>
      <c r="H187" s="161">
        <f>'Combined Sals'!M144</f>
        <v>31144.607484662025</v>
      </c>
      <c r="I187" s="161"/>
      <c r="J187" s="161">
        <f>'Combined Sals'!P144</f>
        <v>30621.322401528174</v>
      </c>
      <c r="K187" s="161"/>
      <c r="L187" s="161">
        <f>'Combined Sals'!S144</f>
        <v>0</v>
      </c>
      <c r="M187" s="161"/>
      <c r="N187" s="161">
        <f>'Combined Sals'!V144</f>
        <v>45987.18483449137</v>
      </c>
      <c r="O187" s="161"/>
      <c r="P187" s="151"/>
      <c r="Q187" s="151"/>
    </row>
    <row r="188" spans="1:17" ht="15">
      <c r="A188" s="169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51"/>
      <c r="Q188" s="151"/>
    </row>
    <row r="189" spans="1:17" ht="15">
      <c r="A189" s="169" t="s">
        <v>818</v>
      </c>
      <c r="B189" s="160">
        <f>'Combined Sals'!D9</f>
        <v>57632.58919199999</v>
      </c>
      <c r="C189" s="160"/>
      <c r="D189" s="160">
        <f>'Combined Sals'!G9</f>
        <v>43480.87418280801</v>
      </c>
      <c r="E189" s="160"/>
      <c r="F189" s="160">
        <f>'Combined Sals'!J9</f>
        <v>39721.57175060438</v>
      </c>
      <c r="G189" s="160"/>
      <c r="H189" s="160">
        <f>'Combined Sals'!M9</f>
        <v>32857.98919694444</v>
      </c>
      <c r="I189" s="160"/>
      <c r="J189" s="160">
        <f>'Combined Sals'!P9</f>
        <v>30212.10665119998</v>
      </c>
      <c r="K189" s="184"/>
      <c r="L189" s="160">
        <f>'Combined Sals'!S9</f>
        <v>0</v>
      </c>
      <c r="M189" s="184"/>
      <c r="N189" s="160">
        <f>'Combined Sals'!V9</f>
        <v>45133.294562179784</v>
      </c>
      <c r="O189" s="184"/>
      <c r="P189" s="151"/>
      <c r="Q189" s="151"/>
    </row>
    <row r="190" spans="1:17" ht="15">
      <c r="A190" s="169" t="s">
        <v>819</v>
      </c>
      <c r="B190" s="160">
        <f>'Combined Sals'!D18</f>
        <v>58427.726687244576</v>
      </c>
      <c r="C190" s="160"/>
      <c r="D190" s="160">
        <f>'Combined Sals'!G18</f>
        <v>46971.03812139373</v>
      </c>
      <c r="E190" s="160"/>
      <c r="F190" s="160">
        <f>'Combined Sals'!J18</f>
        <v>39310.06603910827</v>
      </c>
      <c r="G190" s="160"/>
      <c r="H190" s="160">
        <f>'Combined Sals'!M18</f>
        <v>29891.63756904563</v>
      </c>
      <c r="I190" s="160"/>
      <c r="J190" s="160">
        <f>'Combined Sals'!P18</f>
        <v>8959.046833333334</v>
      </c>
      <c r="K190" s="184"/>
      <c r="L190" s="160">
        <f>'Combined Sals'!S18</f>
        <v>0</v>
      </c>
      <c r="M190" s="160"/>
      <c r="N190" s="160">
        <f>'Combined Sals'!V18</f>
        <v>43482.610105945045</v>
      </c>
      <c r="O190" s="184"/>
      <c r="P190" s="151"/>
      <c r="Q190" s="151"/>
    </row>
    <row r="191" spans="1:17" ht="15">
      <c r="A191" s="169" t="s">
        <v>820</v>
      </c>
      <c r="B191" s="160">
        <f>'Combined Sals'!D27</f>
        <v>58188.9779293415</v>
      </c>
      <c r="C191" s="160"/>
      <c r="D191" s="160">
        <f>'Combined Sals'!G27</f>
        <v>50172.2505128205</v>
      </c>
      <c r="E191" s="160"/>
      <c r="F191" s="160">
        <f>'Combined Sals'!J27</f>
        <v>42727.4353974895</v>
      </c>
      <c r="G191" s="160"/>
      <c r="H191" s="160">
        <f>'Combined Sals'!M27</f>
        <v>32919.5339047619</v>
      </c>
      <c r="I191" s="160"/>
      <c r="J191" s="160">
        <f>'Combined Sals'!P27</f>
        <v>28667.6428571428</v>
      </c>
      <c r="K191" s="184"/>
      <c r="L191" s="160">
        <f>'Combined Sals'!S27</f>
        <v>0</v>
      </c>
      <c r="M191" s="160"/>
      <c r="N191" s="160">
        <f>'Combined Sals'!V27</f>
        <v>51029.79673055801</v>
      </c>
      <c r="O191" s="184"/>
      <c r="P191" s="151"/>
      <c r="Q191" s="151"/>
    </row>
    <row r="192" spans="1:17" ht="15">
      <c r="A192" s="169" t="s">
        <v>821</v>
      </c>
      <c r="B192" s="160">
        <f>'Combined Sals'!D36</f>
        <v>54011</v>
      </c>
      <c r="C192" s="160"/>
      <c r="D192" s="160">
        <f>'Combined Sals'!G36</f>
        <v>46919</v>
      </c>
      <c r="E192" s="160"/>
      <c r="F192" s="160">
        <f>'Combined Sals'!J36</f>
        <v>38306</v>
      </c>
      <c r="G192" s="160"/>
      <c r="H192" s="160">
        <f>'Combined Sals'!M36</f>
        <v>34162</v>
      </c>
      <c r="I192" s="160"/>
      <c r="J192" s="160">
        <f>'Combined Sals'!P36</f>
        <v>0</v>
      </c>
      <c r="K192" s="184"/>
      <c r="L192" s="160">
        <f>'Combined Sals'!S36</f>
        <v>0</v>
      </c>
      <c r="M192" s="160"/>
      <c r="N192" s="160">
        <f>'Combined Sals'!V36</f>
        <v>44938.192307692305</v>
      </c>
      <c r="O192" s="184"/>
      <c r="P192" s="151"/>
      <c r="Q192" s="151"/>
    </row>
    <row r="193" spans="1:17" ht="15">
      <c r="A193" s="169" t="s">
        <v>822</v>
      </c>
      <c r="B193" s="160">
        <f>'Combined Sals'!D45</f>
        <v>58212.7815706876</v>
      </c>
      <c r="C193" s="160"/>
      <c r="D193" s="160">
        <f>'Combined Sals'!G45</f>
        <v>47852.829148270685</v>
      </c>
      <c r="E193" s="160"/>
      <c r="F193" s="160">
        <f>'Combined Sals'!J45</f>
        <v>39444.45954660511</v>
      </c>
      <c r="G193" s="160"/>
      <c r="H193" s="160">
        <f>'Combined Sals'!M45</f>
        <v>30931.79036144579</v>
      </c>
      <c r="I193" s="160"/>
      <c r="J193" s="160">
        <f>'Combined Sals'!P45</f>
        <v>32934.61776931039</v>
      </c>
      <c r="K193" s="184"/>
      <c r="L193" s="160">
        <f>'Combined Sals'!S45</f>
        <v>0</v>
      </c>
      <c r="M193" s="184"/>
      <c r="N193" s="160">
        <f>'Combined Sals'!V45</f>
        <v>47422.79491493927</v>
      </c>
      <c r="O193" s="184"/>
      <c r="P193" s="151"/>
      <c r="Q193" s="151"/>
    </row>
    <row r="194" spans="1:17" ht="15">
      <c r="A194" s="169" t="s">
        <v>823</v>
      </c>
      <c r="B194" s="160">
        <f>'Combined Sals'!D54</f>
        <v>57258.767816092</v>
      </c>
      <c r="C194" s="160"/>
      <c r="D194" s="160">
        <f>'Combined Sals'!G54</f>
        <v>45352.68965517239</v>
      </c>
      <c r="E194" s="160"/>
      <c r="F194" s="160">
        <f>'Combined Sals'!J54</f>
        <v>38193.033557047</v>
      </c>
      <c r="G194" s="160"/>
      <c r="H194" s="160">
        <f>'Combined Sals'!M54</f>
        <v>28607.5681818182</v>
      </c>
      <c r="I194" s="160"/>
      <c r="J194" s="160">
        <f>'Combined Sals'!P54</f>
        <v>0</v>
      </c>
      <c r="K194" s="184"/>
      <c r="L194" s="160">
        <f>'Combined Sals'!S54</f>
        <v>0</v>
      </c>
      <c r="M194" s="184"/>
      <c r="N194" s="160">
        <f>'Combined Sals'!V54</f>
        <v>42878.61713286715</v>
      </c>
      <c r="O194" s="184"/>
      <c r="P194" s="151"/>
      <c r="Q194" s="151"/>
    </row>
    <row r="195" spans="1:17" ht="15">
      <c r="A195" s="169" t="s">
        <v>824</v>
      </c>
      <c r="B195" s="160">
        <f>'Combined Sals'!D63</f>
        <v>0</v>
      </c>
      <c r="C195" s="160"/>
      <c r="D195" s="160">
        <f>'Combined Sals'!G63</f>
        <v>0</v>
      </c>
      <c r="E195" s="160"/>
      <c r="F195" s="160">
        <f>'Combined Sals'!J63</f>
        <v>0</v>
      </c>
      <c r="G195" s="160"/>
      <c r="H195" s="160">
        <f>'Combined Sals'!M63</f>
        <v>0</v>
      </c>
      <c r="I195" s="160"/>
      <c r="J195" s="160">
        <f>'Combined Sals'!P63</f>
        <v>0</v>
      </c>
      <c r="K195" s="184"/>
      <c r="L195" s="160">
        <f>'Combined Sals'!S63</f>
        <v>0</v>
      </c>
      <c r="M195" s="160"/>
      <c r="N195" s="160">
        <f>'Combined Sals'!V63</f>
        <v>0</v>
      </c>
      <c r="O195" s="184"/>
      <c r="P195" s="151"/>
      <c r="Q195" s="151"/>
    </row>
    <row r="196" spans="1:17" ht="15">
      <c r="A196" s="169" t="s">
        <v>825</v>
      </c>
      <c r="B196" s="160">
        <f>'Combined Sals'!D72</f>
        <v>51739.14594268657</v>
      </c>
      <c r="C196" s="160"/>
      <c r="D196" s="160">
        <f>'Combined Sals'!G72</f>
        <v>46399.19370625</v>
      </c>
      <c r="E196" s="160"/>
      <c r="F196" s="160">
        <f>'Combined Sals'!J72</f>
        <v>39021.56411877193</v>
      </c>
      <c r="G196" s="160"/>
      <c r="H196" s="160">
        <f>'Combined Sals'!M72</f>
        <v>30727.680766296296</v>
      </c>
      <c r="I196" s="160"/>
      <c r="J196" s="160">
        <f>'Combined Sals'!P72</f>
        <v>0</v>
      </c>
      <c r="K196" s="160"/>
      <c r="L196" s="160">
        <f>'Combined Sals'!S72</f>
        <v>0</v>
      </c>
      <c r="M196" s="160"/>
      <c r="N196" s="160">
        <f>'Combined Sals'!V72</f>
        <v>42178.448716126986</v>
      </c>
      <c r="O196" s="184"/>
      <c r="P196" s="151"/>
      <c r="Q196" s="151"/>
    </row>
    <row r="197" spans="1:17" ht="15">
      <c r="A197" s="169" t="s">
        <v>826</v>
      </c>
      <c r="B197" s="160">
        <f>'Combined Sals'!D81</f>
        <v>63179.87268610908</v>
      </c>
      <c r="C197" s="160"/>
      <c r="D197" s="160">
        <f>'Combined Sals'!G81</f>
        <v>50655.43756089419</v>
      </c>
      <c r="E197" s="160"/>
      <c r="F197" s="160">
        <f>'Combined Sals'!J81</f>
        <v>43564.97814068441</v>
      </c>
      <c r="G197" s="160"/>
      <c r="H197" s="160">
        <f>'Combined Sals'!M81</f>
        <v>38137.57849794873</v>
      </c>
      <c r="I197" s="160"/>
      <c r="J197" s="160">
        <f>'Combined Sals'!P81</f>
        <v>35075.73004831461</v>
      </c>
      <c r="K197" s="184"/>
      <c r="L197" s="160">
        <f>'Combined Sals'!S81</f>
        <v>0</v>
      </c>
      <c r="M197" s="160"/>
      <c r="N197" s="160">
        <f>'Combined Sals'!V81</f>
        <v>49765.59349761193</v>
      </c>
      <c r="O197" s="184"/>
      <c r="P197" s="151"/>
      <c r="Q197" s="151"/>
    </row>
    <row r="198" spans="1:17" ht="15">
      <c r="A198" s="169" t="s">
        <v>827</v>
      </c>
      <c r="B198" s="160">
        <f>'Combined Sals'!D90</f>
        <v>55667</v>
      </c>
      <c r="C198" s="160"/>
      <c r="D198" s="160">
        <f>'Combined Sals'!G90</f>
        <v>48973</v>
      </c>
      <c r="E198" s="160"/>
      <c r="F198" s="160">
        <f>'Combined Sals'!J90</f>
        <v>43610</v>
      </c>
      <c r="G198" s="160"/>
      <c r="H198" s="160">
        <f>'Combined Sals'!M90</f>
        <v>35392</v>
      </c>
      <c r="I198" s="160"/>
      <c r="J198" s="160">
        <f>'Combined Sals'!P90</f>
        <v>0</v>
      </c>
      <c r="K198" s="184"/>
      <c r="L198" s="160">
        <f>'Combined Sals'!S90</f>
        <v>0</v>
      </c>
      <c r="M198" s="160"/>
      <c r="N198" s="160">
        <f>'Combined Sals'!V90</f>
        <v>47509.63852242744</v>
      </c>
      <c r="O198" s="184"/>
      <c r="P198" s="151"/>
      <c r="Q198" s="151"/>
    </row>
    <row r="199" spans="1:17" ht="15">
      <c r="A199" s="169" t="s">
        <v>828</v>
      </c>
      <c r="B199" s="160">
        <f>'Combined Sals'!D99</f>
        <v>52068.384988000034</v>
      </c>
      <c r="C199" s="160"/>
      <c r="D199" s="160">
        <f>'Combined Sals'!G99</f>
        <v>42877.54567807225</v>
      </c>
      <c r="E199" s="160"/>
      <c r="F199" s="160">
        <f>'Combined Sals'!J99</f>
        <v>37585.34793562505</v>
      </c>
      <c r="G199" s="160"/>
      <c r="H199" s="160">
        <f>'Combined Sals'!M99</f>
        <v>29295.045454545496</v>
      </c>
      <c r="I199" s="160"/>
      <c r="J199" s="160">
        <f>'Combined Sals'!P99</f>
        <v>0</v>
      </c>
      <c r="K199" s="184"/>
      <c r="L199" s="160">
        <f>'Combined Sals'!S99</f>
        <v>0</v>
      </c>
      <c r="M199" s="160"/>
      <c r="N199" s="160">
        <f>'Combined Sals'!V99</f>
        <v>43089.82964450821</v>
      </c>
      <c r="O199" s="184"/>
      <c r="P199" s="151"/>
      <c r="Q199" s="151"/>
    </row>
    <row r="200" spans="1:17" ht="15">
      <c r="A200" s="169" t="s">
        <v>829</v>
      </c>
      <c r="B200" s="160">
        <f>'Combined Sals'!D108</f>
        <v>58782.56656659434</v>
      </c>
      <c r="C200" s="160"/>
      <c r="D200" s="160">
        <f>'Combined Sals'!G108</f>
        <v>47224.15660803153</v>
      </c>
      <c r="E200" s="160"/>
      <c r="F200" s="160">
        <f>'Combined Sals'!J108</f>
        <v>38659.03433713118</v>
      </c>
      <c r="G200" s="160"/>
      <c r="H200" s="160">
        <f>'Combined Sals'!M108</f>
        <v>31019.122546708888</v>
      </c>
      <c r="I200" s="160"/>
      <c r="J200" s="160">
        <f>'Combined Sals'!P108</f>
        <v>0</v>
      </c>
      <c r="K200" s="184"/>
      <c r="L200" s="160">
        <f>'Combined Sals'!S108</f>
        <v>0</v>
      </c>
      <c r="M200" s="160"/>
      <c r="N200" s="160">
        <f>'Combined Sals'!V108</f>
        <v>46275.401192043035</v>
      </c>
      <c r="O200" s="184"/>
      <c r="P200" s="151"/>
      <c r="Q200" s="151"/>
    </row>
    <row r="201" spans="1:17" ht="15">
      <c r="A201" s="169" t="s">
        <v>830</v>
      </c>
      <c r="B201" s="160">
        <f>'Combined Sals'!D117</f>
        <v>55772.3498207885</v>
      </c>
      <c r="C201" s="160"/>
      <c r="D201" s="160">
        <f>'Combined Sals'!G117</f>
        <v>46644.6296863045</v>
      </c>
      <c r="E201" s="160"/>
      <c r="F201" s="160">
        <f>'Combined Sals'!J117</f>
        <v>38575.8220720721</v>
      </c>
      <c r="G201" s="160"/>
      <c r="H201" s="160">
        <f>'Combined Sals'!M117</f>
        <v>32054.7695852535</v>
      </c>
      <c r="I201" s="160"/>
      <c r="J201" s="160">
        <f>'Combined Sals'!P117</f>
        <v>27863.6869747899</v>
      </c>
      <c r="K201" s="184"/>
      <c r="L201" s="160">
        <f>'Combined Sals'!S117</f>
        <v>0</v>
      </c>
      <c r="M201" s="184"/>
      <c r="N201" s="160">
        <f>'Combined Sals'!V117</f>
        <v>43957.289441747576</v>
      </c>
      <c r="O201" s="184"/>
      <c r="P201" s="151"/>
      <c r="Q201" s="151"/>
    </row>
    <row r="202" spans="1:17" ht="15">
      <c r="A202" s="169" t="s">
        <v>831</v>
      </c>
      <c r="B202" s="160">
        <f>'Combined Sals'!D126</f>
        <v>57052.433875362316</v>
      </c>
      <c r="C202" s="160"/>
      <c r="D202" s="160">
        <f>'Combined Sals'!G126</f>
        <v>48078.656468096844</v>
      </c>
      <c r="E202" s="160"/>
      <c r="F202" s="160">
        <f>'Combined Sals'!J126</f>
        <v>40082.35201680676</v>
      </c>
      <c r="G202" s="160"/>
      <c r="H202" s="160">
        <f>'Combined Sals'!M126</f>
        <v>31154.4262295082</v>
      </c>
      <c r="I202" s="160"/>
      <c r="J202" s="160">
        <f>'Combined Sals'!P126</f>
        <v>0</v>
      </c>
      <c r="K202" s="184"/>
      <c r="L202" s="160">
        <f>'Combined Sals'!S126</f>
        <v>0</v>
      </c>
      <c r="M202" s="160"/>
      <c r="N202" s="160">
        <f>'Combined Sals'!V126</f>
        <v>48250.63364017148</v>
      </c>
      <c r="O202" s="184"/>
      <c r="P202" s="151"/>
      <c r="Q202" s="151"/>
    </row>
    <row r="203" spans="1:17" ht="15">
      <c r="A203" s="165" t="s">
        <v>832</v>
      </c>
      <c r="B203" s="166">
        <f>'Combined Sals'!D135</f>
        <v>52623.86414666667</v>
      </c>
      <c r="C203" s="167"/>
      <c r="D203" s="166">
        <f>'Combined Sals'!G135</f>
        <v>42630.77476672131</v>
      </c>
      <c r="E203" s="167"/>
      <c r="F203" s="166">
        <f>'Combined Sals'!J135</f>
        <v>34279.77041254902</v>
      </c>
      <c r="G203" s="167"/>
      <c r="H203" s="166">
        <f>'Combined Sals'!M135</f>
        <v>24958</v>
      </c>
      <c r="I203" s="167"/>
      <c r="J203" s="166">
        <f>'Combined Sals'!P135</f>
        <v>0</v>
      </c>
      <c r="K203" s="167"/>
      <c r="L203" s="166">
        <f>'Combined Sals'!S135</f>
        <v>0</v>
      </c>
      <c r="M203" s="167"/>
      <c r="N203" s="166">
        <f>'Combined Sals'!V135</f>
        <v>43826.0396113382</v>
      </c>
      <c r="O203" s="168"/>
      <c r="P203" s="151"/>
      <c r="Q203" s="151"/>
    </row>
    <row r="204" spans="1:17" ht="15">
      <c r="A204" s="169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51"/>
      <c r="Q204" s="151"/>
    </row>
    <row r="205" spans="1:17" ht="13.5">
      <c r="A205" s="185" t="s">
        <v>833</v>
      </c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6"/>
      <c r="N205" s="186"/>
      <c r="O205" s="187"/>
      <c r="P205" s="151"/>
      <c r="Q205" s="151"/>
    </row>
    <row r="206" spans="1:17" ht="13.5">
      <c r="A206" s="185" t="s">
        <v>834</v>
      </c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6"/>
      <c r="N206" s="186"/>
      <c r="O206" s="187"/>
      <c r="P206" s="151"/>
      <c r="Q206" s="151"/>
    </row>
    <row r="207" spans="1:17" ht="13.5">
      <c r="A207" s="185" t="s">
        <v>835</v>
      </c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6"/>
      <c r="N207" s="186"/>
      <c r="O207" s="187"/>
      <c r="P207" s="151"/>
      <c r="Q207" s="151"/>
    </row>
    <row r="208" spans="1:17" ht="13.5">
      <c r="A208" s="185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63"/>
      <c r="N208" s="163"/>
      <c r="O208" s="187"/>
      <c r="P208" s="151"/>
      <c r="Q208" s="151"/>
    </row>
    <row r="209" spans="1:17" ht="18">
      <c r="A209" s="149" t="s">
        <v>857</v>
      </c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51"/>
      <c r="Q209" s="151"/>
    </row>
    <row r="210" spans="1:17" ht="15">
      <c r="A210" s="126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51"/>
      <c r="Q210" s="151"/>
    </row>
    <row r="211" spans="1:17" ht="15">
      <c r="A211" s="126" t="s">
        <v>846</v>
      </c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51"/>
      <c r="Q211" s="151"/>
    </row>
    <row r="212" spans="1:17" ht="15">
      <c r="A212" s="126" t="s">
        <v>858</v>
      </c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51"/>
      <c r="Q212" s="151"/>
    </row>
    <row r="213" spans="1:17" ht="15">
      <c r="A213" s="126" t="s">
        <v>802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51"/>
      <c r="Q213" s="151"/>
    </row>
    <row r="214" spans="1:17" ht="15">
      <c r="A214" s="126" t="s">
        <v>803</v>
      </c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51"/>
      <c r="Q214" s="151"/>
    </row>
    <row r="215" spans="1:17" ht="15">
      <c r="A215" s="126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51"/>
      <c r="Q215" s="151"/>
    </row>
    <row r="216" spans="1:17" ht="15">
      <c r="A216" s="200"/>
      <c r="B216" s="197" t="s">
        <v>847</v>
      </c>
      <c r="C216" s="198"/>
      <c r="D216" s="197" t="s">
        <v>713</v>
      </c>
      <c r="E216" s="198"/>
      <c r="F216" s="197" t="s">
        <v>714</v>
      </c>
      <c r="G216" s="198"/>
      <c r="H216" s="197" t="s">
        <v>715</v>
      </c>
      <c r="I216" s="198"/>
      <c r="J216" s="197" t="s">
        <v>848</v>
      </c>
      <c r="K216" s="198"/>
      <c r="L216" s="197" t="s">
        <v>849</v>
      </c>
      <c r="M216" s="198"/>
      <c r="N216" s="198" t="s">
        <v>850</v>
      </c>
      <c r="O216" s="198"/>
      <c r="P216" s="177"/>
      <c r="Q216" s="151"/>
    </row>
    <row r="217" spans="1:17" ht="15">
      <c r="A217" s="199"/>
      <c r="B217" s="194" t="s">
        <v>816</v>
      </c>
      <c r="C217" s="193" t="s">
        <v>810</v>
      </c>
      <c r="D217" s="194" t="s">
        <v>816</v>
      </c>
      <c r="E217" s="193" t="s">
        <v>810</v>
      </c>
      <c r="F217" s="194" t="s">
        <v>816</v>
      </c>
      <c r="G217" s="193" t="s">
        <v>810</v>
      </c>
      <c r="H217" s="194" t="s">
        <v>816</v>
      </c>
      <c r="I217" s="193" t="s">
        <v>810</v>
      </c>
      <c r="J217" s="194" t="s">
        <v>816</v>
      </c>
      <c r="K217" s="193" t="s">
        <v>810</v>
      </c>
      <c r="L217" s="194" t="s">
        <v>816</v>
      </c>
      <c r="M217" s="193" t="s">
        <v>810</v>
      </c>
      <c r="N217" s="194" t="s">
        <v>816</v>
      </c>
      <c r="O217" s="193" t="s">
        <v>810</v>
      </c>
      <c r="P217" s="177"/>
      <c r="Q217" s="151"/>
    </row>
    <row r="218" spans="1:17" ht="15">
      <c r="A218" s="169" t="s">
        <v>817</v>
      </c>
      <c r="B218" s="161">
        <f>'Combined Sals'!D145</f>
        <v>57422.12784368627</v>
      </c>
      <c r="C218" s="161"/>
      <c r="D218" s="161">
        <f>'Combined Sals'!G145</f>
        <v>47165.97590066177</v>
      </c>
      <c r="E218" s="161"/>
      <c r="F218" s="161">
        <f>'Combined Sals'!J145</f>
        <v>38996.986680161805</v>
      </c>
      <c r="G218" s="161"/>
      <c r="H218" s="161">
        <f>'Combined Sals'!M145</f>
        <v>29749.2727942601</v>
      </c>
      <c r="I218" s="161"/>
      <c r="J218" s="161">
        <f>'Combined Sals'!P145</f>
        <v>32652.85604045627</v>
      </c>
      <c r="K218" s="161"/>
      <c r="L218" s="161">
        <f>'Combined Sals'!S145</f>
        <v>0</v>
      </c>
      <c r="M218" s="161"/>
      <c r="N218" s="161">
        <f>'Combined Sals'!V145</f>
        <v>44917.86900034479</v>
      </c>
      <c r="O218" s="161"/>
      <c r="P218" s="151"/>
      <c r="Q218" s="151"/>
    </row>
    <row r="219" spans="1:17" ht="15">
      <c r="A219" s="169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51"/>
      <c r="Q219" s="151"/>
    </row>
    <row r="220" spans="1:17" ht="15">
      <c r="A220" s="169" t="s">
        <v>818</v>
      </c>
      <c r="B220" s="160">
        <f>'Combined Sals'!D10</f>
        <v>52779.10563786255</v>
      </c>
      <c r="C220" s="160"/>
      <c r="D220" s="160">
        <f>'Combined Sals'!G10</f>
        <v>42699.32959476511</v>
      </c>
      <c r="E220" s="160"/>
      <c r="F220" s="160">
        <f>'Combined Sals'!J10</f>
        <v>34908.778067451014</v>
      </c>
      <c r="G220" s="160"/>
      <c r="H220" s="160">
        <f>'Combined Sals'!M10</f>
        <v>27921.29644406781</v>
      </c>
      <c r="I220" s="160"/>
      <c r="J220" s="160">
        <f>'Combined Sals'!P10</f>
        <v>0</v>
      </c>
      <c r="K220" s="184"/>
      <c r="L220" s="160">
        <f>'Combined Sals'!S10</f>
        <v>0</v>
      </c>
      <c r="M220" s="184"/>
      <c r="N220" s="160">
        <f>'Combined Sals'!V10</f>
        <v>40598.54542198896</v>
      </c>
      <c r="O220" s="184"/>
      <c r="P220" s="151"/>
      <c r="Q220" s="151"/>
    </row>
    <row r="221" spans="1:17" ht="15">
      <c r="A221" s="169" t="s">
        <v>819</v>
      </c>
      <c r="B221" s="160">
        <f>'Combined Sals'!D19</f>
        <v>0</v>
      </c>
      <c r="C221" s="160"/>
      <c r="D221" s="160">
        <f>'Combined Sals'!G19</f>
        <v>0</v>
      </c>
      <c r="E221" s="160"/>
      <c r="F221" s="160">
        <f>'Combined Sals'!J19</f>
        <v>0</v>
      </c>
      <c r="G221" s="160"/>
      <c r="H221" s="160">
        <f>'Combined Sals'!M19</f>
        <v>0</v>
      </c>
      <c r="I221" s="160"/>
      <c r="J221" s="160">
        <f>'Combined Sals'!P19</f>
        <v>0</v>
      </c>
      <c r="K221" s="184"/>
      <c r="L221" s="160">
        <f>'Combined Sals'!S19</f>
        <v>0</v>
      </c>
      <c r="M221" s="160"/>
      <c r="N221" s="160">
        <f>'Combined Sals'!V19</f>
        <v>0</v>
      </c>
      <c r="O221" s="184"/>
      <c r="P221" s="151"/>
      <c r="Q221" s="151"/>
    </row>
    <row r="222" spans="1:17" ht="15">
      <c r="A222" s="169" t="s">
        <v>820</v>
      </c>
      <c r="B222" s="160">
        <f>'Combined Sals'!D28</f>
        <v>61011.5584415584</v>
      </c>
      <c r="C222" s="160"/>
      <c r="D222" s="160">
        <f>'Combined Sals'!G28</f>
        <v>47420.5229885057</v>
      </c>
      <c r="E222" s="160"/>
      <c r="F222" s="160">
        <f>'Combined Sals'!J28</f>
        <v>36825.6279069767</v>
      </c>
      <c r="G222" s="160"/>
      <c r="H222" s="160">
        <f>'Combined Sals'!M28</f>
        <v>30044.2413793103</v>
      </c>
      <c r="I222" s="160"/>
      <c r="J222" s="160">
        <f>'Combined Sals'!P28</f>
        <v>19109.3666666667</v>
      </c>
      <c r="K222" s="184"/>
      <c r="L222" s="160">
        <f>'Combined Sals'!S28</f>
        <v>0</v>
      </c>
      <c r="M222" s="160"/>
      <c r="N222" s="160">
        <f>'Combined Sals'!V28</f>
        <v>44722.459183673425</v>
      </c>
      <c r="O222" s="184"/>
      <c r="P222" s="151"/>
      <c r="Q222" s="151"/>
    </row>
    <row r="223" spans="1:17" ht="15">
      <c r="A223" s="169" t="s">
        <v>821</v>
      </c>
      <c r="B223" s="160">
        <f>'Combined Sals'!D37</f>
        <v>57145.5163636364</v>
      </c>
      <c r="C223" s="160"/>
      <c r="D223" s="160">
        <f>'Combined Sals'!G37</f>
        <v>48388.7541666667</v>
      </c>
      <c r="E223" s="160"/>
      <c r="F223" s="160">
        <f>'Combined Sals'!J37</f>
        <v>41859.0027700831</v>
      </c>
      <c r="G223" s="160"/>
      <c r="H223" s="160">
        <f>'Combined Sals'!M37</f>
        <v>32244.58</v>
      </c>
      <c r="I223" s="160"/>
      <c r="J223" s="160">
        <f>'Combined Sals'!P37</f>
        <v>0</v>
      </c>
      <c r="K223" s="184"/>
      <c r="L223" s="160">
        <f>'Combined Sals'!S37</f>
        <v>0</v>
      </c>
      <c r="M223" s="160"/>
      <c r="N223" s="160">
        <f>'Combined Sals'!V37</f>
        <v>47571.97300215985</v>
      </c>
      <c r="O223" s="184"/>
      <c r="P223" s="151"/>
      <c r="Q223" s="151"/>
    </row>
    <row r="224" spans="1:17" ht="15">
      <c r="A224" s="169" t="s">
        <v>822</v>
      </c>
      <c r="B224" s="160">
        <f>'Combined Sals'!D46</f>
        <v>55776</v>
      </c>
      <c r="C224" s="160"/>
      <c r="D224" s="160">
        <f>'Combined Sals'!G46</f>
        <v>43274</v>
      </c>
      <c r="E224" s="160"/>
      <c r="F224" s="160">
        <f>'Combined Sals'!J46</f>
        <v>36911</v>
      </c>
      <c r="G224" s="160"/>
      <c r="H224" s="160">
        <f>'Combined Sals'!M46</f>
        <v>25011</v>
      </c>
      <c r="I224" s="160"/>
      <c r="J224" s="160">
        <f>'Combined Sals'!P46</f>
        <v>0</v>
      </c>
      <c r="K224" s="184"/>
      <c r="L224" s="160">
        <f>'Combined Sals'!S46</f>
        <v>0</v>
      </c>
      <c r="M224" s="184"/>
      <c r="N224" s="160">
        <f>'Combined Sals'!V46</f>
        <v>41638.738170347</v>
      </c>
      <c r="O224" s="184"/>
      <c r="P224" s="151"/>
      <c r="Q224" s="151"/>
    </row>
    <row r="225" spans="1:17" ht="15">
      <c r="A225" s="169" t="s">
        <v>823</v>
      </c>
      <c r="B225" s="160">
        <f>'Combined Sals'!D55</f>
        <v>55057.7115384615</v>
      </c>
      <c r="C225" s="160"/>
      <c r="D225" s="160">
        <f>'Combined Sals'!G55</f>
        <v>45556.4349775785</v>
      </c>
      <c r="E225" s="160"/>
      <c r="F225" s="160">
        <f>'Combined Sals'!J55</f>
        <v>37225.1287356322</v>
      </c>
      <c r="G225" s="160"/>
      <c r="H225" s="160">
        <f>'Combined Sals'!M55</f>
        <v>28563.5384615385</v>
      </c>
      <c r="I225" s="160"/>
      <c r="J225" s="160">
        <f>'Combined Sals'!P55</f>
        <v>0</v>
      </c>
      <c r="K225" s="184"/>
      <c r="L225" s="160">
        <f>'Combined Sals'!S55</f>
        <v>0</v>
      </c>
      <c r="M225" s="184"/>
      <c r="N225" s="160">
        <f>'Combined Sals'!V55</f>
        <v>40036.75680421424</v>
      </c>
      <c r="O225" s="184"/>
      <c r="P225" s="151"/>
      <c r="Q225" s="151"/>
    </row>
    <row r="226" spans="1:17" ht="15">
      <c r="A226" s="169" t="s">
        <v>824</v>
      </c>
      <c r="B226" s="160">
        <f>'Combined Sals'!D64</f>
        <v>62632.803939472404</v>
      </c>
      <c r="C226" s="160"/>
      <c r="D226" s="160">
        <f>'Combined Sals'!G64</f>
        <v>50917.196379806286</v>
      </c>
      <c r="E226" s="160"/>
      <c r="F226" s="160">
        <f>'Combined Sals'!J64</f>
        <v>42230.32393280004</v>
      </c>
      <c r="G226" s="160"/>
      <c r="H226" s="160">
        <f>'Combined Sals'!M64</f>
        <v>36313.64636947369</v>
      </c>
      <c r="I226" s="160"/>
      <c r="J226" s="160">
        <f>'Combined Sals'!P64</f>
        <v>34420.66790084745</v>
      </c>
      <c r="K226" s="184"/>
      <c r="L226" s="160">
        <f>'Combined Sals'!S64</f>
        <v>0</v>
      </c>
      <c r="M226" s="160"/>
      <c r="N226" s="160">
        <f>'Combined Sals'!V64</f>
        <v>49678.243142776635</v>
      </c>
      <c r="O226" s="184"/>
      <c r="P226" s="151"/>
      <c r="Q226" s="151"/>
    </row>
    <row r="227" spans="1:17" ht="15">
      <c r="A227" s="169" t="s">
        <v>825</v>
      </c>
      <c r="B227" s="160">
        <f>'Combined Sals'!D73</f>
        <v>0</v>
      </c>
      <c r="C227" s="160"/>
      <c r="D227" s="160">
        <f>'Combined Sals'!G73</f>
        <v>0</v>
      </c>
      <c r="E227" s="160"/>
      <c r="F227" s="160">
        <f>'Combined Sals'!J73</f>
        <v>0</v>
      </c>
      <c r="G227" s="160"/>
      <c r="H227" s="160">
        <f>'Combined Sals'!M73</f>
        <v>0</v>
      </c>
      <c r="I227" s="160"/>
      <c r="J227" s="160">
        <f>'Combined Sals'!P73</f>
        <v>0</v>
      </c>
      <c r="K227" s="160"/>
      <c r="L227" s="160">
        <f>'Combined Sals'!S73</f>
        <v>0</v>
      </c>
      <c r="M227" s="160"/>
      <c r="N227" s="160">
        <f>'Combined Sals'!V73</f>
        <v>0</v>
      </c>
      <c r="O227" s="184"/>
      <c r="P227" s="151"/>
      <c r="Q227" s="151"/>
    </row>
    <row r="228" spans="1:17" ht="15">
      <c r="A228" s="169" t="s">
        <v>826</v>
      </c>
      <c r="B228" s="160">
        <f>'Combined Sals'!D82</f>
        <v>62472.89934679737</v>
      </c>
      <c r="C228" s="160"/>
      <c r="D228" s="160">
        <f>'Combined Sals'!G82</f>
        <v>49586.93468281403</v>
      </c>
      <c r="E228" s="160"/>
      <c r="F228" s="160">
        <f>'Combined Sals'!J82</f>
        <v>42991.5163240506</v>
      </c>
      <c r="G228" s="160"/>
      <c r="H228" s="160">
        <f>'Combined Sals'!M82</f>
        <v>30660.427799999998</v>
      </c>
      <c r="I228" s="160"/>
      <c r="J228" s="160">
        <f>'Combined Sals'!P82</f>
        <v>35572.085152105254</v>
      </c>
      <c r="K228" s="184"/>
      <c r="L228" s="160">
        <f>'Combined Sals'!S82</f>
        <v>0</v>
      </c>
      <c r="M228" s="160"/>
      <c r="N228" s="160">
        <f>'Combined Sals'!V82</f>
        <v>49228.700616779635</v>
      </c>
      <c r="O228" s="184"/>
      <c r="P228" s="151"/>
      <c r="Q228" s="151"/>
    </row>
    <row r="229" spans="1:17" ht="15">
      <c r="A229" s="169" t="s">
        <v>827</v>
      </c>
      <c r="B229" s="160">
        <f>'Combined Sals'!D91</f>
        <v>51793.57643063496</v>
      </c>
      <c r="C229" s="160"/>
      <c r="D229" s="160">
        <f>'Combined Sals'!G91</f>
        <v>44246.71835913046</v>
      </c>
      <c r="E229" s="160"/>
      <c r="F229" s="160">
        <f>'Combined Sals'!J91</f>
        <v>39270.41730600001</v>
      </c>
      <c r="G229" s="160"/>
      <c r="H229" s="160">
        <f>'Combined Sals'!M91</f>
        <v>32581.851018867914</v>
      </c>
      <c r="I229" s="160"/>
      <c r="J229" s="160">
        <f>'Combined Sals'!P91</f>
        <v>0</v>
      </c>
      <c r="K229" s="184"/>
      <c r="L229" s="160">
        <f>'Combined Sals'!S91</f>
        <v>0</v>
      </c>
      <c r="M229" s="160"/>
      <c r="N229" s="160">
        <f>'Combined Sals'!V91</f>
        <v>42011.63573607439</v>
      </c>
      <c r="O229" s="184"/>
      <c r="P229" s="151"/>
      <c r="Q229" s="151"/>
    </row>
    <row r="230" spans="1:17" ht="15">
      <c r="A230" s="169" t="s">
        <v>828</v>
      </c>
      <c r="B230" s="160">
        <f>'Combined Sals'!D100</f>
        <v>56258.3967583333</v>
      </c>
      <c r="C230" s="160"/>
      <c r="D230" s="160">
        <f>'Combined Sals'!G100</f>
        <v>46362.553276258004</v>
      </c>
      <c r="E230" s="160"/>
      <c r="F230" s="160">
        <f>'Combined Sals'!J100</f>
        <v>37246.02234588954</v>
      </c>
      <c r="G230" s="160"/>
      <c r="H230" s="160">
        <f>'Combined Sals'!M100</f>
        <v>20264.1851851852</v>
      </c>
      <c r="I230" s="160"/>
      <c r="J230" s="160">
        <f>'Combined Sals'!P100</f>
        <v>0</v>
      </c>
      <c r="K230" s="184"/>
      <c r="L230" s="160">
        <f>'Combined Sals'!S100</f>
        <v>0</v>
      </c>
      <c r="M230" s="160"/>
      <c r="N230" s="160">
        <f>'Combined Sals'!V100</f>
        <v>43802.79033049239</v>
      </c>
      <c r="O230" s="184"/>
      <c r="P230" s="151"/>
      <c r="Q230" s="151"/>
    </row>
    <row r="231" spans="1:17" ht="15">
      <c r="A231" s="169" t="s">
        <v>829</v>
      </c>
      <c r="B231" s="160">
        <f>'Combined Sals'!D109</f>
        <v>57275.17434679145</v>
      </c>
      <c r="C231" s="160"/>
      <c r="D231" s="160">
        <f>'Combined Sals'!G109</f>
        <v>44063.908128298775</v>
      </c>
      <c r="E231" s="160"/>
      <c r="F231" s="160">
        <f>'Combined Sals'!J109</f>
        <v>34235.844752388664</v>
      </c>
      <c r="G231" s="160"/>
      <c r="H231" s="160">
        <f>'Combined Sals'!M109</f>
        <v>28206.798588333288</v>
      </c>
      <c r="I231" s="160"/>
      <c r="J231" s="160">
        <f>'Combined Sals'!P109</f>
        <v>0</v>
      </c>
      <c r="K231" s="184"/>
      <c r="L231" s="160">
        <f>'Combined Sals'!S109</f>
        <v>0</v>
      </c>
      <c r="M231" s="160"/>
      <c r="N231" s="160">
        <f>'Combined Sals'!V109</f>
        <v>45989.55719857144</v>
      </c>
      <c r="O231" s="184"/>
      <c r="P231" s="151"/>
      <c r="Q231" s="151"/>
    </row>
    <row r="232" spans="1:17" ht="15">
      <c r="A232" s="169" t="s">
        <v>830</v>
      </c>
      <c r="B232" s="160">
        <f>'Combined Sals'!D118</f>
        <v>53145.868131868105</v>
      </c>
      <c r="C232" s="160"/>
      <c r="D232" s="160">
        <f>'Combined Sals'!G118</f>
        <v>46246.4555555556</v>
      </c>
      <c r="E232" s="160"/>
      <c r="F232" s="160">
        <f>'Combined Sals'!J118</f>
        <v>39155.4173228346</v>
      </c>
      <c r="G232" s="160"/>
      <c r="H232" s="160">
        <f>'Combined Sals'!M118</f>
        <v>31043.007751938</v>
      </c>
      <c r="I232" s="160"/>
      <c r="J232" s="160">
        <f>'Combined Sals'!P118</f>
        <v>28532.8</v>
      </c>
      <c r="K232" s="184"/>
      <c r="L232" s="160">
        <f>'Combined Sals'!S118</f>
        <v>0</v>
      </c>
      <c r="M232" s="184"/>
      <c r="N232" s="160">
        <f>'Combined Sals'!V118</f>
        <v>41979.33836477986</v>
      </c>
      <c r="O232" s="184"/>
      <c r="P232" s="151"/>
      <c r="Q232" s="151"/>
    </row>
    <row r="233" spans="1:17" ht="15">
      <c r="A233" s="169" t="s">
        <v>831</v>
      </c>
      <c r="B233" s="160">
        <f>'Combined Sals'!D127</f>
        <v>55781.515304769215</v>
      </c>
      <c r="C233" s="160"/>
      <c r="D233" s="160">
        <f>'Combined Sals'!G127</f>
        <v>49746.018428448246</v>
      </c>
      <c r="E233" s="160"/>
      <c r="F233" s="160">
        <f>'Combined Sals'!J127</f>
        <v>41021.33328700565</v>
      </c>
      <c r="G233" s="160"/>
      <c r="H233" s="160">
        <f>'Combined Sals'!M127</f>
        <v>32105.881111147515</v>
      </c>
      <c r="I233" s="160"/>
      <c r="J233" s="160">
        <f>'Combined Sals'!P127</f>
        <v>27325.838695000002</v>
      </c>
      <c r="K233" s="184"/>
      <c r="L233" s="160">
        <f>'Combined Sals'!S127</f>
        <v>0</v>
      </c>
      <c r="M233" s="160"/>
      <c r="N233" s="160">
        <f>'Combined Sals'!V127</f>
        <v>45800.55988049178</v>
      </c>
      <c r="O233" s="184"/>
      <c r="P233" s="151"/>
      <c r="Q233" s="151"/>
    </row>
    <row r="234" spans="1:17" ht="15">
      <c r="A234" s="165" t="s">
        <v>832</v>
      </c>
      <c r="B234" s="166">
        <f>'Combined Sals'!D136</f>
        <v>0</v>
      </c>
      <c r="C234" s="167"/>
      <c r="D234" s="166">
        <f>'Combined Sals'!G136</f>
        <v>0</v>
      </c>
      <c r="E234" s="167"/>
      <c r="F234" s="166">
        <f>'Combined Sals'!J136</f>
        <v>0</v>
      </c>
      <c r="G234" s="167"/>
      <c r="H234" s="166">
        <f>'Combined Sals'!M136</f>
        <v>0</v>
      </c>
      <c r="I234" s="167"/>
      <c r="J234" s="166">
        <f>'Combined Sals'!P136</f>
        <v>0</v>
      </c>
      <c r="K234" s="167"/>
      <c r="L234" s="166">
        <f>'Combined Sals'!S136</f>
        <v>0</v>
      </c>
      <c r="M234" s="167"/>
      <c r="N234" s="166">
        <f>'Combined Sals'!V136</f>
        <v>0</v>
      </c>
      <c r="O234" s="168"/>
      <c r="P234" s="151"/>
      <c r="Q234" s="151"/>
    </row>
    <row r="235" spans="1:17" ht="15">
      <c r="A235" s="169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51"/>
      <c r="Q235" s="151"/>
    </row>
    <row r="236" spans="1:17" ht="15">
      <c r="A236" s="185" t="s">
        <v>833</v>
      </c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6"/>
      <c r="N236" s="186"/>
      <c r="O236" s="184"/>
      <c r="P236" s="151"/>
      <c r="Q236" s="151"/>
    </row>
    <row r="237" spans="1:17" ht="15">
      <c r="A237" s="185" t="s">
        <v>834</v>
      </c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6"/>
      <c r="N237" s="186"/>
      <c r="O237" s="184"/>
      <c r="P237" s="151"/>
      <c r="Q237" s="151"/>
    </row>
    <row r="238" spans="1:17" ht="15">
      <c r="A238" s="185" t="s">
        <v>835</v>
      </c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6"/>
      <c r="N238" s="186"/>
      <c r="O238" s="184"/>
      <c r="P238" s="151"/>
      <c r="Q238" s="151"/>
    </row>
    <row r="239" spans="1:17" ht="15">
      <c r="A239" s="185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63"/>
      <c r="N239" s="163"/>
      <c r="O239" s="184"/>
      <c r="P239" s="151"/>
      <c r="Q239" s="151"/>
    </row>
    <row r="240" spans="1:17" ht="18">
      <c r="A240" s="149" t="s">
        <v>859</v>
      </c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51"/>
      <c r="Q240" s="151"/>
    </row>
    <row r="241" spans="1:17" ht="15">
      <c r="A241" s="126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51"/>
      <c r="Q241" s="151"/>
    </row>
    <row r="242" spans="1:17" ht="15">
      <c r="A242" s="126" t="s">
        <v>846</v>
      </c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51"/>
      <c r="Q242" s="151"/>
    </row>
    <row r="243" spans="1:17" ht="15">
      <c r="A243" s="126" t="s">
        <v>860</v>
      </c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51"/>
      <c r="Q243" s="151"/>
    </row>
    <row r="244" spans="1:17" ht="15">
      <c r="A244" s="126" t="s">
        <v>802</v>
      </c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51"/>
      <c r="Q244" s="151"/>
    </row>
    <row r="245" spans="1:17" ht="15">
      <c r="A245" s="126" t="s">
        <v>803</v>
      </c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51"/>
      <c r="Q245" s="151"/>
    </row>
    <row r="246" spans="1:17" ht="15">
      <c r="A246" s="126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51"/>
      <c r="Q246" s="151"/>
    </row>
    <row r="247" spans="1:17" ht="15">
      <c r="A247" s="200"/>
      <c r="B247" s="197" t="s">
        <v>847</v>
      </c>
      <c r="C247" s="198"/>
      <c r="D247" s="197" t="s">
        <v>713</v>
      </c>
      <c r="E247" s="198"/>
      <c r="F247" s="197" t="s">
        <v>714</v>
      </c>
      <c r="G247" s="198"/>
      <c r="H247" s="197" t="s">
        <v>715</v>
      </c>
      <c r="I247" s="198"/>
      <c r="J247" s="197" t="s">
        <v>848</v>
      </c>
      <c r="K247" s="198"/>
      <c r="L247" s="197" t="s">
        <v>849</v>
      </c>
      <c r="M247" s="198"/>
      <c r="N247" s="198" t="s">
        <v>850</v>
      </c>
      <c r="O247" s="198"/>
      <c r="P247" s="151"/>
      <c r="Q247" s="151"/>
    </row>
    <row r="248" spans="1:256" ht="15">
      <c r="A248" s="199"/>
      <c r="B248" s="194" t="s">
        <v>816</v>
      </c>
      <c r="C248" s="193" t="s">
        <v>810</v>
      </c>
      <c r="D248" s="194" t="s">
        <v>816</v>
      </c>
      <c r="E248" s="193" t="s">
        <v>810</v>
      </c>
      <c r="F248" s="194" t="s">
        <v>816</v>
      </c>
      <c r="G248" s="193" t="s">
        <v>810</v>
      </c>
      <c r="H248" s="194" t="s">
        <v>816</v>
      </c>
      <c r="I248" s="193" t="s">
        <v>810</v>
      </c>
      <c r="J248" s="194" t="s">
        <v>816</v>
      </c>
      <c r="K248" s="193" t="s">
        <v>810</v>
      </c>
      <c r="L248" s="194" t="s">
        <v>816</v>
      </c>
      <c r="M248" s="193" t="s">
        <v>810</v>
      </c>
      <c r="N248" s="194" t="s">
        <v>816</v>
      </c>
      <c r="O248" s="193" t="s">
        <v>810</v>
      </c>
      <c r="P248" s="203"/>
      <c r="Q248" s="203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</row>
    <row r="249" spans="1:17" ht="15">
      <c r="A249" s="169" t="s">
        <v>817</v>
      </c>
      <c r="B249" s="161">
        <f>'Combined Sals'!D146</f>
        <v>53862.974345319584</v>
      </c>
      <c r="C249" s="161"/>
      <c r="D249" s="161">
        <f>'Combined Sals'!G146</f>
        <v>45529.54514463831</v>
      </c>
      <c r="E249" s="161"/>
      <c r="F249" s="161">
        <f>'Combined Sals'!J146</f>
        <v>38561.211600280694</v>
      </c>
      <c r="G249" s="161"/>
      <c r="H249" s="161">
        <f>'Combined Sals'!M146</f>
        <v>30550.61456069323</v>
      </c>
      <c r="I249" s="161"/>
      <c r="J249" s="161">
        <f>'Combined Sals'!P146</f>
        <v>30989.412468955226</v>
      </c>
      <c r="K249" s="161"/>
      <c r="L249" s="161">
        <f>'Combined Sals'!S146</f>
        <v>0</v>
      </c>
      <c r="M249" s="161"/>
      <c r="N249" s="161">
        <f>'Combined Sals'!V146</f>
        <v>43408.095398961326</v>
      </c>
      <c r="O249" s="161"/>
      <c r="P249" s="151"/>
      <c r="Q249" s="151"/>
    </row>
    <row r="250" spans="1:17" ht="15">
      <c r="A250" s="169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51"/>
      <c r="Q250" s="151"/>
    </row>
    <row r="251" spans="1:17" ht="15">
      <c r="A251" s="169" t="s">
        <v>818</v>
      </c>
      <c r="B251" s="160">
        <f>'Combined Sals'!D11</f>
        <v>48725.09043750001</v>
      </c>
      <c r="C251" s="160"/>
      <c r="D251" s="160">
        <f>'Combined Sals'!G11</f>
        <v>42082.63434922079</v>
      </c>
      <c r="E251" s="160"/>
      <c r="F251" s="160">
        <f>'Combined Sals'!J11</f>
        <v>36563.016155024896</v>
      </c>
      <c r="G251" s="160"/>
      <c r="H251" s="160">
        <f>'Combined Sals'!M11</f>
        <v>30116.90429839083</v>
      </c>
      <c r="I251" s="160"/>
      <c r="J251" s="160">
        <f>'Combined Sals'!P11</f>
        <v>20990</v>
      </c>
      <c r="K251" s="184"/>
      <c r="L251" s="160">
        <f>'Combined Sals'!S11</f>
        <v>0</v>
      </c>
      <c r="M251" s="184"/>
      <c r="N251" s="160">
        <f>'Combined Sals'!V11</f>
        <v>39915.992599830526</v>
      </c>
      <c r="O251" s="184"/>
      <c r="P251" s="188"/>
      <c r="Q251" s="188"/>
    </row>
    <row r="252" spans="1:17" ht="15">
      <c r="A252" s="169" t="s">
        <v>819</v>
      </c>
      <c r="B252" s="160">
        <f>'Combined Sals'!D20</f>
        <v>49485.25146581556</v>
      </c>
      <c r="C252" s="160"/>
      <c r="D252" s="160">
        <f>'Combined Sals'!G20</f>
        <v>41851.05186916665</v>
      </c>
      <c r="E252" s="160"/>
      <c r="F252" s="160">
        <f>'Combined Sals'!J20</f>
        <v>36183.20728403507</v>
      </c>
      <c r="G252" s="160"/>
      <c r="H252" s="160">
        <f>'Combined Sals'!M20</f>
        <v>29381.082111153868</v>
      </c>
      <c r="I252" s="160"/>
      <c r="J252" s="160">
        <f>'Combined Sals'!P20</f>
        <v>0</v>
      </c>
      <c r="K252" s="184"/>
      <c r="L252" s="160">
        <f>'Combined Sals'!S20</f>
        <v>0</v>
      </c>
      <c r="M252" s="160"/>
      <c r="N252" s="160">
        <f>'Combined Sals'!V20</f>
        <v>41367.34772949</v>
      </c>
      <c r="O252" s="184"/>
      <c r="P252" s="188"/>
      <c r="Q252" s="188"/>
    </row>
    <row r="253" spans="1:17" ht="15">
      <c r="A253" s="169" t="s">
        <v>820</v>
      </c>
      <c r="B253" s="160">
        <f>'Combined Sals'!D29</f>
        <v>0</v>
      </c>
      <c r="C253" s="160"/>
      <c r="D253" s="160">
        <f>'Combined Sals'!G29</f>
        <v>0</v>
      </c>
      <c r="E253" s="160"/>
      <c r="F253" s="160">
        <f>'Combined Sals'!J29</f>
        <v>0</v>
      </c>
      <c r="G253" s="160"/>
      <c r="H253" s="160">
        <f>'Combined Sals'!M29</f>
        <v>0</v>
      </c>
      <c r="I253" s="160"/>
      <c r="J253" s="160">
        <f>'Combined Sals'!P29</f>
        <v>0</v>
      </c>
      <c r="K253" s="184"/>
      <c r="L253" s="160">
        <f>'Combined Sals'!S29</f>
        <v>0</v>
      </c>
      <c r="M253" s="160"/>
      <c r="N253" s="160">
        <f>'Combined Sals'!V29</f>
        <v>0</v>
      </c>
      <c r="O253" s="184"/>
      <c r="P253" s="188"/>
      <c r="Q253" s="188"/>
    </row>
    <row r="254" spans="1:17" ht="15">
      <c r="A254" s="169" t="s">
        <v>821</v>
      </c>
      <c r="B254" s="160">
        <f>'Combined Sals'!D38</f>
        <v>57867.3027888446</v>
      </c>
      <c r="C254" s="160"/>
      <c r="D254" s="160">
        <f>'Combined Sals'!G38</f>
        <v>50058.5501618123</v>
      </c>
      <c r="E254" s="160"/>
      <c r="F254" s="160">
        <f>'Combined Sals'!J38</f>
        <v>40500.6757493188</v>
      </c>
      <c r="G254" s="160"/>
      <c r="H254" s="160">
        <f>'Combined Sals'!M38</f>
        <v>33874.1590909091</v>
      </c>
      <c r="I254" s="160"/>
      <c r="J254" s="160">
        <f>'Combined Sals'!P38</f>
        <v>0</v>
      </c>
      <c r="K254" s="184"/>
      <c r="L254" s="160">
        <f>'Combined Sals'!S38</f>
        <v>0</v>
      </c>
      <c r="M254" s="160"/>
      <c r="N254" s="160">
        <f>'Combined Sals'!V38</f>
        <v>47731.20082389288</v>
      </c>
      <c r="O254" s="184"/>
      <c r="P254" s="188"/>
      <c r="Q254" s="188"/>
    </row>
    <row r="255" spans="1:17" ht="15">
      <c r="A255" s="169" t="s">
        <v>822</v>
      </c>
      <c r="B255" s="160">
        <f>'Combined Sals'!D47</f>
        <v>61614.17578571429</v>
      </c>
      <c r="C255" s="160"/>
      <c r="D255" s="160">
        <f>'Combined Sals'!G47</f>
        <v>45182.89915810345</v>
      </c>
      <c r="E255" s="160"/>
      <c r="F255" s="160">
        <f>'Combined Sals'!J47</f>
        <v>37731.39802631579</v>
      </c>
      <c r="G255" s="160"/>
      <c r="H255" s="160">
        <f>'Combined Sals'!M47</f>
        <v>27205</v>
      </c>
      <c r="I255" s="160"/>
      <c r="J255" s="160">
        <f>'Combined Sals'!P47</f>
        <v>25885.910929411766</v>
      </c>
      <c r="K255" s="184"/>
      <c r="L255" s="160">
        <f>'Combined Sals'!S47</f>
        <v>0</v>
      </c>
      <c r="M255" s="184"/>
      <c r="N255" s="160">
        <f>'Combined Sals'!V47</f>
        <v>44796.46080301588</v>
      </c>
      <c r="O255" s="184"/>
      <c r="P255" s="188"/>
      <c r="Q255" s="188"/>
    </row>
    <row r="256" spans="1:17" ht="15">
      <c r="A256" s="169" t="s">
        <v>823</v>
      </c>
      <c r="B256" s="160">
        <f>'Combined Sals'!D56</f>
        <v>53478.222972973</v>
      </c>
      <c r="C256" s="160"/>
      <c r="D256" s="160">
        <f>'Combined Sals'!G56</f>
        <v>43388.3178294574</v>
      </c>
      <c r="E256" s="160"/>
      <c r="F256" s="160">
        <f>'Combined Sals'!J56</f>
        <v>37181.1523809524</v>
      </c>
      <c r="G256" s="160"/>
      <c r="H256" s="160">
        <f>'Combined Sals'!M56</f>
        <v>28576.404040404</v>
      </c>
      <c r="I256" s="160"/>
      <c r="J256" s="160">
        <f>'Combined Sals'!P56</f>
        <v>0</v>
      </c>
      <c r="K256" s="184"/>
      <c r="L256" s="160">
        <f>'Combined Sals'!S56</f>
        <v>0</v>
      </c>
      <c r="M256" s="184"/>
      <c r="N256" s="160">
        <f>'Combined Sals'!V56</f>
        <v>41209.856655290125</v>
      </c>
      <c r="O256" s="184"/>
      <c r="P256" s="188"/>
      <c r="Q256" s="188"/>
    </row>
    <row r="257" spans="1:17" ht="15">
      <c r="A257" s="169" t="s">
        <v>824</v>
      </c>
      <c r="B257" s="160">
        <f>'Combined Sals'!D65</f>
        <v>56343.49055272725</v>
      </c>
      <c r="C257" s="160"/>
      <c r="D257" s="160">
        <f>'Combined Sals'!G65</f>
        <v>49513.562082399956</v>
      </c>
      <c r="E257" s="160"/>
      <c r="F257" s="160">
        <f>'Combined Sals'!J65</f>
        <v>42513.09387039996</v>
      </c>
      <c r="G257" s="160"/>
      <c r="H257" s="160">
        <f>'Combined Sals'!M65</f>
        <v>35218.9823414286</v>
      </c>
      <c r="I257" s="160"/>
      <c r="J257" s="160">
        <f>'Combined Sals'!P65</f>
        <v>31657.544414347838</v>
      </c>
      <c r="K257" s="184"/>
      <c r="L257" s="160">
        <f>'Combined Sals'!S65</f>
        <v>0</v>
      </c>
      <c r="M257" s="160"/>
      <c r="N257" s="160">
        <f>'Combined Sals'!V65</f>
        <v>44607.97471110234</v>
      </c>
      <c r="O257" s="184"/>
      <c r="P257" s="188"/>
      <c r="Q257" s="188"/>
    </row>
    <row r="258" spans="1:17" ht="15">
      <c r="A258" s="169" t="s">
        <v>825</v>
      </c>
      <c r="B258" s="160">
        <f>'Combined Sals'!D74</f>
        <v>48425.208363684214</v>
      </c>
      <c r="C258" s="160"/>
      <c r="D258" s="160">
        <f>'Combined Sals'!G74</f>
        <v>41733.96075894737</v>
      </c>
      <c r="E258" s="160"/>
      <c r="F258" s="160">
        <f>'Combined Sals'!J74</f>
        <v>38686.3127481553</v>
      </c>
      <c r="G258" s="160"/>
      <c r="H258" s="160">
        <f>'Combined Sals'!M74</f>
        <v>29236.743543055556</v>
      </c>
      <c r="I258" s="160"/>
      <c r="J258" s="160">
        <f>'Combined Sals'!P74</f>
        <v>0</v>
      </c>
      <c r="K258" s="160"/>
      <c r="L258" s="160">
        <f>'Combined Sals'!S74</f>
        <v>0</v>
      </c>
      <c r="M258" s="160"/>
      <c r="N258" s="160">
        <f>'Combined Sals'!V74</f>
        <v>40430.76666150288</v>
      </c>
      <c r="O258" s="184"/>
      <c r="P258" s="188"/>
      <c r="Q258" s="188"/>
    </row>
    <row r="259" spans="1:17" ht="15">
      <c r="A259" s="169" t="s">
        <v>826</v>
      </c>
      <c r="B259" s="160">
        <f>'Combined Sals'!D83</f>
        <v>64536.137153636366</v>
      </c>
      <c r="C259" s="160"/>
      <c r="D259" s="160">
        <f>'Combined Sals'!G83</f>
        <v>48998.996875</v>
      </c>
      <c r="E259" s="160"/>
      <c r="F259" s="160">
        <f>'Combined Sals'!J83</f>
        <v>40395.1875855814</v>
      </c>
      <c r="G259" s="160"/>
      <c r="H259" s="160">
        <f>'Combined Sals'!M83</f>
        <v>36410</v>
      </c>
      <c r="I259" s="160"/>
      <c r="J259" s="160">
        <f>'Combined Sals'!P83</f>
        <v>36377.99636363637</v>
      </c>
      <c r="K259" s="184"/>
      <c r="L259" s="160">
        <f>'Combined Sals'!S83</f>
        <v>0</v>
      </c>
      <c r="M259" s="160"/>
      <c r="N259" s="160">
        <f>'Combined Sals'!V83</f>
        <v>49074.73371286713</v>
      </c>
      <c r="O259" s="184"/>
      <c r="P259" s="188"/>
      <c r="Q259" s="188"/>
    </row>
    <row r="260" spans="1:17" ht="15">
      <c r="A260" s="169" t="s">
        <v>827</v>
      </c>
      <c r="B260" s="160">
        <f>'Combined Sals'!D92</f>
        <v>50085.65989206349</v>
      </c>
      <c r="C260" s="160"/>
      <c r="D260" s="160">
        <f>'Combined Sals'!G92</f>
        <v>43136.5555555556</v>
      </c>
      <c r="E260" s="160"/>
      <c r="F260" s="160">
        <f>'Combined Sals'!J92</f>
        <v>37853.1844660194</v>
      </c>
      <c r="G260" s="160"/>
      <c r="H260" s="160">
        <f>'Combined Sals'!M92</f>
        <v>31667.823243893774</v>
      </c>
      <c r="I260" s="160"/>
      <c r="J260" s="160">
        <f>'Combined Sals'!P92</f>
        <v>0</v>
      </c>
      <c r="K260" s="184"/>
      <c r="L260" s="160">
        <f>'Combined Sals'!S92</f>
        <v>0</v>
      </c>
      <c r="M260" s="160"/>
      <c r="N260" s="160">
        <f>'Combined Sals'!V92</f>
        <v>40408.24805236889</v>
      </c>
      <c r="O260" s="184"/>
      <c r="P260" s="188"/>
      <c r="Q260" s="188"/>
    </row>
    <row r="261" spans="1:17" ht="15">
      <c r="A261" s="169" t="s">
        <v>828</v>
      </c>
      <c r="B261" s="160">
        <f>'Combined Sals'!D101</f>
        <v>53365.39210310075</v>
      </c>
      <c r="C261" s="160"/>
      <c r="D261" s="160">
        <f>'Combined Sals'!G101</f>
        <v>45149.829745094365</v>
      </c>
      <c r="E261" s="160"/>
      <c r="F261" s="160">
        <f>'Combined Sals'!J101</f>
        <v>38325.93282799999</v>
      </c>
      <c r="G261" s="160"/>
      <c r="H261" s="160">
        <f>'Combined Sals'!M101</f>
        <v>30336.524755217368</v>
      </c>
      <c r="I261" s="160"/>
      <c r="J261" s="160">
        <f>'Combined Sals'!P101</f>
        <v>0</v>
      </c>
      <c r="K261" s="184"/>
      <c r="L261" s="160">
        <f>'Combined Sals'!S101</f>
        <v>0</v>
      </c>
      <c r="M261" s="160"/>
      <c r="N261" s="160">
        <f>'Combined Sals'!V101</f>
        <v>44123.6867379798</v>
      </c>
      <c r="O261" s="184"/>
      <c r="P261" s="188"/>
      <c r="Q261" s="188"/>
    </row>
    <row r="262" spans="1:17" ht="15">
      <c r="A262" s="169" t="s">
        <v>829</v>
      </c>
      <c r="B262" s="160">
        <f>'Combined Sals'!D110</f>
        <v>53704.64122078432</v>
      </c>
      <c r="C262" s="160"/>
      <c r="D262" s="160">
        <f>'Combined Sals'!G110</f>
        <v>43087.10423538461</v>
      </c>
      <c r="E262" s="160"/>
      <c r="F262" s="160">
        <f>'Combined Sals'!J110</f>
        <v>36322.29841111111</v>
      </c>
      <c r="G262" s="160"/>
      <c r="H262" s="160">
        <f>'Combined Sals'!M110</f>
        <v>31326.883525</v>
      </c>
      <c r="I262" s="160"/>
      <c r="J262" s="160">
        <f>'Combined Sals'!P110</f>
        <v>0</v>
      </c>
      <c r="K262" s="184"/>
      <c r="L262" s="160">
        <f>'Combined Sals'!S110</f>
        <v>0</v>
      </c>
      <c r="M262" s="160"/>
      <c r="N262" s="160">
        <f>'Combined Sals'!V110</f>
        <v>44964.01786017241</v>
      </c>
      <c r="O262" s="184"/>
      <c r="P262" s="188"/>
      <c r="Q262" s="188"/>
    </row>
    <row r="263" spans="1:17" ht="15">
      <c r="A263" s="169" t="s">
        <v>830</v>
      </c>
      <c r="B263" s="160">
        <f>'Combined Sals'!D119</f>
        <v>52823.0172413793</v>
      </c>
      <c r="C263" s="160"/>
      <c r="D263" s="160">
        <f>'Combined Sals'!G119</f>
        <v>46830.3888888889</v>
      </c>
      <c r="E263" s="160"/>
      <c r="F263" s="160">
        <f>'Combined Sals'!J119</f>
        <v>40242.94</v>
      </c>
      <c r="G263" s="160"/>
      <c r="H263" s="160">
        <f>'Combined Sals'!M119</f>
        <v>34532</v>
      </c>
      <c r="I263" s="160"/>
      <c r="J263" s="160">
        <f>'Combined Sals'!P119</f>
        <v>34887</v>
      </c>
      <c r="K263" s="184"/>
      <c r="L263" s="160">
        <f>'Combined Sals'!S119</f>
        <v>0</v>
      </c>
      <c r="M263" s="184"/>
      <c r="N263" s="160">
        <f>'Combined Sals'!V119</f>
        <v>43139.1593220339</v>
      </c>
      <c r="O263" s="184"/>
      <c r="P263" s="188"/>
      <c r="Q263" s="188"/>
    </row>
    <row r="264" spans="1:17" ht="15">
      <c r="A264" s="169" t="s">
        <v>831</v>
      </c>
      <c r="B264" s="160">
        <f>'Combined Sals'!D128</f>
        <v>58591</v>
      </c>
      <c r="C264" s="160"/>
      <c r="D264" s="160">
        <f>'Combined Sals'!G128</f>
        <v>47602</v>
      </c>
      <c r="E264" s="160"/>
      <c r="F264" s="160">
        <f>'Combined Sals'!J128</f>
        <v>39677</v>
      </c>
      <c r="G264" s="160"/>
      <c r="H264" s="160">
        <f>'Combined Sals'!M128</f>
        <v>33008</v>
      </c>
      <c r="I264" s="160"/>
      <c r="J264" s="160">
        <f>'Combined Sals'!P128</f>
        <v>0</v>
      </c>
      <c r="K264" s="184"/>
      <c r="L264" s="160">
        <f>'Combined Sals'!S128</f>
        <v>0</v>
      </c>
      <c r="M264" s="160"/>
      <c r="N264" s="160">
        <f>'Combined Sals'!V128</f>
        <v>46922.70886075949</v>
      </c>
      <c r="O264" s="184"/>
      <c r="P264" s="188"/>
      <c r="Q264" s="188"/>
    </row>
    <row r="265" spans="1:17" ht="15">
      <c r="A265" s="165" t="s">
        <v>832</v>
      </c>
      <c r="B265" s="166">
        <f>'Combined Sals'!D137</f>
        <v>0</v>
      </c>
      <c r="C265" s="167"/>
      <c r="D265" s="166">
        <f>'Combined Sals'!G137</f>
        <v>0</v>
      </c>
      <c r="E265" s="167"/>
      <c r="F265" s="166">
        <f>'Combined Sals'!J137</f>
        <v>0</v>
      </c>
      <c r="G265" s="167"/>
      <c r="H265" s="166">
        <f>'Combined Sals'!M137</f>
        <v>0</v>
      </c>
      <c r="I265" s="167"/>
      <c r="J265" s="166">
        <f>'Combined Sals'!P137</f>
        <v>0</v>
      </c>
      <c r="K265" s="167"/>
      <c r="L265" s="166">
        <f>'Combined Sals'!S137</f>
        <v>0</v>
      </c>
      <c r="M265" s="167"/>
      <c r="N265" s="166">
        <f>'Combined Sals'!V137</f>
        <v>0</v>
      </c>
      <c r="O265" s="168"/>
      <c r="P265" s="188"/>
      <c r="Q265" s="188"/>
    </row>
    <row r="266" spans="1:17" ht="15">
      <c r="A266" s="169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51"/>
      <c r="Q266" s="151"/>
    </row>
    <row r="267" spans="1:17" ht="13.5">
      <c r="A267" s="185" t="s">
        <v>833</v>
      </c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6"/>
      <c r="N267" s="186"/>
      <c r="O267" s="185"/>
      <c r="P267" s="151"/>
      <c r="Q267" s="151"/>
    </row>
    <row r="268" spans="1:17" ht="13.5">
      <c r="A268" s="185" t="s">
        <v>834</v>
      </c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6"/>
      <c r="N268" s="186"/>
      <c r="O268" s="185"/>
      <c r="P268" s="151"/>
      <c r="Q268" s="151"/>
    </row>
    <row r="269" spans="1:17" ht="13.5">
      <c r="A269" s="185" t="s">
        <v>835</v>
      </c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6"/>
      <c r="N269" s="186"/>
      <c r="O269" s="185"/>
      <c r="P269" s="151"/>
      <c r="Q269" s="151"/>
    </row>
    <row r="270" spans="1:17" ht="13.5">
      <c r="A270" s="185"/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63"/>
      <c r="N270" s="163"/>
      <c r="O270" s="185"/>
      <c r="P270" s="151"/>
      <c r="Q270" s="151"/>
    </row>
    <row r="271" spans="1:17" ht="18">
      <c r="A271" s="149" t="s">
        <v>861</v>
      </c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51"/>
      <c r="Q271" s="151"/>
    </row>
    <row r="272" spans="1:17" ht="15">
      <c r="A272" s="126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51"/>
      <c r="Q272" s="151"/>
    </row>
    <row r="273" spans="1:17" ht="15">
      <c r="A273" s="126" t="s">
        <v>846</v>
      </c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51"/>
      <c r="Q273" s="151"/>
    </row>
    <row r="274" spans="1:17" ht="15">
      <c r="A274" s="126" t="s">
        <v>862</v>
      </c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51"/>
      <c r="Q274" s="151"/>
    </row>
    <row r="275" spans="1:17" ht="15">
      <c r="A275" s="126" t="s">
        <v>802</v>
      </c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51"/>
      <c r="Q275" s="151"/>
    </row>
    <row r="276" spans="1:17" ht="15">
      <c r="A276" s="126" t="s">
        <v>803</v>
      </c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51"/>
      <c r="Q276" s="151"/>
    </row>
    <row r="277" spans="1:17" ht="15">
      <c r="A277" s="169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51"/>
      <c r="Q277" s="151"/>
    </row>
    <row r="278" spans="1:17" ht="15">
      <c r="A278" s="200"/>
      <c r="B278" s="204" t="s">
        <v>847</v>
      </c>
      <c r="C278" s="202"/>
      <c r="D278" s="204" t="s">
        <v>713</v>
      </c>
      <c r="E278" s="202"/>
      <c r="F278" s="204" t="s">
        <v>714</v>
      </c>
      <c r="G278" s="202"/>
      <c r="H278" s="204" t="s">
        <v>715</v>
      </c>
      <c r="I278" s="202"/>
      <c r="J278" s="204" t="s">
        <v>848</v>
      </c>
      <c r="K278" s="202"/>
      <c r="L278" s="204" t="s">
        <v>849</v>
      </c>
      <c r="M278" s="202"/>
      <c r="N278" s="202" t="s">
        <v>850</v>
      </c>
      <c r="O278" s="202"/>
      <c r="P278" s="151"/>
      <c r="Q278" s="151"/>
    </row>
    <row r="279" spans="1:17" ht="15">
      <c r="A279" s="199"/>
      <c r="B279" s="194" t="s">
        <v>816</v>
      </c>
      <c r="C279" s="193" t="s">
        <v>810</v>
      </c>
      <c r="D279" s="194" t="s">
        <v>816</v>
      </c>
      <c r="E279" s="193" t="s">
        <v>810</v>
      </c>
      <c r="F279" s="194" t="s">
        <v>816</v>
      </c>
      <c r="G279" s="193" t="s">
        <v>810</v>
      </c>
      <c r="H279" s="194" t="s">
        <v>816</v>
      </c>
      <c r="I279" s="193" t="s">
        <v>810</v>
      </c>
      <c r="J279" s="194" t="s">
        <v>816</v>
      </c>
      <c r="K279" s="193" t="s">
        <v>810</v>
      </c>
      <c r="L279" s="194" t="s">
        <v>816</v>
      </c>
      <c r="M279" s="193" t="s">
        <v>810</v>
      </c>
      <c r="N279" s="194" t="s">
        <v>816</v>
      </c>
      <c r="O279" s="193" t="s">
        <v>810</v>
      </c>
      <c r="P279" s="151"/>
      <c r="Q279" s="151"/>
    </row>
    <row r="280" spans="1:17" ht="15">
      <c r="A280" s="169" t="s">
        <v>817</v>
      </c>
      <c r="B280" s="161">
        <f>'Combined Sals'!D147</f>
        <v>52662.657533263344</v>
      </c>
      <c r="C280" s="161"/>
      <c r="D280" s="161">
        <f>'Combined Sals'!G147</f>
        <v>43836.75501076651</v>
      </c>
      <c r="E280" s="161"/>
      <c r="F280" s="161">
        <f>'Combined Sals'!J147</f>
        <v>37277.687477410866</v>
      </c>
      <c r="G280" s="161"/>
      <c r="H280" s="161">
        <f>'Combined Sals'!M147</f>
        <v>30799.173909722915</v>
      </c>
      <c r="I280" s="161"/>
      <c r="J280" s="161">
        <f>'Combined Sals'!P147</f>
        <v>34504.94653176468</v>
      </c>
      <c r="K280" s="161"/>
      <c r="L280" s="161">
        <f>'Combined Sals'!S147</f>
        <v>0</v>
      </c>
      <c r="M280" s="161"/>
      <c r="N280" s="161">
        <f>'Combined Sals'!V147</f>
        <v>42358.04748279703</v>
      </c>
      <c r="O280" s="161"/>
      <c r="P280" s="151"/>
      <c r="Q280" s="151"/>
    </row>
    <row r="281" spans="1:17" ht="15">
      <c r="A281" s="169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51"/>
      <c r="Q281" s="151"/>
    </row>
    <row r="282" spans="1:17" ht="15">
      <c r="A282" s="169" t="s">
        <v>818</v>
      </c>
      <c r="B282" s="160">
        <f>'Combined Sals'!D12</f>
        <v>51633.07965368421</v>
      </c>
      <c r="C282" s="160"/>
      <c r="D282" s="160">
        <f>'Combined Sals'!G12</f>
        <v>45856</v>
      </c>
      <c r="E282" s="160"/>
      <c r="F282" s="160">
        <f>'Combined Sals'!J12</f>
        <v>40761.384702352945</v>
      </c>
      <c r="G282" s="160"/>
      <c r="H282" s="160">
        <f>'Combined Sals'!M12</f>
        <v>36729.73656</v>
      </c>
      <c r="I282" s="160"/>
      <c r="J282" s="160">
        <f>'Combined Sals'!P12</f>
        <v>0</v>
      </c>
      <c r="K282" s="184"/>
      <c r="L282" s="160">
        <f>'Combined Sals'!S12</f>
        <v>0</v>
      </c>
      <c r="M282" s="184"/>
      <c r="N282" s="160">
        <f>'Combined Sals'!V12</f>
        <v>44576.687365915495</v>
      </c>
      <c r="O282" s="184"/>
      <c r="P282" s="151"/>
      <c r="Q282" s="151"/>
    </row>
    <row r="283" spans="1:17" ht="15">
      <c r="A283" s="169" t="s">
        <v>819</v>
      </c>
      <c r="B283" s="160">
        <f>'Combined Sals'!D21</f>
        <v>46819.570173</v>
      </c>
      <c r="C283" s="160"/>
      <c r="D283" s="160">
        <f>'Combined Sals'!G21</f>
        <v>41542.27303016396</v>
      </c>
      <c r="E283" s="160"/>
      <c r="F283" s="160">
        <f>'Combined Sals'!J21</f>
        <v>35625.18853500002</v>
      </c>
      <c r="G283" s="160"/>
      <c r="H283" s="160">
        <f>'Combined Sals'!M21</f>
        <v>28958.709477058794</v>
      </c>
      <c r="I283" s="160"/>
      <c r="J283" s="160">
        <f>'Combined Sals'!P21</f>
        <v>25349.28444</v>
      </c>
      <c r="K283" s="184"/>
      <c r="L283" s="160">
        <f>'Combined Sals'!S21</f>
        <v>0</v>
      </c>
      <c r="M283" s="160"/>
      <c r="N283" s="160">
        <f>'Combined Sals'!V21</f>
        <v>37599.508917879866</v>
      </c>
      <c r="O283" s="184"/>
      <c r="P283" s="151"/>
      <c r="Q283" s="151"/>
    </row>
    <row r="284" spans="1:17" ht="15">
      <c r="A284" s="169" t="s">
        <v>820</v>
      </c>
      <c r="B284" s="160">
        <f>'Combined Sals'!D30</f>
        <v>0</v>
      </c>
      <c r="C284" s="160"/>
      <c r="D284" s="160">
        <f>'Combined Sals'!G30</f>
        <v>0</v>
      </c>
      <c r="E284" s="160"/>
      <c r="F284" s="160">
        <f>'Combined Sals'!J30</f>
        <v>0</v>
      </c>
      <c r="G284" s="160"/>
      <c r="H284" s="160">
        <f>'Combined Sals'!M30</f>
        <v>0</v>
      </c>
      <c r="I284" s="160"/>
      <c r="J284" s="160">
        <f>'Combined Sals'!P30</f>
        <v>0</v>
      </c>
      <c r="K284" s="184"/>
      <c r="L284" s="160">
        <f>'Combined Sals'!S30</f>
        <v>0</v>
      </c>
      <c r="M284" s="160"/>
      <c r="N284" s="160">
        <f>'Combined Sals'!V30</f>
        <v>0</v>
      </c>
      <c r="O284" s="184"/>
      <c r="P284" s="151"/>
      <c r="Q284" s="151"/>
    </row>
    <row r="285" spans="1:17" ht="15">
      <c r="A285" s="169" t="s">
        <v>821</v>
      </c>
      <c r="B285" s="160">
        <f>'Combined Sals'!D39</f>
        <v>56479.2631578947</v>
      </c>
      <c r="C285" s="160"/>
      <c r="D285" s="160">
        <f>'Combined Sals'!G39</f>
        <v>46443.4850746269</v>
      </c>
      <c r="E285" s="160"/>
      <c r="F285" s="160">
        <f>'Combined Sals'!J39</f>
        <v>40761.0695187166</v>
      </c>
      <c r="G285" s="160"/>
      <c r="H285" s="160">
        <f>'Combined Sals'!M39</f>
        <v>35008.7916666667</v>
      </c>
      <c r="I285" s="160"/>
      <c r="J285" s="160">
        <f>'Combined Sals'!P39</f>
        <v>0</v>
      </c>
      <c r="K285" s="184"/>
      <c r="L285" s="160">
        <f>'Combined Sals'!S39</f>
        <v>0</v>
      </c>
      <c r="M285" s="160"/>
      <c r="N285" s="160">
        <f>'Combined Sals'!V39</f>
        <v>46023.080610021796</v>
      </c>
      <c r="O285" s="184"/>
      <c r="P285" s="151"/>
      <c r="Q285" s="151"/>
    </row>
    <row r="286" spans="1:17" ht="15">
      <c r="A286" s="169" t="s">
        <v>822</v>
      </c>
      <c r="B286" s="160">
        <f>'Combined Sals'!D48</f>
        <v>52313.990746206895</v>
      </c>
      <c r="C286" s="160"/>
      <c r="D286" s="160">
        <f>'Combined Sals'!G48</f>
        <v>44343.36335</v>
      </c>
      <c r="E286" s="160"/>
      <c r="F286" s="160">
        <f>'Combined Sals'!J48</f>
        <v>37540.59768875</v>
      </c>
      <c r="G286" s="160"/>
      <c r="H286" s="160">
        <f>'Combined Sals'!M48</f>
        <v>29544</v>
      </c>
      <c r="I286" s="160"/>
      <c r="J286" s="160">
        <f>'Combined Sals'!P48</f>
        <v>28730</v>
      </c>
      <c r="K286" s="184"/>
      <c r="L286" s="160">
        <f>'Combined Sals'!S48</f>
        <v>0</v>
      </c>
      <c r="M286" s="184"/>
      <c r="N286" s="160">
        <f>'Combined Sals'!V48</f>
        <v>42556.40910165289</v>
      </c>
      <c r="O286" s="184"/>
      <c r="P286" s="151"/>
      <c r="Q286" s="151"/>
    </row>
    <row r="287" spans="1:17" ht="15">
      <c r="A287" s="169" t="s">
        <v>823</v>
      </c>
      <c r="B287" s="160">
        <f>'Combined Sals'!D57</f>
        <v>0</v>
      </c>
      <c r="C287" s="160"/>
      <c r="D287" s="160">
        <f>'Combined Sals'!G57</f>
        <v>0</v>
      </c>
      <c r="E287" s="160"/>
      <c r="F287" s="160">
        <f>'Combined Sals'!J57</f>
        <v>0</v>
      </c>
      <c r="G287" s="160"/>
      <c r="H287" s="160">
        <f>'Combined Sals'!M57</f>
        <v>0</v>
      </c>
      <c r="I287" s="160"/>
      <c r="J287" s="160">
        <f>'Combined Sals'!P57</f>
        <v>0</v>
      </c>
      <c r="K287" s="184"/>
      <c r="L287" s="160">
        <f>'Combined Sals'!S57</f>
        <v>0</v>
      </c>
      <c r="M287" s="184"/>
      <c r="N287" s="160">
        <f>'Combined Sals'!V57</f>
        <v>0</v>
      </c>
      <c r="O287" s="184"/>
      <c r="P287" s="151"/>
      <c r="Q287" s="151"/>
    </row>
    <row r="288" spans="1:17" ht="15">
      <c r="A288" s="169" t="s">
        <v>824</v>
      </c>
      <c r="B288" s="160">
        <f>'Combined Sals'!D66</f>
        <v>68017.1</v>
      </c>
      <c r="C288" s="160"/>
      <c r="D288" s="160">
        <f>'Combined Sals'!G66</f>
        <v>53693.46875</v>
      </c>
      <c r="E288" s="160"/>
      <c r="F288" s="160">
        <f>'Combined Sals'!J66</f>
        <v>39203.1428571429</v>
      </c>
      <c r="G288" s="160"/>
      <c r="H288" s="160">
        <f>'Combined Sals'!M66</f>
        <v>34938.6</v>
      </c>
      <c r="I288" s="160"/>
      <c r="J288" s="160">
        <f>'Combined Sals'!P66</f>
        <v>0</v>
      </c>
      <c r="K288" s="184"/>
      <c r="L288" s="160">
        <f>'Combined Sals'!S66</f>
        <v>0</v>
      </c>
      <c r="M288" s="160"/>
      <c r="N288" s="160">
        <f>'Combined Sals'!V66</f>
        <v>51192.00917431194</v>
      </c>
      <c r="O288" s="184"/>
      <c r="P288" s="151"/>
      <c r="Q288" s="151"/>
    </row>
    <row r="289" spans="1:17" ht="15">
      <c r="A289" s="169" t="s">
        <v>825</v>
      </c>
      <c r="B289" s="160">
        <f>'Combined Sals'!D75</f>
        <v>46456.36156599999</v>
      </c>
      <c r="C289" s="160"/>
      <c r="D289" s="160">
        <f>'Combined Sals'!G75</f>
        <v>40537.306312352965</v>
      </c>
      <c r="E289" s="160"/>
      <c r="F289" s="160">
        <f>'Combined Sals'!J75</f>
        <v>33936.919863709656</v>
      </c>
      <c r="G289" s="160"/>
      <c r="H289" s="160">
        <f>'Combined Sals'!M75</f>
        <v>31746.469980975606</v>
      </c>
      <c r="I289" s="160"/>
      <c r="J289" s="160">
        <f>'Combined Sals'!P75</f>
        <v>0</v>
      </c>
      <c r="K289" s="160"/>
      <c r="L289" s="160">
        <f>'Combined Sals'!S75</f>
        <v>0</v>
      </c>
      <c r="M289" s="160"/>
      <c r="N289" s="160">
        <f>'Combined Sals'!V75</f>
        <v>36991.44508128513</v>
      </c>
      <c r="O289" s="184"/>
      <c r="P289" s="151"/>
      <c r="Q289" s="151"/>
    </row>
    <row r="290" spans="1:17" ht="15">
      <c r="A290" s="169" t="s">
        <v>826</v>
      </c>
      <c r="B290" s="160">
        <f>'Combined Sals'!D84</f>
        <v>57624.69356393439</v>
      </c>
      <c r="C290" s="160"/>
      <c r="D290" s="160">
        <f>'Combined Sals'!G84</f>
        <v>48997.81855603448</v>
      </c>
      <c r="E290" s="160"/>
      <c r="F290" s="160">
        <f>'Combined Sals'!J84</f>
        <v>39446.17268129033</v>
      </c>
      <c r="G290" s="160"/>
      <c r="H290" s="160">
        <f>'Combined Sals'!M84</f>
        <v>37201.3333333333</v>
      </c>
      <c r="I290" s="160"/>
      <c r="J290" s="160">
        <f>'Combined Sals'!P84</f>
        <v>39231.50398169488</v>
      </c>
      <c r="K290" s="184"/>
      <c r="L290" s="160">
        <f>'Combined Sals'!S84</f>
        <v>0</v>
      </c>
      <c r="M290" s="160"/>
      <c r="N290" s="160">
        <f>'Combined Sals'!V84</f>
        <v>47699.0585503258</v>
      </c>
      <c r="O290" s="184"/>
      <c r="P290" s="151"/>
      <c r="Q290" s="151"/>
    </row>
    <row r="291" spans="1:17" ht="15">
      <c r="A291" s="169" t="s">
        <v>827</v>
      </c>
      <c r="B291" s="160">
        <f>'Combined Sals'!D93</f>
        <v>45740.15858461541</v>
      </c>
      <c r="C291" s="160"/>
      <c r="D291" s="160">
        <f>'Combined Sals'!G93</f>
        <v>41576.720077966114</v>
      </c>
      <c r="E291" s="160"/>
      <c r="F291" s="160">
        <f>'Combined Sals'!J93</f>
        <v>35152.41817142854</v>
      </c>
      <c r="G291" s="160"/>
      <c r="H291" s="160">
        <f>'Combined Sals'!M93</f>
        <v>30696.48938387095</v>
      </c>
      <c r="I291" s="160"/>
      <c r="J291" s="160">
        <f>'Combined Sals'!P93</f>
        <v>0</v>
      </c>
      <c r="K291" s="184"/>
      <c r="L291" s="160">
        <f>'Combined Sals'!S93</f>
        <v>0</v>
      </c>
      <c r="M291" s="160"/>
      <c r="N291" s="160">
        <f>'Combined Sals'!V93</f>
        <v>36840.130128571414</v>
      </c>
      <c r="O291" s="184"/>
      <c r="P291" s="151"/>
      <c r="Q291" s="151"/>
    </row>
    <row r="292" spans="1:17" ht="15">
      <c r="A292" s="169" t="s">
        <v>828</v>
      </c>
      <c r="B292" s="160">
        <f>'Combined Sals'!D102</f>
        <v>53102.86327734941</v>
      </c>
      <c r="C292" s="160"/>
      <c r="D292" s="160">
        <f>'Combined Sals'!G102</f>
        <v>43345.262294642875</v>
      </c>
      <c r="E292" s="160"/>
      <c r="F292" s="160">
        <f>'Combined Sals'!J102</f>
        <v>38451.622546474864</v>
      </c>
      <c r="G292" s="160"/>
      <c r="H292" s="160">
        <f>'Combined Sals'!M102</f>
        <v>30075.857955942018</v>
      </c>
      <c r="I292" s="160"/>
      <c r="J292" s="160">
        <f>'Combined Sals'!P102</f>
        <v>32464.835314999975</v>
      </c>
      <c r="K292" s="184"/>
      <c r="L292" s="160">
        <f>'Combined Sals'!S102</f>
        <v>0</v>
      </c>
      <c r="M292" s="160"/>
      <c r="N292" s="160">
        <f>'Combined Sals'!V102</f>
        <v>43230.559609054566</v>
      </c>
      <c r="O292" s="184"/>
      <c r="P292" s="151"/>
      <c r="Q292" s="151"/>
    </row>
    <row r="293" spans="1:17" ht="15">
      <c r="A293" s="169" t="s">
        <v>829</v>
      </c>
      <c r="B293" s="160">
        <f>'Combined Sals'!D111</f>
        <v>0</v>
      </c>
      <c r="C293" s="160"/>
      <c r="D293" s="160">
        <f>'Combined Sals'!G111</f>
        <v>0</v>
      </c>
      <c r="E293" s="160"/>
      <c r="F293" s="160">
        <f>'Combined Sals'!J111</f>
        <v>0</v>
      </c>
      <c r="G293" s="160"/>
      <c r="H293" s="160">
        <f>'Combined Sals'!M111</f>
        <v>0</v>
      </c>
      <c r="I293" s="160"/>
      <c r="J293" s="160">
        <f>'Combined Sals'!P111</f>
        <v>0</v>
      </c>
      <c r="K293" s="184"/>
      <c r="L293" s="160">
        <f>'Combined Sals'!S111</f>
        <v>0</v>
      </c>
      <c r="M293" s="160"/>
      <c r="N293" s="160">
        <f>'Combined Sals'!V111</f>
        <v>0</v>
      </c>
      <c r="O293" s="184"/>
      <c r="P293" s="151"/>
      <c r="Q293" s="151"/>
    </row>
    <row r="294" spans="1:17" ht="15">
      <c r="A294" s="169" t="s">
        <v>830</v>
      </c>
      <c r="B294" s="160">
        <f>'Combined Sals'!D120</f>
        <v>58191.2258064516</v>
      </c>
      <c r="C294" s="160"/>
      <c r="D294" s="160">
        <f>'Combined Sals'!G120</f>
        <v>45435.7222222222</v>
      </c>
      <c r="E294" s="160"/>
      <c r="F294" s="160">
        <f>'Combined Sals'!J120</f>
        <v>38275.5873015873</v>
      </c>
      <c r="G294" s="160"/>
      <c r="H294" s="160">
        <f>'Combined Sals'!M120</f>
        <v>32371</v>
      </c>
      <c r="I294" s="160"/>
      <c r="J294" s="160">
        <f>'Combined Sals'!P120</f>
        <v>31883.8095238095</v>
      </c>
      <c r="K294" s="184"/>
      <c r="L294" s="160">
        <f>'Combined Sals'!S120</f>
        <v>0</v>
      </c>
      <c r="M294" s="184"/>
      <c r="N294" s="160">
        <f>'Combined Sals'!V120</f>
        <v>41424.83913043477</v>
      </c>
      <c r="O294" s="184"/>
      <c r="P294" s="151"/>
      <c r="Q294" s="151"/>
    </row>
    <row r="295" spans="1:17" ht="15">
      <c r="A295" s="169" t="s">
        <v>831</v>
      </c>
      <c r="B295" s="160">
        <f>'Combined Sals'!D129</f>
        <v>57601.60458992366</v>
      </c>
      <c r="C295" s="160"/>
      <c r="D295" s="160">
        <f>'Combined Sals'!G129</f>
        <v>47615.691472156825</v>
      </c>
      <c r="E295" s="160"/>
      <c r="F295" s="160">
        <f>'Combined Sals'!J129</f>
        <v>39145.038270676734</v>
      </c>
      <c r="G295" s="160"/>
      <c r="H295" s="160">
        <f>'Combined Sals'!M129</f>
        <v>34098.8235294118</v>
      </c>
      <c r="I295" s="160"/>
      <c r="J295" s="160">
        <f>'Combined Sals'!P129</f>
        <v>33005.192</v>
      </c>
      <c r="K295" s="184"/>
      <c r="L295" s="160">
        <f>'Combined Sals'!S129</f>
        <v>0</v>
      </c>
      <c r="M295" s="160"/>
      <c r="N295" s="160">
        <f>'Combined Sals'!V129</f>
        <v>46805.172809552234</v>
      </c>
      <c r="O295" s="184"/>
      <c r="P295" s="151"/>
      <c r="Q295" s="151"/>
    </row>
    <row r="296" spans="1:17" ht="15">
      <c r="A296" s="165" t="s">
        <v>832</v>
      </c>
      <c r="B296" s="166">
        <f>'Combined Sals'!D138</f>
        <v>47025.627102962964</v>
      </c>
      <c r="C296" s="167"/>
      <c r="D296" s="166">
        <f>'Combined Sals'!G138</f>
        <v>39443.13972026139</v>
      </c>
      <c r="E296" s="167"/>
      <c r="F296" s="166">
        <f>'Combined Sals'!J138</f>
        <v>34140.21622511626</v>
      </c>
      <c r="G296" s="167"/>
      <c r="H296" s="166">
        <f>'Combined Sals'!M138</f>
        <v>29660.019118924734</v>
      </c>
      <c r="I296" s="167"/>
      <c r="J296" s="166">
        <f>'Combined Sals'!P138</f>
        <v>32424.76725499997</v>
      </c>
      <c r="K296" s="167"/>
      <c r="L296" s="166">
        <f>'Combined Sals'!S138</f>
        <v>0</v>
      </c>
      <c r="M296" s="167"/>
      <c r="N296" s="166">
        <f>'Combined Sals'!V138</f>
        <v>39079.3996950371</v>
      </c>
      <c r="O296" s="168"/>
      <c r="P296" s="151"/>
      <c r="Q296" s="151"/>
    </row>
    <row r="297" spans="1:17" ht="15">
      <c r="A297" s="169"/>
      <c r="B297" s="160"/>
      <c r="C297" s="160"/>
      <c r="D297" s="160"/>
      <c r="E297" s="160"/>
      <c r="F297" s="160"/>
      <c r="G297" s="160"/>
      <c r="H297" s="160"/>
      <c r="I297" s="160"/>
      <c r="J297" s="160"/>
      <c r="K297" s="184"/>
      <c r="L297" s="160"/>
      <c r="M297" s="160"/>
      <c r="N297" s="160"/>
      <c r="O297" s="184"/>
      <c r="P297" s="151"/>
      <c r="Q297" s="151"/>
    </row>
    <row r="298" spans="1:17" ht="15">
      <c r="A298" s="185" t="s">
        <v>833</v>
      </c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6"/>
      <c r="N298" s="186"/>
      <c r="O298" s="184"/>
      <c r="P298" s="151"/>
      <c r="Q298" s="151"/>
    </row>
    <row r="299" spans="1:17" ht="15">
      <c r="A299" s="185" t="s">
        <v>834</v>
      </c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6"/>
      <c r="N299" s="186"/>
      <c r="O299" s="184"/>
      <c r="P299" s="151"/>
      <c r="Q299" s="151"/>
    </row>
    <row r="300" spans="1:17" ht="15">
      <c r="A300" s="185" t="s">
        <v>835</v>
      </c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6"/>
      <c r="N300" s="186"/>
      <c r="O300" s="184"/>
      <c r="P300" s="151"/>
      <c r="Q300" s="151"/>
    </row>
    <row r="301" spans="1:17" ht="15">
      <c r="A301" s="185"/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63"/>
      <c r="N301" s="163"/>
      <c r="O301" s="184"/>
      <c r="P301" s="151"/>
      <c r="Q301" s="151"/>
    </row>
    <row r="302" spans="1:17" ht="18">
      <c r="A302" s="149" t="s">
        <v>863</v>
      </c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51"/>
      <c r="Q302" s="151"/>
    </row>
    <row r="303" spans="1:17" ht="2.25" customHeight="1">
      <c r="A303" s="126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51"/>
      <c r="Q303" s="151"/>
    </row>
    <row r="304" spans="1:17" ht="15">
      <c r="A304" s="126" t="s">
        <v>846</v>
      </c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51"/>
      <c r="Q304" s="151"/>
    </row>
    <row r="305" spans="1:17" ht="15">
      <c r="A305" s="126" t="s">
        <v>864</v>
      </c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51"/>
      <c r="Q305" s="151"/>
    </row>
    <row r="306" spans="1:17" ht="15">
      <c r="A306" s="126" t="s">
        <v>802</v>
      </c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51"/>
      <c r="Q306" s="151"/>
    </row>
    <row r="307" spans="1:17" ht="15">
      <c r="A307" s="126" t="s">
        <v>803</v>
      </c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51"/>
      <c r="Q307" s="151"/>
    </row>
    <row r="308" spans="1:17" ht="2.25" customHeight="1">
      <c r="A308" s="20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51"/>
      <c r="Q308" s="151"/>
    </row>
    <row r="309" spans="1:17" ht="15">
      <c r="A309" s="200"/>
      <c r="B309" s="197" t="s">
        <v>847</v>
      </c>
      <c r="C309" s="198"/>
      <c r="D309" s="197" t="s">
        <v>713</v>
      </c>
      <c r="E309" s="198"/>
      <c r="F309" s="197" t="s">
        <v>714</v>
      </c>
      <c r="G309" s="198"/>
      <c r="H309" s="197" t="s">
        <v>715</v>
      </c>
      <c r="I309" s="198"/>
      <c r="J309" s="197" t="s">
        <v>848</v>
      </c>
      <c r="K309" s="198"/>
      <c r="L309" s="197" t="s">
        <v>849</v>
      </c>
      <c r="M309" s="198"/>
      <c r="N309" s="198" t="s">
        <v>850</v>
      </c>
      <c r="O309" s="198"/>
      <c r="P309" s="177"/>
      <c r="Q309" s="151"/>
    </row>
    <row r="310" spans="1:17" ht="15">
      <c r="A310" s="199"/>
      <c r="B310" s="194" t="s">
        <v>816</v>
      </c>
      <c r="C310" s="193" t="s">
        <v>810</v>
      </c>
      <c r="D310" s="194" t="s">
        <v>816</v>
      </c>
      <c r="E310" s="193" t="s">
        <v>810</v>
      </c>
      <c r="F310" s="194" t="s">
        <v>816</v>
      </c>
      <c r="G310" s="193" t="s">
        <v>810</v>
      </c>
      <c r="H310" s="194" t="s">
        <v>816</v>
      </c>
      <c r="I310" s="193" t="s">
        <v>810</v>
      </c>
      <c r="J310" s="194" t="s">
        <v>816</v>
      </c>
      <c r="K310" s="193" t="s">
        <v>810</v>
      </c>
      <c r="L310" s="194" t="s">
        <v>816</v>
      </c>
      <c r="M310" s="193" t="s">
        <v>810</v>
      </c>
      <c r="N310" s="194" t="s">
        <v>816</v>
      </c>
      <c r="O310" s="193" t="s">
        <v>810</v>
      </c>
      <c r="P310" s="177"/>
      <c r="Q310" s="151"/>
    </row>
    <row r="311" spans="1:17" ht="15">
      <c r="A311" s="169" t="s">
        <v>817</v>
      </c>
      <c r="B311" s="206">
        <f>'Combined Sals'!D149</f>
        <v>50736.372554837704</v>
      </c>
      <c r="C311" s="206"/>
      <c r="D311" s="206">
        <f>'Combined Sals'!G149</f>
        <v>41064.808101440896</v>
      </c>
      <c r="E311" s="206"/>
      <c r="F311" s="206">
        <f>'Combined Sals'!J149</f>
        <v>35999.39729381911</v>
      </c>
      <c r="G311" s="206"/>
      <c r="H311" s="206">
        <f>'Combined Sals'!M149</f>
        <v>30976.62087043222</v>
      </c>
      <c r="I311" s="206"/>
      <c r="J311" s="206">
        <f>'Combined Sals'!P149</f>
        <v>33692.44474251329</v>
      </c>
      <c r="K311" s="206"/>
      <c r="L311" s="206">
        <f>'Combined Sals'!S149</f>
        <v>36922.10470771835</v>
      </c>
      <c r="M311" s="206"/>
      <c r="N311" s="206">
        <f>'Combined Sals'!V149</f>
        <v>37640.15432394004</v>
      </c>
      <c r="O311" s="162"/>
      <c r="P311" s="151"/>
      <c r="Q311" s="151"/>
    </row>
    <row r="312" spans="1:17" ht="15">
      <c r="A312" s="169"/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63"/>
      <c r="P312" s="151"/>
      <c r="Q312" s="151"/>
    </row>
    <row r="313" spans="1:17" ht="15">
      <c r="A313" s="169" t="s">
        <v>818</v>
      </c>
      <c r="B313" s="189">
        <f>'Combined Sals'!D14</f>
        <v>0</v>
      </c>
      <c r="C313" s="189"/>
      <c r="D313" s="189">
        <f>'Combined Sals'!G14</f>
        <v>0</v>
      </c>
      <c r="E313" s="189"/>
      <c r="F313" s="189">
        <f>'Combined Sals'!J14</f>
        <v>0</v>
      </c>
      <c r="G313" s="189"/>
      <c r="H313" s="189">
        <f>'Combined Sals'!M14</f>
        <v>0</v>
      </c>
      <c r="I313" s="189"/>
      <c r="J313" s="189">
        <f>'Combined Sals'!P14</f>
        <v>0</v>
      </c>
      <c r="K313" s="190"/>
      <c r="L313" s="189">
        <f>'Combined Sals'!S14</f>
        <v>38213.75068888102</v>
      </c>
      <c r="M313" s="190"/>
      <c r="N313" s="189">
        <f>'Combined Sals'!V14</f>
        <v>38213.75068888102</v>
      </c>
      <c r="O313" s="163"/>
      <c r="P313" s="151"/>
      <c r="Q313" s="151"/>
    </row>
    <row r="314" spans="1:17" ht="15">
      <c r="A314" s="169" t="s">
        <v>819</v>
      </c>
      <c r="B314" s="189">
        <f>'Combined Sals'!D23</f>
        <v>0</v>
      </c>
      <c r="C314" s="189"/>
      <c r="D314" s="189">
        <f>'Combined Sals'!G23</f>
        <v>0</v>
      </c>
      <c r="E314" s="189"/>
      <c r="F314" s="189">
        <f>'Combined Sals'!J23</f>
        <v>0</v>
      </c>
      <c r="G314" s="189"/>
      <c r="H314" s="189">
        <f>'Combined Sals'!M23</f>
        <v>0</v>
      </c>
      <c r="I314" s="189"/>
      <c r="J314" s="189">
        <f>'Combined Sals'!P23</f>
        <v>0</v>
      </c>
      <c r="K314" s="190"/>
      <c r="L314" s="189">
        <f>'Combined Sals'!S23</f>
        <v>32879.834761798265</v>
      </c>
      <c r="M314" s="189"/>
      <c r="N314" s="189">
        <f>'Combined Sals'!V23</f>
        <v>32879.834761798265</v>
      </c>
      <c r="O314" s="163"/>
      <c r="P314" s="151"/>
      <c r="Q314" s="151"/>
    </row>
    <row r="315" spans="1:17" ht="15">
      <c r="A315" s="169" t="s">
        <v>820</v>
      </c>
      <c r="B315" s="189">
        <f>'Combined Sals'!D32</f>
        <v>0</v>
      </c>
      <c r="C315" s="189"/>
      <c r="D315" s="189">
        <f>'Combined Sals'!G32</f>
        <v>0</v>
      </c>
      <c r="E315" s="189"/>
      <c r="F315" s="189">
        <f>'Combined Sals'!J32</f>
        <v>0</v>
      </c>
      <c r="G315" s="189"/>
      <c r="H315" s="189">
        <f>'Combined Sals'!M32</f>
        <v>0</v>
      </c>
      <c r="I315" s="189"/>
      <c r="J315" s="189">
        <f>'Combined Sals'!P32</f>
        <v>0</v>
      </c>
      <c r="K315" s="190"/>
      <c r="L315" s="189">
        <f>'Combined Sals'!S32</f>
        <v>39147.9190371991</v>
      </c>
      <c r="M315" s="189"/>
      <c r="N315" s="189">
        <f>'Combined Sals'!V32</f>
        <v>39147.9190371991</v>
      </c>
      <c r="O315" s="163"/>
      <c r="P315" s="151"/>
      <c r="Q315" s="151"/>
    </row>
    <row r="316" spans="1:17" ht="15">
      <c r="A316" s="169" t="s">
        <v>821</v>
      </c>
      <c r="B316" s="189">
        <f>'Combined Sals'!D41</f>
        <v>50808.1472392638</v>
      </c>
      <c r="C316" s="189"/>
      <c r="D316" s="189">
        <f>'Combined Sals'!G41</f>
        <v>44306.2526690391</v>
      </c>
      <c r="E316" s="189"/>
      <c r="F316" s="189">
        <f>'Combined Sals'!J41</f>
        <v>37910.5512572534</v>
      </c>
      <c r="G316" s="189"/>
      <c r="H316" s="189">
        <f>'Combined Sals'!M41</f>
        <v>33468.3142857143</v>
      </c>
      <c r="I316" s="189"/>
      <c r="J316" s="189">
        <f>'Combined Sals'!P41</f>
        <v>0</v>
      </c>
      <c r="K316" s="190"/>
      <c r="L316" s="189">
        <f>'Combined Sals'!S41</f>
        <v>0</v>
      </c>
      <c r="M316" s="189"/>
      <c r="N316" s="189">
        <f>'Combined Sals'!V41</f>
        <v>40887.46957311534</v>
      </c>
      <c r="O316" s="163"/>
      <c r="P316" s="151"/>
      <c r="Q316" s="151"/>
    </row>
    <row r="317" spans="1:17" ht="15">
      <c r="A317" s="169" t="s">
        <v>822</v>
      </c>
      <c r="B317" s="189">
        <f>'Combined Sals'!D50</f>
        <v>45885.11913170732</v>
      </c>
      <c r="C317" s="189"/>
      <c r="D317" s="189">
        <f>'Combined Sals'!G50</f>
        <v>35940.1727392258</v>
      </c>
      <c r="E317" s="189"/>
      <c r="F317" s="189">
        <f>'Combined Sals'!J50</f>
        <v>32355.108259636363</v>
      </c>
      <c r="G317" s="189"/>
      <c r="H317" s="189">
        <f>'Combined Sals'!M50</f>
        <v>29254.902265</v>
      </c>
      <c r="I317" s="189"/>
      <c r="J317" s="189">
        <f>'Combined Sals'!P50</f>
        <v>0</v>
      </c>
      <c r="K317" s="190"/>
      <c r="L317" s="189">
        <f>'Combined Sals'!S50</f>
        <v>0</v>
      </c>
      <c r="M317" s="190"/>
      <c r="N317" s="189">
        <f>'Combined Sals'!V50</f>
        <v>36709.17502990456</v>
      </c>
      <c r="O317" s="163"/>
      <c r="P317" s="151"/>
      <c r="Q317" s="151"/>
    </row>
    <row r="318" spans="1:17" ht="15">
      <c r="A318" s="169" t="s">
        <v>823</v>
      </c>
      <c r="B318" s="189">
        <f>'Combined Sals'!D59</f>
        <v>47762.25</v>
      </c>
      <c r="C318" s="189"/>
      <c r="D318" s="189">
        <f>'Combined Sals'!G59</f>
        <v>39748.9496855346</v>
      </c>
      <c r="E318" s="189"/>
      <c r="F318" s="189">
        <f>'Combined Sals'!J59</f>
        <v>33555.1726190476</v>
      </c>
      <c r="G318" s="189"/>
      <c r="H318" s="189">
        <f>'Combined Sals'!M59</f>
        <v>28141.561855670105</v>
      </c>
      <c r="I318" s="189"/>
      <c r="J318" s="189">
        <f>'Combined Sals'!P59</f>
        <v>0</v>
      </c>
      <c r="K318" s="190"/>
      <c r="L318" s="189">
        <f>'Combined Sals'!S59</f>
        <v>0</v>
      </c>
      <c r="M318" s="190"/>
      <c r="N318" s="189">
        <f>'Combined Sals'!V59</f>
        <v>35254.18090452261</v>
      </c>
      <c r="O318" s="163"/>
      <c r="P318" s="151"/>
      <c r="Q318" s="151"/>
    </row>
    <row r="319" spans="1:17" ht="15">
      <c r="A319" s="169" t="s">
        <v>824</v>
      </c>
      <c r="B319" s="189">
        <f>'Combined Sals'!D68</f>
        <v>55900.98644943398</v>
      </c>
      <c r="C319" s="189"/>
      <c r="D319" s="189">
        <f>'Combined Sals'!G68</f>
        <v>45677.96684346227</v>
      </c>
      <c r="E319" s="189"/>
      <c r="F319" s="189">
        <f>'Combined Sals'!J68</f>
        <v>37670.182529789025</v>
      </c>
      <c r="G319" s="189"/>
      <c r="H319" s="189">
        <f>'Combined Sals'!M68</f>
        <v>31902.276015905554</v>
      </c>
      <c r="I319" s="189"/>
      <c r="J319" s="189">
        <f>'Combined Sals'!P68</f>
        <v>34198.79703000008</v>
      </c>
      <c r="K319" s="190"/>
      <c r="L319" s="189">
        <f>'Combined Sals'!S68</f>
        <v>0</v>
      </c>
      <c r="M319" s="189"/>
      <c r="N319" s="189">
        <f>'Combined Sals'!V68</f>
        <v>46680.35251790306</v>
      </c>
      <c r="O319" s="163"/>
      <c r="P319" s="151"/>
      <c r="Q319" s="151"/>
    </row>
    <row r="320" spans="1:17" ht="15">
      <c r="A320" s="169" t="s">
        <v>825</v>
      </c>
      <c r="B320" s="189">
        <f>'Combined Sals'!D77</f>
        <v>0</v>
      </c>
      <c r="C320" s="189"/>
      <c r="D320" s="189">
        <f>'Combined Sals'!G77</f>
        <v>0</v>
      </c>
      <c r="E320" s="189"/>
      <c r="F320" s="189">
        <f>'Combined Sals'!J77</f>
        <v>0</v>
      </c>
      <c r="G320" s="189"/>
      <c r="H320" s="189">
        <f>'Combined Sals'!M77</f>
        <v>0</v>
      </c>
      <c r="I320" s="189"/>
      <c r="J320" s="189">
        <f>'Combined Sals'!P77</f>
        <v>0</v>
      </c>
      <c r="K320" s="189"/>
      <c r="L320" s="189">
        <f>'Combined Sals'!S77</f>
        <v>36880.277422996835</v>
      </c>
      <c r="M320" s="189"/>
      <c r="N320" s="189">
        <f>'Combined Sals'!V77</f>
        <v>36880.277422996835</v>
      </c>
      <c r="O320" s="163"/>
      <c r="P320" s="151"/>
      <c r="Q320" s="151"/>
    </row>
    <row r="321" spans="1:17" ht="15">
      <c r="A321" s="169" t="s">
        <v>826</v>
      </c>
      <c r="B321" s="189">
        <f>'Combined Sals'!D86</f>
        <v>0</v>
      </c>
      <c r="C321" s="189"/>
      <c r="D321" s="189">
        <f>'Combined Sals'!G86</f>
        <v>0</v>
      </c>
      <c r="E321" s="189"/>
      <c r="F321" s="189">
        <f>'Combined Sals'!J86</f>
        <v>0</v>
      </c>
      <c r="G321" s="189"/>
      <c r="H321" s="189">
        <f>'Combined Sals'!M86</f>
        <v>0</v>
      </c>
      <c r="I321" s="189"/>
      <c r="J321" s="189">
        <f>'Combined Sals'!P86</f>
        <v>0</v>
      </c>
      <c r="K321" s="190"/>
      <c r="L321" s="189">
        <f>'Combined Sals'!S86</f>
        <v>32205.7891207154</v>
      </c>
      <c r="M321" s="189"/>
      <c r="N321" s="189">
        <f>'Combined Sals'!V86</f>
        <v>32205.7891207154</v>
      </c>
      <c r="O321" s="163"/>
      <c r="P321" s="151"/>
      <c r="Q321" s="151"/>
    </row>
    <row r="322" spans="1:17" ht="15">
      <c r="A322" s="169" t="s">
        <v>827</v>
      </c>
      <c r="B322" s="189">
        <f>'Combined Sals'!D95</f>
        <v>0</v>
      </c>
      <c r="C322" s="189"/>
      <c r="D322" s="189">
        <f>'Combined Sals'!G95</f>
        <v>0</v>
      </c>
      <c r="E322" s="189"/>
      <c r="F322" s="189">
        <f>'Combined Sals'!J95</f>
        <v>0</v>
      </c>
      <c r="G322" s="189"/>
      <c r="H322" s="189">
        <f>'Combined Sals'!M95</f>
        <v>0</v>
      </c>
      <c r="I322" s="189"/>
      <c r="J322" s="189">
        <f>'Combined Sals'!P95</f>
        <v>0</v>
      </c>
      <c r="K322" s="190"/>
      <c r="L322" s="189">
        <f>'Combined Sals'!S95</f>
        <v>36632.720558230256</v>
      </c>
      <c r="M322" s="189"/>
      <c r="N322" s="189">
        <f>'Combined Sals'!V95</f>
        <v>36632.720558230256</v>
      </c>
      <c r="O322" s="163"/>
      <c r="P322" s="151"/>
      <c r="Q322" s="151"/>
    </row>
    <row r="323" spans="1:17" ht="15">
      <c r="A323" s="169" t="s">
        <v>828</v>
      </c>
      <c r="B323" s="189">
        <f>'Combined Sals'!D104</f>
        <v>49044.85147822225</v>
      </c>
      <c r="C323" s="189"/>
      <c r="D323" s="189">
        <f>'Combined Sals'!G104</f>
        <v>40214.96294999998</v>
      </c>
      <c r="E323" s="189"/>
      <c r="F323" s="189">
        <f>'Combined Sals'!J104</f>
        <v>34164.84356960004</v>
      </c>
      <c r="G323" s="189"/>
      <c r="H323" s="189">
        <f>'Combined Sals'!M104</f>
        <v>31976.65196427049</v>
      </c>
      <c r="I323" s="189"/>
      <c r="J323" s="189">
        <f>'Combined Sals'!P104</f>
        <v>33795.4137359344</v>
      </c>
      <c r="K323" s="190"/>
      <c r="L323" s="189">
        <f>'Combined Sals'!S104</f>
        <v>0</v>
      </c>
      <c r="M323" s="189"/>
      <c r="N323" s="189">
        <f>'Combined Sals'!V104</f>
        <v>33751.367294303716</v>
      </c>
      <c r="O323" s="163"/>
      <c r="P323" s="151"/>
      <c r="Q323" s="151"/>
    </row>
    <row r="324" spans="1:17" ht="15">
      <c r="A324" s="169" t="s">
        <v>829</v>
      </c>
      <c r="B324" s="189">
        <f>'Combined Sals'!D113</f>
        <v>47299.0785391566</v>
      </c>
      <c r="C324" s="189"/>
      <c r="D324" s="189">
        <f>'Combined Sals'!G113</f>
        <v>39297.70953182358</v>
      </c>
      <c r="E324" s="189"/>
      <c r="F324" s="189">
        <f>'Combined Sals'!J113</f>
        <v>32916.609214794524</v>
      </c>
      <c r="G324" s="189"/>
      <c r="H324" s="189">
        <f>'Combined Sals'!M113</f>
        <v>29118.79514238408</v>
      </c>
      <c r="I324" s="189"/>
      <c r="J324" s="189">
        <f>'Combined Sals'!P113</f>
        <v>0</v>
      </c>
      <c r="K324" s="190"/>
      <c r="L324" s="189">
        <f>'Combined Sals'!S113</f>
        <v>38054</v>
      </c>
      <c r="M324" s="189"/>
      <c r="N324" s="189">
        <f>'Combined Sals'!V113</f>
        <v>36669.42046435608</v>
      </c>
      <c r="O324" s="163"/>
      <c r="P324" s="151"/>
      <c r="Q324" s="151"/>
    </row>
    <row r="325" spans="1:17" ht="15">
      <c r="A325" s="169" t="s">
        <v>830</v>
      </c>
      <c r="B325" s="189">
        <f>'Combined Sals'!D122</f>
        <v>0</v>
      </c>
      <c r="C325" s="189"/>
      <c r="D325" s="189">
        <f>'Combined Sals'!G122</f>
        <v>0</v>
      </c>
      <c r="E325" s="189"/>
      <c r="F325" s="189">
        <f>'Combined Sals'!J122</f>
        <v>0</v>
      </c>
      <c r="G325" s="189"/>
      <c r="H325" s="189">
        <f>'Combined Sals'!M122</f>
        <v>0</v>
      </c>
      <c r="I325" s="189"/>
      <c r="J325" s="189">
        <f>'Combined Sals'!P122</f>
        <v>0</v>
      </c>
      <c r="K325" s="190"/>
      <c r="L325" s="189">
        <f>'Combined Sals'!S122</f>
        <v>38275.6404811587</v>
      </c>
      <c r="M325" s="190"/>
      <c r="N325" s="189">
        <f>'Combined Sals'!V122</f>
        <v>38275.6404811587</v>
      </c>
      <c r="O325" s="163"/>
      <c r="P325" s="151"/>
      <c r="Q325" s="151"/>
    </row>
    <row r="326" spans="1:17" ht="15">
      <c r="A326" s="169" t="s">
        <v>831</v>
      </c>
      <c r="B326" s="189">
        <f>'Combined Sals'!D131</f>
        <v>47362.66327063232</v>
      </c>
      <c r="C326" s="189"/>
      <c r="D326" s="189">
        <f>'Combined Sals'!G131</f>
        <v>42066.194219732155</v>
      </c>
      <c r="E326" s="189"/>
      <c r="F326" s="189">
        <f>'Combined Sals'!J131</f>
        <v>37121.5184796497</v>
      </c>
      <c r="G326" s="189"/>
      <c r="H326" s="189">
        <f>'Combined Sals'!M131</f>
        <v>32576.846150434794</v>
      </c>
      <c r="I326" s="189"/>
      <c r="J326" s="189">
        <f>'Combined Sals'!P131</f>
        <v>27712.826826666667</v>
      </c>
      <c r="K326" s="190"/>
      <c r="L326" s="189">
        <f>'Combined Sals'!S131</f>
        <v>0</v>
      </c>
      <c r="M326" s="189"/>
      <c r="N326" s="189">
        <f>'Combined Sals'!V131</f>
        <v>40601.43976835523</v>
      </c>
      <c r="O326" s="163"/>
      <c r="P326" s="151"/>
      <c r="Q326" s="151"/>
    </row>
    <row r="327" spans="1:17" ht="15">
      <c r="A327" s="165" t="s">
        <v>832</v>
      </c>
      <c r="B327" s="166">
        <f>'Combined Sals'!D140</f>
        <v>44503.58885674419</v>
      </c>
      <c r="C327" s="167"/>
      <c r="D327" s="166">
        <f>'Combined Sals'!G140</f>
        <v>36787.351921967245</v>
      </c>
      <c r="E327" s="167"/>
      <c r="F327" s="166">
        <f>'Combined Sals'!J140</f>
        <v>31046.6666666667</v>
      </c>
      <c r="G327" s="167"/>
      <c r="H327" s="166">
        <f>'Combined Sals'!M140</f>
        <v>27151.4615384615</v>
      </c>
      <c r="I327" s="167"/>
      <c r="J327" s="166">
        <f>'Combined Sals'!P140</f>
        <v>24542</v>
      </c>
      <c r="K327" s="167"/>
      <c r="L327" s="166">
        <f>'Combined Sals'!S140</f>
        <v>0</v>
      </c>
      <c r="M327" s="167"/>
      <c r="N327" s="166">
        <f>'Combined Sals'!V140</f>
        <v>36906.05699530436</v>
      </c>
      <c r="O327" s="168"/>
      <c r="P327" s="151"/>
      <c r="Q327" s="151"/>
    </row>
    <row r="328" spans="1:17" ht="15">
      <c r="A328" s="169"/>
      <c r="B328" s="189"/>
      <c r="C328" s="189"/>
      <c r="D328" s="189"/>
      <c r="E328" s="189"/>
      <c r="F328" s="189"/>
      <c r="G328" s="189"/>
      <c r="H328" s="189"/>
      <c r="I328" s="189"/>
      <c r="J328" s="189"/>
      <c r="K328" s="190"/>
      <c r="L328" s="189"/>
      <c r="M328" s="189"/>
      <c r="N328" s="189"/>
      <c r="O328" s="163"/>
      <c r="P328" s="151"/>
      <c r="Q328" s="151"/>
    </row>
    <row r="329" spans="1:17" ht="13.5">
      <c r="A329" s="185" t="s">
        <v>833</v>
      </c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6"/>
      <c r="N329" s="186"/>
      <c r="O329" s="163"/>
      <c r="P329" s="151"/>
      <c r="Q329" s="151"/>
    </row>
    <row r="330" spans="1:17" ht="13.5">
      <c r="A330" s="185" t="s">
        <v>834</v>
      </c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6"/>
      <c r="N330" s="186"/>
      <c r="O330" s="163"/>
      <c r="P330" s="151"/>
      <c r="Q330" s="151"/>
    </row>
    <row r="331" spans="1:17" ht="13.5">
      <c r="A331" s="185" t="s">
        <v>835</v>
      </c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6"/>
      <c r="N331" s="186"/>
      <c r="O331" s="163"/>
      <c r="P331" s="151"/>
      <c r="Q331" s="151"/>
    </row>
    <row r="332" spans="1:17" ht="13.5">
      <c r="A332" s="185"/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63"/>
      <c r="N332" s="163"/>
      <c r="O332" s="163"/>
      <c r="P332" s="151"/>
      <c r="Q332" s="151"/>
    </row>
    <row r="333" spans="1:17" ht="18">
      <c r="A333" s="149" t="s">
        <v>865</v>
      </c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51"/>
      <c r="Q333" s="151"/>
    </row>
    <row r="334" spans="1:17" ht="15">
      <c r="A334" s="126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51"/>
      <c r="Q334" s="151"/>
    </row>
    <row r="335" spans="1:17" ht="15">
      <c r="A335" s="126" t="s">
        <v>846</v>
      </c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51"/>
      <c r="Q335" s="151"/>
    </row>
    <row r="336" spans="1:17" ht="15">
      <c r="A336" s="126" t="s">
        <v>866</v>
      </c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51"/>
      <c r="Q336" s="151"/>
    </row>
    <row r="337" spans="1:17" ht="15">
      <c r="A337" s="126" t="s">
        <v>802</v>
      </c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51"/>
      <c r="Q337" s="151"/>
    </row>
    <row r="338" spans="1:17" ht="15">
      <c r="A338" s="126" t="s">
        <v>803</v>
      </c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51"/>
      <c r="Q338" s="151"/>
    </row>
    <row r="339" spans="1:17" ht="15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51"/>
      <c r="Q339" s="151"/>
    </row>
    <row r="340" spans="1:17" ht="15">
      <c r="A340" s="200"/>
      <c r="B340" s="197" t="s">
        <v>847</v>
      </c>
      <c r="C340" s="198"/>
      <c r="D340" s="197" t="s">
        <v>713</v>
      </c>
      <c r="E340" s="198"/>
      <c r="F340" s="197" t="s">
        <v>714</v>
      </c>
      <c r="G340" s="198"/>
      <c r="H340" s="197" t="s">
        <v>715</v>
      </c>
      <c r="I340" s="198"/>
      <c r="J340" s="197" t="s">
        <v>848</v>
      </c>
      <c r="K340" s="198"/>
      <c r="L340" s="197" t="s">
        <v>849</v>
      </c>
      <c r="M340" s="198"/>
      <c r="N340" s="198" t="s">
        <v>850</v>
      </c>
      <c r="O340" s="198"/>
      <c r="P340" s="151"/>
      <c r="Q340" s="151"/>
    </row>
    <row r="341" spans="1:256" ht="15">
      <c r="A341" s="207"/>
      <c r="B341" s="194" t="s">
        <v>816</v>
      </c>
      <c r="C341" s="193" t="s">
        <v>810</v>
      </c>
      <c r="D341" s="194" t="s">
        <v>816</v>
      </c>
      <c r="E341" s="193" t="s">
        <v>810</v>
      </c>
      <c r="F341" s="194" t="s">
        <v>816</v>
      </c>
      <c r="G341" s="193" t="s">
        <v>810</v>
      </c>
      <c r="H341" s="194" t="s">
        <v>816</v>
      </c>
      <c r="I341" s="193" t="s">
        <v>810</v>
      </c>
      <c r="J341" s="194" t="s">
        <v>816</v>
      </c>
      <c r="K341" s="193" t="s">
        <v>810</v>
      </c>
      <c r="L341" s="194" t="s">
        <v>816</v>
      </c>
      <c r="M341" s="193" t="s">
        <v>810</v>
      </c>
      <c r="N341" s="194" t="s">
        <v>816</v>
      </c>
      <c r="O341" s="193" t="s">
        <v>810</v>
      </c>
      <c r="P341" s="208"/>
      <c r="Q341" s="208"/>
      <c r="R341" s="209"/>
      <c r="S341" s="209"/>
      <c r="T341" s="209"/>
      <c r="U341" s="209"/>
      <c r="V341" s="209"/>
      <c r="W341" s="209"/>
      <c r="X341" s="209"/>
      <c r="Y341" s="209"/>
      <c r="Z341" s="209"/>
      <c r="AA341" s="209"/>
      <c r="AB341" s="209"/>
      <c r="AC341" s="209"/>
      <c r="AD341" s="209"/>
      <c r="AE341" s="209"/>
      <c r="AF341" s="209"/>
      <c r="AG341" s="209"/>
      <c r="AH341" s="209"/>
      <c r="AI341" s="209"/>
      <c r="AJ341" s="209"/>
      <c r="AK341" s="209"/>
      <c r="AL341" s="209"/>
      <c r="AM341" s="209"/>
      <c r="AN341" s="209"/>
      <c r="AO341" s="209"/>
      <c r="AP341" s="209"/>
      <c r="AQ341" s="209"/>
      <c r="AR341" s="209"/>
      <c r="AS341" s="209"/>
      <c r="AT341" s="209"/>
      <c r="AU341" s="209"/>
      <c r="AV341" s="209"/>
      <c r="AW341" s="209"/>
      <c r="AX341" s="209"/>
      <c r="AY341" s="209"/>
      <c r="AZ341" s="209"/>
      <c r="BA341" s="209"/>
      <c r="BB341" s="209"/>
      <c r="BC341" s="209"/>
      <c r="BD341" s="209"/>
      <c r="BE341" s="209"/>
      <c r="BF341" s="209"/>
      <c r="BG341" s="209"/>
      <c r="BH341" s="209"/>
      <c r="BI341" s="209"/>
      <c r="BJ341" s="209"/>
      <c r="BK341" s="209"/>
      <c r="BL341" s="209"/>
      <c r="BM341" s="209"/>
      <c r="BN341" s="209"/>
      <c r="BO341" s="209"/>
      <c r="BP341" s="209"/>
      <c r="BQ341" s="209"/>
      <c r="BR341" s="209"/>
      <c r="BS341" s="209"/>
      <c r="BT341" s="209"/>
      <c r="BU341" s="209"/>
      <c r="BV341" s="209"/>
      <c r="BW341" s="209"/>
      <c r="BX341" s="209"/>
      <c r="BY341" s="209"/>
      <c r="BZ341" s="209"/>
      <c r="CA341" s="209"/>
      <c r="CB341" s="209"/>
      <c r="CC341" s="209"/>
      <c r="CD341" s="209"/>
      <c r="CE341" s="209"/>
      <c r="CF341" s="209"/>
      <c r="CG341" s="209"/>
      <c r="CH341" s="209"/>
      <c r="CI341" s="209"/>
      <c r="CJ341" s="209"/>
      <c r="CK341" s="209"/>
      <c r="CL341" s="209"/>
      <c r="CM341" s="209"/>
      <c r="CN341" s="209"/>
      <c r="CO341" s="209"/>
      <c r="CP341" s="209"/>
      <c r="CQ341" s="209"/>
      <c r="CR341" s="209"/>
      <c r="CS341" s="209"/>
      <c r="CT341" s="209"/>
      <c r="CU341" s="209"/>
      <c r="CV341" s="209"/>
      <c r="CW341" s="209"/>
      <c r="CX341" s="209"/>
      <c r="CY341" s="209"/>
      <c r="CZ341" s="209"/>
      <c r="DA341" s="209"/>
      <c r="DB341" s="209"/>
      <c r="DC341" s="209"/>
      <c r="DD341" s="209"/>
      <c r="DE341" s="209"/>
      <c r="DF341" s="209"/>
      <c r="DG341" s="209"/>
      <c r="DH341" s="209"/>
      <c r="DI341" s="209"/>
      <c r="DJ341" s="209"/>
      <c r="DK341" s="209"/>
      <c r="DL341" s="209"/>
      <c r="DM341" s="209"/>
      <c r="DN341" s="209"/>
      <c r="DO341" s="209"/>
      <c r="DP341" s="209"/>
      <c r="DQ341" s="209"/>
      <c r="DR341" s="209"/>
      <c r="DS341" s="209"/>
      <c r="DT341" s="209"/>
      <c r="DU341" s="209"/>
      <c r="DV341" s="209"/>
      <c r="DW341" s="209"/>
      <c r="DX341" s="209"/>
      <c r="DY341" s="209"/>
      <c r="DZ341" s="209"/>
      <c r="EA341" s="209"/>
      <c r="EB341" s="209"/>
      <c r="EC341" s="209"/>
      <c r="ED341" s="209"/>
      <c r="EE341" s="209"/>
      <c r="EF341" s="209"/>
      <c r="EG341" s="209"/>
      <c r="EH341" s="209"/>
      <c r="EI341" s="209"/>
      <c r="EJ341" s="209"/>
      <c r="EK341" s="209"/>
      <c r="EL341" s="209"/>
      <c r="EM341" s="209"/>
      <c r="EN341" s="209"/>
      <c r="EO341" s="209"/>
      <c r="EP341" s="209"/>
      <c r="EQ341" s="209"/>
      <c r="ER341" s="209"/>
      <c r="ES341" s="209"/>
      <c r="ET341" s="209"/>
      <c r="EU341" s="209"/>
      <c r="EV341" s="209"/>
      <c r="EW341" s="209"/>
      <c r="EX341" s="209"/>
      <c r="EY341" s="209"/>
      <c r="EZ341" s="209"/>
      <c r="FA341" s="209"/>
      <c r="FB341" s="209"/>
      <c r="FC341" s="209"/>
      <c r="FD341" s="209"/>
      <c r="FE341" s="209"/>
      <c r="FF341" s="209"/>
      <c r="FG341" s="209"/>
      <c r="FH341" s="209"/>
      <c r="FI341" s="209"/>
      <c r="FJ341" s="209"/>
      <c r="FK341" s="209"/>
      <c r="FL341" s="209"/>
      <c r="FM341" s="209"/>
      <c r="FN341" s="209"/>
      <c r="FO341" s="209"/>
      <c r="FP341" s="209"/>
      <c r="FQ341" s="209"/>
      <c r="FR341" s="209"/>
      <c r="FS341" s="209"/>
      <c r="FT341" s="209"/>
      <c r="FU341" s="209"/>
      <c r="FV341" s="209"/>
      <c r="FW341" s="209"/>
      <c r="FX341" s="209"/>
      <c r="FY341" s="209"/>
      <c r="FZ341" s="209"/>
      <c r="GA341" s="209"/>
      <c r="GB341" s="209"/>
      <c r="GC341" s="209"/>
      <c r="GD341" s="209"/>
      <c r="GE341" s="209"/>
      <c r="GF341" s="209"/>
      <c r="GG341" s="209"/>
      <c r="GH341" s="209"/>
      <c r="GI341" s="209"/>
      <c r="GJ341" s="209"/>
      <c r="GK341" s="209"/>
      <c r="GL341" s="209"/>
      <c r="GM341" s="209"/>
      <c r="GN341" s="209"/>
      <c r="GO341" s="209"/>
      <c r="GP341" s="209"/>
      <c r="GQ341" s="209"/>
      <c r="GR341" s="209"/>
      <c r="GS341" s="209"/>
      <c r="GT341" s="209"/>
      <c r="GU341" s="209"/>
      <c r="GV341" s="209"/>
      <c r="GW341" s="209"/>
      <c r="GX341" s="209"/>
      <c r="GY341" s="209"/>
      <c r="GZ341" s="209"/>
      <c r="HA341" s="209"/>
      <c r="HB341" s="209"/>
      <c r="HC341" s="209"/>
      <c r="HD341" s="209"/>
      <c r="HE341" s="209"/>
      <c r="HF341" s="209"/>
      <c r="HG341" s="209"/>
      <c r="HH341" s="209"/>
      <c r="HI341" s="209"/>
      <c r="HJ341" s="209"/>
      <c r="HK341" s="209"/>
      <c r="HL341" s="209"/>
      <c r="HM341" s="209"/>
      <c r="HN341" s="209"/>
      <c r="HO341" s="209"/>
      <c r="HP341" s="209"/>
      <c r="HQ341" s="209"/>
      <c r="HR341" s="209"/>
      <c r="HS341" s="209"/>
      <c r="HT341" s="209"/>
      <c r="HU341" s="209"/>
      <c r="HV341" s="209"/>
      <c r="HW341" s="209"/>
      <c r="HX341" s="209"/>
      <c r="HY341" s="209"/>
      <c r="HZ341" s="209"/>
      <c r="IA341" s="209"/>
      <c r="IB341" s="209"/>
      <c r="IC341" s="209"/>
      <c r="ID341" s="209"/>
      <c r="IE341" s="209"/>
      <c r="IF341" s="209"/>
      <c r="IG341" s="209"/>
      <c r="IH341" s="209"/>
      <c r="II341" s="209"/>
      <c r="IJ341" s="209"/>
      <c r="IK341" s="209"/>
      <c r="IL341" s="209"/>
      <c r="IM341" s="209"/>
      <c r="IN341" s="209"/>
      <c r="IO341" s="209"/>
      <c r="IP341" s="209"/>
      <c r="IQ341" s="209"/>
      <c r="IR341" s="209"/>
      <c r="IS341" s="209"/>
      <c r="IT341" s="209"/>
      <c r="IU341" s="209"/>
      <c r="IV341" s="209"/>
    </row>
    <row r="342" spans="1:17" ht="15">
      <c r="A342" s="169" t="s">
        <v>817</v>
      </c>
      <c r="B342" s="206">
        <f>'Combined Sals'!D150</f>
        <v>0</v>
      </c>
      <c r="C342" s="206"/>
      <c r="D342" s="206">
        <f>'Combined Sals'!G150</f>
        <v>0</v>
      </c>
      <c r="E342" s="206"/>
      <c r="F342" s="206">
        <f>'Combined Sals'!J150</f>
        <v>0</v>
      </c>
      <c r="G342" s="206"/>
      <c r="H342" s="206">
        <f>'Combined Sals'!M150</f>
        <v>0</v>
      </c>
      <c r="I342" s="206"/>
      <c r="J342" s="206">
        <f>'Combined Sals'!P150</f>
        <v>0</v>
      </c>
      <c r="K342" s="206"/>
      <c r="L342" s="206">
        <f>'Combined Sals'!S150</f>
        <v>36132.1377667887</v>
      </c>
      <c r="M342" s="206"/>
      <c r="N342" s="206">
        <f>'Combined Sals'!V150</f>
        <v>36132.1377667887</v>
      </c>
      <c r="O342" s="162"/>
      <c r="P342" s="151"/>
      <c r="Q342" s="151"/>
    </row>
    <row r="343" spans="1:17" ht="15">
      <c r="A343" s="169"/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63"/>
      <c r="P343" s="151"/>
      <c r="Q343" s="151"/>
    </row>
    <row r="344" spans="1:17" ht="15">
      <c r="A344" s="169" t="s">
        <v>818</v>
      </c>
      <c r="B344" s="189">
        <f>'Combined Sals'!D15</f>
        <v>0</v>
      </c>
      <c r="C344" s="189"/>
      <c r="D344" s="189">
        <f>'Combined Sals'!G15</f>
        <v>0</v>
      </c>
      <c r="E344" s="189"/>
      <c r="F344" s="189">
        <f>'Combined Sals'!J15</f>
        <v>0</v>
      </c>
      <c r="G344" s="189"/>
      <c r="H344" s="189">
        <f>'Combined Sals'!S15</f>
        <v>40816.46853198694</v>
      </c>
      <c r="I344" s="189"/>
      <c r="J344" s="189">
        <f>'Combined Sals'!P15</f>
        <v>0</v>
      </c>
      <c r="K344" s="190"/>
      <c r="L344" s="189">
        <f>'Combined Sals'!S15</f>
        <v>40816.46853198694</v>
      </c>
      <c r="M344" s="190"/>
      <c r="N344" s="189">
        <f>'Combined Sals'!V15</f>
        <v>40816.46853198694</v>
      </c>
      <c r="O344" s="163"/>
      <c r="P344" s="151"/>
      <c r="Q344" s="151"/>
    </row>
    <row r="345" spans="1:17" ht="15">
      <c r="A345" s="169" t="s">
        <v>819</v>
      </c>
      <c r="B345" s="189">
        <f>'Combined Sals'!D24</f>
        <v>0</v>
      </c>
      <c r="C345" s="189"/>
      <c r="D345" s="189">
        <f>'Combined Sals'!G24</f>
        <v>0</v>
      </c>
      <c r="E345" s="189"/>
      <c r="F345" s="189">
        <f>'Combined Sals'!J24</f>
        <v>0</v>
      </c>
      <c r="G345" s="189"/>
      <c r="H345" s="189">
        <f>'Combined Sals'!M24</f>
        <v>0</v>
      </c>
      <c r="I345" s="189"/>
      <c r="J345" s="189">
        <f>'Combined Sals'!P24</f>
        <v>0</v>
      </c>
      <c r="K345" s="190"/>
      <c r="L345" s="189">
        <f>'Combined Sals'!S24</f>
        <v>0</v>
      </c>
      <c r="M345" s="189"/>
      <c r="N345" s="189">
        <f>'Combined Sals'!V24</f>
        <v>0</v>
      </c>
      <c r="O345" s="163"/>
      <c r="P345" s="151"/>
      <c r="Q345" s="151"/>
    </row>
    <row r="346" spans="1:17" ht="15">
      <c r="A346" s="169" t="s">
        <v>820</v>
      </c>
      <c r="B346" s="189">
        <f>'Combined Sals'!D33</f>
        <v>0</v>
      </c>
      <c r="C346" s="189"/>
      <c r="D346" s="189">
        <f>'Combined Sals'!G33</f>
        <v>0</v>
      </c>
      <c r="E346" s="189"/>
      <c r="F346" s="189">
        <f>'Combined Sals'!J33</f>
        <v>0</v>
      </c>
      <c r="G346" s="189"/>
      <c r="H346" s="189">
        <f>'Combined Sals'!M33</f>
        <v>0</v>
      </c>
      <c r="I346" s="189"/>
      <c r="J346" s="189">
        <f>'Combined Sals'!P33</f>
        <v>0</v>
      </c>
      <c r="K346" s="190"/>
      <c r="L346" s="189">
        <f>'Combined Sals'!S33</f>
        <v>0</v>
      </c>
      <c r="M346" s="189"/>
      <c r="N346" s="189">
        <f>'Combined Sals'!V33</f>
        <v>0</v>
      </c>
      <c r="O346" s="163"/>
      <c r="P346" s="151"/>
      <c r="Q346" s="151"/>
    </row>
    <row r="347" spans="1:17" ht="15">
      <c r="A347" s="169" t="s">
        <v>821</v>
      </c>
      <c r="B347" s="189">
        <f>'Combined Sals'!D42</f>
        <v>0</v>
      </c>
      <c r="C347" s="189"/>
      <c r="D347" s="189">
        <f>'Combined Sals'!G42</f>
        <v>0</v>
      </c>
      <c r="E347" s="189"/>
      <c r="F347" s="189">
        <f>'Combined Sals'!J42</f>
        <v>0</v>
      </c>
      <c r="G347" s="189"/>
      <c r="H347" s="189">
        <f>'Combined Sals'!M42</f>
        <v>0</v>
      </c>
      <c r="I347" s="189"/>
      <c r="J347" s="189">
        <f>'Combined Sals'!P42</f>
        <v>0</v>
      </c>
      <c r="K347" s="190"/>
      <c r="L347" s="189">
        <f>'Combined Sals'!S42</f>
        <v>38430.08490441109</v>
      </c>
      <c r="M347" s="189"/>
      <c r="N347" s="189">
        <f>'Combined Sals'!V42</f>
        <v>38430.08490441109</v>
      </c>
      <c r="O347" s="163"/>
      <c r="P347" s="151"/>
      <c r="Q347" s="151"/>
    </row>
    <row r="348" spans="1:17" ht="15">
      <c r="A348" s="169" t="s">
        <v>822</v>
      </c>
      <c r="B348" s="189">
        <f>'Combined Sals'!D51</f>
        <v>0</v>
      </c>
      <c r="C348" s="189"/>
      <c r="D348" s="189">
        <f>'Combined Sals'!G51</f>
        <v>0</v>
      </c>
      <c r="E348" s="189"/>
      <c r="F348" s="189">
        <f>'Combined Sals'!J51</f>
        <v>0</v>
      </c>
      <c r="G348" s="189"/>
      <c r="H348" s="189">
        <f>'Combined Sals'!M51</f>
        <v>0</v>
      </c>
      <c r="I348" s="189"/>
      <c r="J348" s="189">
        <f>'Combined Sals'!P51</f>
        <v>0</v>
      </c>
      <c r="K348" s="190"/>
      <c r="L348" s="189">
        <f>'Combined Sals'!S51</f>
        <v>0</v>
      </c>
      <c r="M348" s="190"/>
      <c r="N348" s="189">
        <f>'Combined Sals'!V51</f>
        <v>0</v>
      </c>
      <c r="O348" s="163"/>
      <c r="P348" s="151"/>
      <c r="Q348" s="151"/>
    </row>
    <row r="349" spans="1:17" ht="15">
      <c r="A349" s="169" t="s">
        <v>823</v>
      </c>
      <c r="B349" s="189">
        <f>'Combined Sals'!D60</f>
        <v>0</v>
      </c>
      <c r="C349" s="189"/>
      <c r="D349" s="189">
        <f>'Combined Sals'!G60</f>
        <v>0</v>
      </c>
      <c r="E349" s="189"/>
      <c r="F349" s="189">
        <f>'Combined Sals'!J60</f>
        <v>0</v>
      </c>
      <c r="G349" s="189"/>
      <c r="H349" s="189">
        <f>'Combined Sals'!M60</f>
        <v>0</v>
      </c>
      <c r="I349" s="189"/>
      <c r="J349" s="189">
        <f>'Combined Sals'!P60</f>
        <v>0</v>
      </c>
      <c r="K349" s="190"/>
      <c r="L349" s="189">
        <f>'Combined Sals'!S60</f>
        <v>33540.3177805801</v>
      </c>
      <c r="M349" s="190"/>
      <c r="N349" s="189">
        <f>'Combined Sals'!V60</f>
        <v>33540.3177805801</v>
      </c>
      <c r="O349" s="163"/>
      <c r="P349" s="151"/>
      <c r="Q349" s="151"/>
    </row>
    <row r="350" spans="1:17" ht="15">
      <c r="A350" s="169" t="s">
        <v>824</v>
      </c>
      <c r="B350" s="189">
        <f>'Combined Sals'!D69</f>
        <v>0</v>
      </c>
      <c r="C350" s="189"/>
      <c r="D350" s="189">
        <f>'Combined Sals'!G69</f>
        <v>0</v>
      </c>
      <c r="E350" s="189"/>
      <c r="F350" s="189">
        <f>'Combined Sals'!J69</f>
        <v>0</v>
      </c>
      <c r="G350" s="189"/>
      <c r="H350" s="189">
        <f>'Combined Sals'!M69</f>
        <v>0</v>
      </c>
      <c r="I350" s="189"/>
      <c r="J350" s="189">
        <f>'Combined Sals'!P69</f>
        <v>0</v>
      </c>
      <c r="K350" s="190"/>
      <c r="L350" s="189">
        <f>'Combined Sals'!S69</f>
        <v>0</v>
      </c>
      <c r="M350" s="189"/>
      <c r="N350" s="189">
        <f>'Combined Sals'!V69</f>
        <v>0</v>
      </c>
      <c r="O350" s="163"/>
      <c r="P350" s="151"/>
      <c r="Q350" s="151"/>
    </row>
    <row r="351" spans="1:17" ht="15">
      <c r="A351" s="169" t="s">
        <v>825</v>
      </c>
      <c r="B351" s="189">
        <f>'Combined Sals'!D78</f>
        <v>0</v>
      </c>
      <c r="C351" s="189"/>
      <c r="D351" s="189">
        <f>'Combined Sals'!G78</f>
        <v>0</v>
      </c>
      <c r="E351" s="189"/>
      <c r="F351" s="189">
        <f>'Combined Sals'!J78</f>
        <v>0</v>
      </c>
      <c r="G351" s="189"/>
      <c r="H351" s="189">
        <f>'Combined Sals'!M78</f>
        <v>0</v>
      </c>
      <c r="I351" s="189"/>
      <c r="J351" s="189">
        <f>'Combined Sals'!P78</f>
        <v>0</v>
      </c>
      <c r="K351" s="189"/>
      <c r="L351" s="189">
        <f>'Combined Sals'!S78</f>
        <v>0</v>
      </c>
      <c r="M351" s="189"/>
      <c r="N351" s="189">
        <f>'Combined Sals'!V78</f>
        <v>0</v>
      </c>
      <c r="O351" s="163"/>
      <c r="P351" s="151"/>
      <c r="Q351" s="151"/>
    </row>
    <row r="352" spans="1:17" ht="15">
      <c r="A352" s="169" t="s">
        <v>826</v>
      </c>
      <c r="B352" s="189">
        <f>'Combined Sals'!D87</f>
        <v>0</v>
      </c>
      <c r="C352" s="189"/>
      <c r="D352" s="189">
        <f>'Combined Sals'!G87</f>
        <v>0</v>
      </c>
      <c r="E352" s="189"/>
      <c r="F352" s="189">
        <f>'Combined Sals'!J87</f>
        <v>0</v>
      </c>
      <c r="G352" s="189"/>
      <c r="H352" s="189">
        <f>'Combined Sals'!M87</f>
        <v>0</v>
      </c>
      <c r="I352" s="189"/>
      <c r="J352" s="189">
        <f>'Combined Sals'!P87</f>
        <v>0</v>
      </c>
      <c r="K352" s="190"/>
      <c r="L352" s="189">
        <f>'Combined Sals'!S87</f>
        <v>0</v>
      </c>
      <c r="M352" s="189"/>
      <c r="N352" s="189">
        <f>'Combined Sals'!V87</f>
        <v>0</v>
      </c>
      <c r="O352" s="163"/>
      <c r="P352" s="151"/>
      <c r="Q352" s="151"/>
    </row>
    <row r="353" spans="1:17" ht="15">
      <c r="A353" s="169" t="s">
        <v>827</v>
      </c>
      <c r="B353" s="189">
        <f>'Combined Sals'!D96</f>
        <v>0</v>
      </c>
      <c r="C353" s="189"/>
      <c r="D353" s="189">
        <f>'Combined Sals'!G96</f>
        <v>0</v>
      </c>
      <c r="E353" s="189"/>
      <c r="F353" s="189">
        <f>'Combined Sals'!J96</f>
        <v>0</v>
      </c>
      <c r="G353" s="189"/>
      <c r="H353" s="189">
        <f>'Combined Sals'!M96</f>
        <v>0</v>
      </c>
      <c r="I353" s="189"/>
      <c r="J353" s="189">
        <f>'Combined Sals'!P96</f>
        <v>0</v>
      </c>
      <c r="K353" s="190"/>
      <c r="L353" s="189">
        <f>'Combined Sals'!S96</f>
        <v>0</v>
      </c>
      <c r="M353" s="189"/>
      <c r="N353" s="189">
        <f>'Combined Sals'!V96</f>
        <v>0</v>
      </c>
      <c r="O353" s="163"/>
      <c r="P353" s="151"/>
      <c r="Q353" s="151"/>
    </row>
    <row r="354" spans="1:17" ht="15">
      <c r="A354" s="169" t="s">
        <v>828</v>
      </c>
      <c r="B354" s="189">
        <f>'Combined Sals'!D105</f>
        <v>0</v>
      </c>
      <c r="C354" s="189"/>
      <c r="D354" s="189">
        <f>'Combined Sals'!G105</f>
        <v>0</v>
      </c>
      <c r="E354" s="189"/>
      <c r="F354" s="189">
        <f>'Combined Sals'!J105</f>
        <v>0</v>
      </c>
      <c r="G354" s="189"/>
      <c r="H354" s="189">
        <f>'Combined Sals'!M105</f>
        <v>0</v>
      </c>
      <c r="I354" s="189"/>
      <c r="J354" s="189">
        <f>'Combined Sals'!P105</f>
        <v>0</v>
      </c>
      <c r="K354" s="190"/>
      <c r="L354" s="189">
        <f>'Combined Sals'!S105</f>
        <v>0</v>
      </c>
      <c r="M354" s="189"/>
      <c r="N354" s="189">
        <f>'Combined Sals'!V105</f>
        <v>0</v>
      </c>
      <c r="O354" s="163"/>
      <c r="P354" s="151"/>
      <c r="Q354" s="151"/>
    </row>
    <row r="355" spans="1:17" ht="15">
      <c r="A355" s="169" t="s">
        <v>829</v>
      </c>
      <c r="B355" s="189">
        <f>'Combined Sals'!D114</f>
        <v>0</v>
      </c>
      <c r="C355" s="189"/>
      <c r="D355" s="189">
        <f>'Combined Sals'!G114</f>
        <v>0</v>
      </c>
      <c r="E355" s="189"/>
      <c r="F355" s="189">
        <f>'Combined Sals'!J114</f>
        <v>0</v>
      </c>
      <c r="G355" s="189"/>
      <c r="H355" s="189">
        <f>'Combined Sals'!M114</f>
        <v>0</v>
      </c>
      <c r="I355" s="189"/>
      <c r="J355" s="189">
        <f>'Combined Sals'!P114</f>
        <v>0</v>
      </c>
      <c r="K355" s="190"/>
      <c r="L355" s="189">
        <f>'Combined Sals'!S114</f>
        <v>25547.101206923082</v>
      </c>
      <c r="M355" s="189"/>
      <c r="N355" s="189">
        <f>'Combined Sals'!V114</f>
        <v>25547.101206923082</v>
      </c>
      <c r="O355" s="163"/>
      <c r="P355" s="151"/>
      <c r="Q355" s="151"/>
    </row>
    <row r="356" spans="1:17" ht="15">
      <c r="A356" s="169" t="s">
        <v>830</v>
      </c>
      <c r="B356" s="189">
        <f>'Combined Sals'!D123</f>
        <v>0</v>
      </c>
      <c r="C356" s="189"/>
      <c r="D356" s="189">
        <f>'Combined Sals'!G123</f>
        <v>0</v>
      </c>
      <c r="E356" s="189"/>
      <c r="F356" s="189">
        <f>'Combined Sals'!J123</f>
        <v>0</v>
      </c>
      <c r="G356" s="189"/>
      <c r="H356" s="189">
        <f>'Combined Sals'!M123</f>
        <v>0</v>
      </c>
      <c r="I356" s="189"/>
      <c r="J356" s="189">
        <f>'Combined Sals'!P123</f>
        <v>0</v>
      </c>
      <c r="K356" s="190"/>
      <c r="L356" s="189">
        <f>'Combined Sals'!S123</f>
        <v>0</v>
      </c>
      <c r="M356" s="190"/>
      <c r="N356" s="189">
        <f>'Combined Sals'!V123</f>
        <v>0</v>
      </c>
      <c r="O356" s="163"/>
      <c r="P356" s="151"/>
      <c r="Q356" s="151"/>
    </row>
    <row r="357" spans="1:17" ht="15">
      <c r="A357" s="169" t="s">
        <v>831</v>
      </c>
      <c r="B357" s="189">
        <f>'Combined Sals'!D132</f>
        <v>0</v>
      </c>
      <c r="C357" s="189"/>
      <c r="D357" s="189">
        <f>'Combined Sals'!G132</f>
        <v>0</v>
      </c>
      <c r="E357" s="189"/>
      <c r="F357" s="189">
        <f>'Combined Sals'!J132</f>
        <v>0</v>
      </c>
      <c r="G357" s="189"/>
      <c r="H357" s="189">
        <f>'Combined Sals'!M132</f>
        <v>0</v>
      </c>
      <c r="I357" s="189"/>
      <c r="J357" s="189">
        <f>'Combined Sals'!P132</f>
        <v>0</v>
      </c>
      <c r="K357" s="190"/>
      <c r="L357" s="189">
        <f>'Combined Sals'!S132</f>
        <v>0</v>
      </c>
      <c r="M357" s="189"/>
      <c r="N357" s="189">
        <f>'Combined Sals'!V132</f>
        <v>0</v>
      </c>
      <c r="O357" s="163"/>
      <c r="P357" s="151"/>
      <c r="Q357" s="151"/>
    </row>
    <row r="358" spans="1:17" ht="15">
      <c r="A358" s="165" t="s">
        <v>832</v>
      </c>
      <c r="B358" s="166">
        <f>'Combined Sals'!D141</f>
        <v>0</v>
      </c>
      <c r="C358" s="167"/>
      <c r="D358" s="166">
        <f>'Combined Sals'!G141</f>
        <v>0</v>
      </c>
      <c r="E358" s="167"/>
      <c r="F358" s="166">
        <f>'Combined Sals'!J141</f>
        <v>0</v>
      </c>
      <c r="G358" s="167"/>
      <c r="H358" s="166">
        <f>'Combined Sals'!M141</f>
        <v>0</v>
      </c>
      <c r="I358" s="167"/>
      <c r="J358" s="166">
        <f>'Combined Sals'!P141</f>
        <v>0</v>
      </c>
      <c r="K358" s="167"/>
      <c r="L358" s="166">
        <f>'Combined Sals'!S141</f>
        <v>0</v>
      </c>
      <c r="M358" s="167"/>
      <c r="N358" s="166">
        <f>'Combined Sals'!V141</f>
        <v>0</v>
      </c>
      <c r="O358" s="168"/>
      <c r="P358" s="151"/>
      <c r="Q358" s="151"/>
    </row>
    <row r="359" spans="1:17" ht="15">
      <c r="A359" s="169"/>
      <c r="B359" s="189"/>
      <c r="C359" s="189"/>
      <c r="D359" s="189"/>
      <c r="E359" s="189"/>
      <c r="F359" s="189"/>
      <c r="G359" s="189"/>
      <c r="H359" s="189"/>
      <c r="I359" s="189"/>
      <c r="J359" s="189"/>
      <c r="K359" s="190"/>
      <c r="L359" s="189"/>
      <c r="M359" s="189"/>
      <c r="N359" s="189"/>
      <c r="O359" s="163"/>
      <c r="P359" s="151"/>
      <c r="Q359" s="151"/>
    </row>
    <row r="360" spans="1:17" ht="13.5">
      <c r="A360" s="185" t="s">
        <v>867</v>
      </c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6"/>
      <c r="N360" s="186"/>
      <c r="O360" s="163"/>
      <c r="P360" s="151"/>
      <c r="Q360" s="151"/>
    </row>
    <row r="361" spans="1:17" ht="13.5">
      <c r="A361" s="185" t="s">
        <v>868</v>
      </c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6"/>
      <c r="N361" s="186"/>
      <c r="O361" s="163"/>
      <c r="P361" s="151"/>
      <c r="Q361" s="151"/>
    </row>
    <row r="362" spans="1:17" ht="13.5">
      <c r="A362" s="185" t="s">
        <v>869</v>
      </c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6"/>
      <c r="N362" s="186"/>
      <c r="O362" s="163"/>
      <c r="P362" s="151"/>
      <c r="Q362" s="151"/>
    </row>
    <row r="363" spans="1:17" ht="13.5">
      <c r="A363" s="185"/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63"/>
      <c r="N363" s="163"/>
      <c r="O363" s="163"/>
      <c r="P363" s="151"/>
      <c r="Q363" s="151"/>
    </row>
    <row r="364" spans="1:17" ht="15">
      <c r="A364" s="169"/>
      <c r="B364" s="189"/>
      <c r="C364" s="189"/>
      <c r="D364" s="189"/>
      <c r="E364" s="189"/>
      <c r="F364" s="189"/>
      <c r="G364" s="189"/>
      <c r="H364" s="189"/>
      <c r="I364" s="189"/>
      <c r="J364" s="189"/>
      <c r="K364" s="190"/>
      <c r="L364" s="189"/>
      <c r="M364" s="189"/>
      <c r="N364" s="189"/>
      <c r="O364" s="163"/>
      <c r="P364" s="151"/>
      <c r="Q364" s="151"/>
    </row>
    <row r="366" spans="1:17" ht="15">
      <c r="A366" s="169"/>
      <c r="B366" s="189"/>
      <c r="C366" s="189"/>
      <c r="D366" s="189"/>
      <c r="E366" s="189"/>
      <c r="F366" s="189"/>
      <c r="G366" s="189"/>
      <c r="H366" s="189"/>
      <c r="I366" s="189"/>
      <c r="J366" s="189"/>
      <c r="K366" s="190"/>
      <c r="L366" s="189"/>
      <c r="M366" s="189"/>
      <c r="N366" s="189"/>
      <c r="O366" s="163"/>
      <c r="P366" s="151"/>
      <c r="Q366" s="151"/>
    </row>
    <row r="367" spans="1:17" ht="15">
      <c r="A367" s="169"/>
      <c r="B367" s="189"/>
      <c r="C367" s="189"/>
      <c r="D367" s="189"/>
      <c r="E367" s="189"/>
      <c r="F367" s="189"/>
      <c r="G367" s="189"/>
      <c r="H367" s="189"/>
      <c r="I367" s="189"/>
      <c r="J367" s="189"/>
      <c r="K367" s="190"/>
      <c r="L367" s="189"/>
      <c r="M367" s="189"/>
      <c r="N367" s="189"/>
      <c r="O367" s="163"/>
      <c r="P367" s="151"/>
      <c r="Q367" s="151"/>
    </row>
    <row r="368" spans="1:17" ht="15">
      <c r="A368" s="169"/>
      <c r="B368" s="189"/>
      <c r="C368" s="189"/>
      <c r="D368" s="189"/>
      <c r="E368" s="189"/>
      <c r="F368" s="189"/>
      <c r="G368" s="189"/>
      <c r="H368" s="189"/>
      <c r="I368" s="189"/>
      <c r="J368" s="189"/>
      <c r="K368" s="190"/>
      <c r="L368" s="189"/>
      <c r="M368" s="189"/>
      <c r="N368" s="189"/>
      <c r="O368" s="163"/>
      <c r="P368" s="151"/>
      <c r="Q368" s="151"/>
    </row>
    <row r="369" spans="1:17" ht="15">
      <c r="A369" s="169"/>
      <c r="B369" s="189"/>
      <c r="C369" s="189"/>
      <c r="D369" s="189"/>
      <c r="E369" s="189"/>
      <c r="F369" s="189"/>
      <c r="G369" s="189"/>
      <c r="H369" s="189"/>
      <c r="I369" s="189"/>
      <c r="J369" s="189"/>
      <c r="K369" s="190"/>
      <c r="L369" s="189"/>
      <c r="M369" s="189"/>
      <c r="N369" s="189"/>
      <c r="O369" s="163"/>
      <c r="P369" s="151"/>
      <c r="Q369" s="151"/>
    </row>
    <row r="370" spans="1:15" ht="15">
      <c r="A370" s="118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63"/>
    </row>
  </sheetData>
  <printOptions/>
  <pageMargins left="0.3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11" manualBreakCount="11">
    <brk id="21" max="255" man="1"/>
    <brk id="52" max="255" man="1"/>
    <brk id="84" max="255" man="1"/>
    <brk id="115" max="255" man="1"/>
    <brk id="146" max="255" man="1"/>
    <brk id="177" max="255" man="1"/>
    <brk id="208" max="255" man="1"/>
    <brk id="239" max="255" man="1"/>
    <brk id="270" max="255" man="1"/>
    <brk id="301" max="255" man="1"/>
    <brk id="3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defaultGridColor="0" zoomScale="75" zoomScaleNormal="75" colorId="22" workbookViewId="0" topLeftCell="A1">
      <selection activeCell="A1" sqref="A1"/>
    </sheetView>
  </sheetViews>
  <sheetFormatPr defaultColWidth="9.7109375" defaultRowHeight="12.75"/>
  <sheetData/>
  <printOptions/>
  <pageMargins left="0.3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6"/>
  <sheetViews>
    <sheetView showGridLines="0" defaultGridColor="0" zoomScale="75" zoomScaleNormal="75" colorId="22" workbookViewId="0" topLeftCell="A1">
      <selection activeCell="B4" sqref="B4"/>
    </sheetView>
  </sheetViews>
  <sheetFormatPr defaultColWidth="9.7109375" defaultRowHeight="12.75"/>
  <sheetData>
    <row r="1" ht="12.75">
      <c r="A1" t="s">
        <v>870</v>
      </c>
    </row>
    <row r="2" spans="1:5" ht="15">
      <c r="A2" s="83"/>
      <c r="B2" s="83"/>
      <c r="C2" s="83"/>
      <c r="D2" s="83"/>
      <c r="E2" s="83"/>
    </row>
    <row r="3" spans="1:5" ht="15">
      <c r="A3" s="83"/>
      <c r="B3" s="210"/>
      <c r="C3" s="211"/>
      <c r="D3" s="211"/>
      <c r="E3" s="211"/>
    </row>
    <row r="4" spans="1:5" ht="25.5">
      <c r="A4" s="83"/>
      <c r="B4" s="212" t="s">
        <v>871</v>
      </c>
      <c r="C4" s="213"/>
      <c r="D4" s="213"/>
      <c r="E4" s="213"/>
    </row>
    <row r="5" spans="1:5" ht="15">
      <c r="A5" s="83"/>
      <c r="B5" s="214"/>
      <c r="C5" s="215"/>
      <c r="D5" s="215"/>
      <c r="E5" s="215"/>
    </row>
    <row r="6" spans="1:5" ht="15">
      <c r="A6" s="83"/>
      <c r="B6" s="83"/>
      <c r="C6" s="83"/>
      <c r="D6" s="83"/>
      <c r="E6" s="83"/>
    </row>
  </sheetData>
  <printOptions/>
  <pageMargins left="0.3" right="0.25" top="0.75" bottom="0.25" header="0.5" footer="0.5"/>
  <pageSetup horizontalDpi="600" verticalDpi="600" orientation="landscape" r:id="rId2"/>
  <headerFooter alignWithMargins="0">
    <oddHeader>&amp;C&amp;RSREB-State Data Exchange</oddHeader>
    <oddFooter>&amp;C&amp;RAugust 1998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F26"/>
  <sheetViews>
    <sheetView showGridLines="0" defaultGridColor="0" zoomScale="75" zoomScaleNormal="75" colorId="22" workbookViewId="0" topLeftCell="A1">
      <selection activeCell="E12" sqref="E12"/>
    </sheetView>
  </sheetViews>
  <sheetFormatPr defaultColWidth="9.7109375" defaultRowHeight="12.75"/>
  <sheetData>
    <row r="2" ht="12.75">
      <c r="A2" t="s">
        <v>872</v>
      </c>
    </row>
    <row r="3" spans="1:6" ht="15">
      <c r="A3" s="83" t="s">
        <v>873</v>
      </c>
      <c r="B3" s="116" t="s">
        <v>874</v>
      </c>
      <c r="C3" s="83"/>
      <c r="D3" s="83"/>
      <c r="E3" s="83" t="s">
        <v>875</v>
      </c>
      <c r="F3" s="83"/>
    </row>
    <row r="4" spans="1:6" ht="15">
      <c r="A4" s="83"/>
      <c r="B4" s="116" t="s">
        <v>876</v>
      </c>
      <c r="C4" s="83"/>
      <c r="D4" s="83"/>
      <c r="E4" s="83"/>
      <c r="F4" s="83"/>
    </row>
    <row r="5" spans="1:6" ht="15">
      <c r="A5" s="83"/>
      <c r="B5" s="116" t="s">
        <v>877</v>
      </c>
      <c r="C5" s="83"/>
      <c r="D5" s="83"/>
      <c r="E5" s="83" t="s">
        <v>878</v>
      </c>
      <c r="F5" s="83" t="s">
        <v>879</v>
      </c>
    </row>
    <row r="6" spans="1:6" ht="15">
      <c r="A6" s="83"/>
      <c r="B6" s="116" t="s">
        <v>880</v>
      </c>
      <c r="C6" s="83"/>
      <c r="D6" s="83"/>
      <c r="E6" s="83"/>
      <c r="F6" s="83" t="s">
        <v>879</v>
      </c>
    </row>
    <row r="7" spans="1:6" ht="15">
      <c r="A7" s="83"/>
      <c r="B7" s="116" t="s">
        <v>881</v>
      </c>
      <c r="C7" s="83"/>
      <c r="D7" s="83"/>
      <c r="E7" s="83"/>
      <c r="F7" s="83" t="s">
        <v>879</v>
      </c>
    </row>
    <row r="8" spans="1:6" ht="15">
      <c r="A8" s="83"/>
      <c r="B8" s="116" t="s">
        <v>882</v>
      </c>
      <c r="C8" s="83"/>
      <c r="D8" s="83"/>
      <c r="E8" s="83"/>
      <c r="F8" s="83" t="s">
        <v>879</v>
      </c>
    </row>
    <row r="9" spans="1:6" ht="15">
      <c r="A9" s="83"/>
      <c r="B9" s="116" t="s">
        <v>883</v>
      </c>
      <c r="C9" s="83"/>
      <c r="D9" s="83"/>
      <c r="E9" s="83"/>
      <c r="F9" s="83" t="s">
        <v>879</v>
      </c>
    </row>
    <row r="10" spans="1:6" ht="15">
      <c r="A10" s="83"/>
      <c r="B10" s="116" t="s">
        <v>884</v>
      </c>
      <c r="C10" s="83"/>
      <c r="D10" s="83"/>
      <c r="E10" s="83"/>
      <c r="F10" s="83" t="s">
        <v>879</v>
      </c>
    </row>
    <row r="11" spans="1:6" ht="15">
      <c r="A11" s="83"/>
      <c r="B11" s="116" t="s">
        <v>885</v>
      </c>
      <c r="C11" s="83"/>
      <c r="D11" s="83"/>
      <c r="E11" s="83"/>
      <c r="F11" s="83" t="s">
        <v>879</v>
      </c>
    </row>
    <row r="12" spans="1:6" ht="15">
      <c r="A12" s="83"/>
      <c r="B12" s="116" t="s">
        <v>886</v>
      </c>
      <c r="C12" s="83"/>
      <c r="D12" s="83"/>
      <c r="E12" s="83"/>
      <c r="F12" s="83" t="s">
        <v>879</v>
      </c>
    </row>
    <row r="13" spans="1:6" ht="15">
      <c r="A13" s="83"/>
      <c r="B13" s="116" t="s">
        <v>887</v>
      </c>
      <c r="C13" s="83"/>
      <c r="D13" s="83"/>
      <c r="E13" s="83"/>
      <c r="F13" s="83" t="s">
        <v>879</v>
      </c>
    </row>
    <row r="14" spans="1:6" ht="15">
      <c r="A14" s="83"/>
      <c r="B14" s="116" t="s">
        <v>888</v>
      </c>
      <c r="C14" s="83"/>
      <c r="D14" s="83"/>
      <c r="E14" s="83"/>
      <c r="F14" s="83" t="s">
        <v>879</v>
      </c>
    </row>
    <row r="16" ht="12.75">
      <c r="E16" t="s">
        <v>889</v>
      </c>
    </row>
    <row r="17" spans="5:6" ht="12.75">
      <c r="E17" t="s">
        <v>890</v>
      </c>
      <c r="F17" t="s">
        <v>891</v>
      </c>
    </row>
    <row r="18" ht="12.75">
      <c r="F18" t="s">
        <v>891</v>
      </c>
    </row>
    <row r="19" ht="12.75">
      <c r="F19" t="s">
        <v>891</v>
      </c>
    </row>
    <row r="20" ht="12.75">
      <c r="F20" t="s">
        <v>891</v>
      </c>
    </row>
    <row r="21" ht="12.75">
      <c r="F21" t="s">
        <v>891</v>
      </c>
    </row>
    <row r="22" ht="12.75">
      <c r="F22" t="s">
        <v>891</v>
      </c>
    </row>
    <row r="23" ht="12.75">
      <c r="F23" t="s">
        <v>891</v>
      </c>
    </row>
    <row r="24" ht="12.75">
      <c r="F24" t="s">
        <v>891</v>
      </c>
    </row>
    <row r="25" ht="12.75">
      <c r="F25" t="s">
        <v>891</v>
      </c>
    </row>
    <row r="26" ht="12.75">
      <c r="F26" t="s">
        <v>891</v>
      </c>
    </row>
  </sheetData>
  <printOptions/>
  <pageMargins left="0.3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