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6288" activeTab="0"/>
  </bookViews>
  <sheets>
    <sheet name="A" sheetId="1" r:id="rId1"/>
  </sheets>
  <definedNames>
    <definedName name="_Key1" hidden="1">'A'!$B$22</definedName>
    <definedName name="_Key2" hidden="1">'A'!$D$22</definedName>
    <definedName name="_Order1" hidden="1">255</definedName>
    <definedName name="_Order2" hidden="1">255</definedName>
    <definedName name="_Sort" hidden="1">'A'!$B$22:$T$216</definedName>
    <definedName name="AL71A">'A'!$AP$605:$AQ$606</definedName>
    <definedName name="AL71B">'A'!$AR$605:$AS$606</definedName>
    <definedName name="AL71C">'A'!$AT$605:$AU$606</definedName>
    <definedName name="AL72A">'A'!$AV$605:$AW$606</definedName>
    <definedName name="AL72B">'A'!$AX$605:$AY$606</definedName>
    <definedName name="AL73A">'A'!$AZ$605:$BA$606</definedName>
    <definedName name="AL75A">'A'!$BB$605:$BC$606</definedName>
    <definedName name="AR71A">'A'!$AP$607:$AQ$608</definedName>
    <definedName name="AR71B">'A'!$AR$607:$AS$608</definedName>
    <definedName name="AR71C">'A'!$AT$607:$AU$608</definedName>
    <definedName name="AR72A">'A'!$AV$607:$AW$608</definedName>
    <definedName name="AR72B">'A'!$AX$607:$AY$608</definedName>
    <definedName name="AR73A">'A'!$AZ$607:$BA$608</definedName>
    <definedName name="AR75A">'A'!$BB$607:$BC$608</definedName>
    <definedName name="CR4YEAR">'A'!$AC$37:$AC$44</definedName>
    <definedName name="CRFIVE">'A'!$AE$31:$AE$32</definedName>
    <definedName name="CRFOUR">'A'!$AC$31:$AC$35</definedName>
    <definedName name="CRONE">'A'!$W$31:$W$34</definedName>
    <definedName name="CRSIX">'A'!$AG$31:$AG$32</definedName>
    <definedName name="CRTHREE">'A'!$AA$31:$AA$32</definedName>
    <definedName name="CRTWO">'A'!$Y$31:$Y$33</definedName>
    <definedName name="DATABASE">'A'!$B$21:$AD$538</definedName>
    <definedName name="DB">'A'!$B$21:$T$582</definedName>
    <definedName name="FL71A">'A'!$AP$609:$AQ$610</definedName>
    <definedName name="FL71B">'A'!$AR$609:$AS$610</definedName>
    <definedName name="FL71C">'A'!$AT$609:$AU$610</definedName>
    <definedName name="FL72A">'A'!$AV$609:$AW$610</definedName>
    <definedName name="FL72B">'A'!$AX$609:$AY$610</definedName>
    <definedName name="FL73A">'A'!$AZ$609:$BA$610</definedName>
    <definedName name="FL75A">'A'!$BB$609:$BC$610</definedName>
    <definedName name="GA71A">'A'!$AP$611:$AQ$612</definedName>
    <definedName name="GA71B">'A'!$AR$611:$AS$612</definedName>
    <definedName name="GA71C">'A'!$AT$611:$AU$612</definedName>
    <definedName name="GA72A">'A'!$AV$611:$AW$612</definedName>
    <definedName name="GA72B">'A'!$AX$611:$AY$612</definedName>
    <definedName name="GA73A">'A'!$AZ$611:$BA$612</definedName>
    <definedName name="GA75A">'A'!$BB$611:$BC$612</definedName>
    <definedName name="KY71A">'A'!$AP$613:$AQ$614</definedName>
    <definedName name="KY71B">'A'!$AR$613:$AS$614</definedName>
    <definedName name="KY71C">'A'!$AT$613:$AU$614</definedName>
    <definedName name="KY72A">'A'!$AV$613:$AW$614</definedName>
    <definedName name="KY72B">'A'!$AX$613:$AY$614</definedName>
    <definedName name="KY73A">'A'!$AZ$613:$BA$614</definedName>
    <definedName name="KY75A">'A'!$BB$613:$BC$614</definedName>
    <definedName name="LA71A">'A'!$AP$615:$AQ$616</definedName>
    <definedName name="LA71B">'A'!$AR$615:$AS$616</definedName>
    <definedName name="LA71C">'A'!$AT$615:$AU$616</definedName>
    <definedName name="LA72A">'A'!$AV$615:$AW$616</definedName>
    <definedName name="LA72B">'A'!$AX$615:$AY$616</definedName>
    <definedName name="LA73A">'A'!$AZ$615:$BA$616</definedName>
    <definedName name="LA75A">'A'!$BB$615:$BC$616</definedName>
    <definedName name="M">'A'!$H$19</definedName>
    <definedName name="MD71A">'A'!$AP$617:$AQ$618</definedName>
    <definedName name="MD71B">'A'!$AR$617:$AS$618</definedName>
    <definedName name="MD71C">'A'!$AT$617:$AU$618</definedName>
    <definedName name="MD72A">'A'!$AV$617:$AW$618</definedName>
    <definedName name="MD72B">'A'!$AX$617:$AY$618</definedName>
    <definedName name="MD73A">'A'!$AZ$617:$BA$618</definedName>
    <definedName name="MD75A">'A'!$BB$617:$BC$618</definedName>
    <definedName name="MS71A">'A'!$AP$619:$AQ$620</definedName>
    <definedName name="MS71B">'A'!$AR$619:$AS$620</definedName>
    <definedName name="MS71C">'A'!$AT$619:$AU$620</definedName>
    <definedName name="MS72A">'A'!$AV$619:$AW$620</definedName>
    <definedName name="MS72B">'A'!$AX$619:$AY$620</definedName>
    <definedName name="MS73A">'A'!$AZ$619:$BA$620</definedName>
    <definedName name="MS75A">'A'!$BB$619:$BC$620</definedName>
    <definedName name="NC71A">'A'!$AP$621:$AQ$622</definedName>
    <definedName name="NC71B">'A'!$AR$621:$AS$622</definedName>
    <definedName name="NC71C">'A'!$AT$621:$AU$622</definedName>
    <definedName name="NC72A">'A'!$AV$621:$AW$622</definedName>
    <definedName name="NC72B">'A'!$AX$621:$AY$622</definedName>
    <definedName name="NC73A">'A'!$AZ$621:$BA$622</definedName>
    <definedName name="NC75A">'A'!$BB$621:$BC$622</definedName>
    <definedName name="OK71A">'A'!$AP$623:$AQ$624</definedName>
    <definedName name="OK71B">'A'!$AR$623:$AS$624</definedName>
    <definedName name="OK71C">'A'!$AT$623:$AU$624</definedName>
    <definedName name="OK72A">'A'!$AV$623:$AW$624</definedName>
    <definedName name="OK72B">'A'!$AX$623:$AY$624</definedName>
    <definedName name="OK73A">'A'!$AZ$623:$BA$624</definedName>
    <definedName name="OK75A">'A'!$BB$623:$BC$624</definedName>
    <definedName name="_xlnm.Print_Area" localSheetId="0">'A'!$W$593:$AK$632</definedName>
    <definedName name="Print_Area_MI" localSheetId="0">'A'!$W$593:$AK$632</definedName>
    <definedName name="R_">'A'!$F$22:$F$216</definedName>
    <definedName name="REG71A">'A'!$AQ$635:$AQ$636</definedName>
    <definedName name="REG71B">'A'!$AS$635:$AS$636</definedName>
    <definedName name="REG71C">'A'!$AU$635:$AU$636</definedName>
    <definedName name="REG72A">'A'!$AW$635:$AW$636</definedName>
    <definedName name="REG72B">'A'!$AY$635:$AY$636</definedName>
    <definedName name="REG73A">'A'!$BA$635:$BA$636</definedName>
    <definedName name="REG75A">'A'!$BC$635:$BC$636</definedName>
    <definedName name="SC71A">'A'!$AP$625:$AQ$626</definedName>
    <definedName name="SC71B">'A'!$AR$625:$AS$626</definedName>
    <definedName name="SC71C">'A'!$AT$625:$AU$626</definedName>
    <definedName name="SC72A">'A'!$AV$625:$AW$626</definedName>
    <definedName name="SC72B">'A'!$AX$625:$AY$626</definedName>
    <definedName name="SC73A">'A'!$AZ$625:$BA$626</definedName>
    <definedName name="SC75A">'A'!$BB$625:$BC$626</definedName>
    <definedName name="TAB_10">'A'!$B$719:$O$754</definedName>
    <definedName name="TAB_7A">'A'!$A$593:$T$631</definedName>
    <definedName name="TAB_7B">'A'!$W$593:$AK$632</definedName>
    <definedName name="TAB_8">'A'!$A$636:$J$676</definedName>
    <definedName name="TAB_9">'A'!$B$679:$N$714</definedName>
    <definedName name="TABLES">'A'!$A$593:$P$750</definedName>
    <definedName name="TN71A">'A'!$AP$627:$AQ$628</definedName>
    <definedName name="TN71B">'A'!$AR$627:$AS$628</definedName>
    <definedName name="TN71C">'A'!$AT$627:$AU$628</definedName>
    <definedName name="TN72A">'A'!$AV$627:$AW$628</definedName>
    <definedName name="TN72B">'A'!$AX$627:$AY$628</definedName>
    <definedName name="TN73A">'A'!$AZ$627:$BA$628</definedName>
    <definedName name="TN75A">'A'!$BB$627:$BC$628</definedName>
    <definedName name="TX71A">'A'!$AP$629:$AQ$630</definedName>
    <definedName name="TX71B">'A'!$AR$629:$AS$630</definedName>
    <definedName name="TX71C">'A'!$AT$629:$AU$630</definedName>
    <definedName name="TX72A">'A'!$AV$629:$AW$630</definedName>
    <definedName name="TX72B">'A'!$AX$629:$AY$630</definedName>
    <definedName name="TX73A">'A'!$AZ$629:$BA$630</definedName>
    <definedName name="TX75A">'A'!$BB$629:$BC$630</definedName>
    <definedName name="VA71A">'A'!$AP$631:$AQ$632</definedName>
    <definedName name="VA71B">'A'!$AR$631:$AS$632</definedName>
    <definedName name="VA71C">'A'!$AT$631:$AU$632</definedName>
    <definedName name="VA72A">'A'!$AV$631:$AW$632</definedName>
    <definedName name="VA72B">'A'!$AX$631:$AY$632</definedName>
    <definedName name="VA73A">'A'!$AZ$631:$BA$632</definedName>
    <definedName name="VA75A">'A'!$BB$631:$BC$632</definedName>
    <definedName name="WV71A">'A'!$AP$633:$AQ$634</definedName>
    <definedName name="WV71B">'A'!$AR$633:$AS$634</definedName>
    <definedName name="WV71C">'A'!$AT$633:$AU$634</definedName>
    <definedName name="WV72A">'A'!$AV$633:$AW$634</definedName>
    <definedName name="WV72B">'A'!$AX$633:$AY$634</definedName>
    <definedName name="WV73A">'A'!$AZ$633:$BA$634</definedName>
    <definedName name="WV75A">'A'!$BB$633:$BC$634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<sst xmlns="http://schemas.openxmlformats.org/spreadsheetml/2006/main" count="3073" uniqueCount="681">
  <si>
    <t xml:space="preserve">          1985-86 SREB State Data Exchange</t>
  </si>
  <si>
    <t>Part V</t>
  </si>
  <si>
    <t xml:space="preserve">  This LOTUS 1-2-3 worksheet contains the following areas:</t>
  </si>
  <si>
    <t>*</t>
  </si>
  <si>
    <t>*******</t>
  </si>
  <si>
    <t xml:space="preserve">   This Introduction</t>
  </si>
  <si>
    <t xml:space="preserve">   Data Base from Surveys</t>
  </si>
  <si>
    <t>*  CRITERION</t>
  </si>
  <si>
    <t>ION  *</t>
  </si>
  <si>
    <t xml:space="preserve">  Tables 7 - 10</t>
  </si>
  <si>
    <t>*  RANGES</t>
  </si>
  <si>
    <t>*  FOR</t>
  </si>
  <si>
    <t>(MEDIANS)</t>
  </si>
  <si>
    <t>(MEANS)</t>
  </si>
  <si>
    <t>*  MEANS</t>
  </si>
  <si>
    <t>[Table 7 only]</t>
  </si>
  <si>
    <t>@IF(@MOD(@COUNT(R),2)=0,(@INDEX(R,0,@COUNT(R)/2)+@INDEX(R,0,@COUNT(R)/2-1))/2,@INDEX(R,0,@INT(@COUNT(R)/2)))</t>
  </si>
  <si>
    <t>STATE</t>
  </si>
  <si>
    <t>INSTITUTION</t>
  </si>
  <si>
    <t>CODE</t>
  </si>
  <si>
    <t>UGRAD-R</t>
  </si>
  <si>
    <t>UGRAD-NR</t>
  </si>
  <si>
    <t>GRAD-R</t>
  </si>
  <si>
    <t>GRAD-NR</t>
  </si>
  <si>
    <t>LAW-R</t>
  </si>
  <si>
    <t>LAW-NR</t>
  </si>
  <si>
    <t>MED-R</t>
  </si>
  <si>
    <t>MED-NR</t>
  </si>
  <si>
    <t>DENT-R</t>
  </si>
  <si>
    <t>DENT-NR</t>
  </si>
  <si>
    <t>OPT-R</t>
  </si>
  <si>
    <t>OPT-NR</t>
  </si>
  <si>
    <t>VMED-R</t>
  </si>
  <si>
    <t>VMED-NR</t>
  </si>
  <si>
    <t>OTHER-R</t>
  </si>
  <si>
    <t>OTHER-NR</t>
  </si>
  <si>
    <t xml:space="preserve">   Doctoral</t>
  </si>
  <si>
    <t xml:space="preserve">     Master's</t>
  </si>
  <si>
    <t xml:space="preserve">  Baccalaureate</t>
  </si>
  <si>
    <t xml:space="preserve">  All Four-Year</t>
  </si>
  <si>
    <t xml:space="preserve">     Two-Year</t>
  </si>
  <si>
    <t xml:space="preserve">    Specialized</t>
  </si>
  <si>
    <t xml:space="preserve">   Overall</t>
  </si>
  <si>
    <t>&gt;</t>
  </si>
  <si>
    <t>ALABAMA</t>
  </si>
  <si>
    <t>AU</t>
  </si>
  <si>
    <t>1b</t>
  </si>
  <si>
    <t>UA</t>
  </si>
  <si>
    <t>Res.</t>
  </si>
  <si>
    <t>Non-Res.</t>
  </si>
  <si>
    <t>UAB</t>
  </si>
  <si>
    <t>1c</t>
  </si>
  <si>
    <t>UAH</t>
  </si>
  <si>
    <t>USA</t>
  </si>
  <si>
    <t>Regional Mean</t>
  </si>
  <si>
    <t>A&amp;M</t>
  </si>
  <si>
    <t>2a</t>
  </si>
  <si>
    <t>_</t>
  </si>
  <si>
    <t>JSU</t>
  </si>
  <si>
    <t>ASU</t>
  </si>
  <si>
    <t>2b</t>
  </si>
  <si>
    <t>Criterion Ranges</t>
  </si>
  <si>
    <t>AUM</t>
  </si>
  <si>
    <t>LU</t>
  </si>
  <si>
    <t>TSU-FtRucker</t>
  </si>
  <si>
    <t>1a</t>
  </si>
  <si>
    <t>3</t>
  </si>
  <si>
    <t>4a</t>
  </si>
  <si>
    <t>5</t>
  </si>
  <si>
    <t>TSU-Main</t>
  </si>
  <si>
    <t>4b</t>
  </si>
  <si>
    <t>TSU-Mont</t>
  </si>
  <si>
    <t>4c</t>
  </si>
  <si>
    <t>UM</t>
  </si>
  <si>
    <t>4d</t>
  </si>
  <si>
    <t>UNA</t>
  </si>
  <si>
    <t>ASC</t>
  </si>
  <si>
    <t>ARKANSAS</t>
  </si>
  <si>
    <t>UAF</t>
  </si>
  <si>
    <t>UALR</t>
  </si>
  <si>
    <t>ATU</t>
  </si>
  <si>
    <t>1d</t>
  </si>
  <si>
    <t>HSU</t>
  </si>
  <si>
    <t>SAU</t>
  </si>
  <si>
    <t>UCA</t>
  </si>
  <si>
    <t>UAM</t>
  </si>
  <si>
    <t>UAPB</t>
  </si>
  <si>
    <t>FLORIDA</t>
  </si>
  <si>
    <t>FSU</t>
  </si>
  <si>
    <t>UF</t>
  </si>
  <si>
    <t>USF</t>
  </si>
  <si>
    <t>FAU</t>
  </si>
  <si>
    <t>UCF</t>
  </si>
  <si>
    <t>FIU</t>
  </si>
  <si>
    <t>UWF</t>
  </si>
  <si>
    <t>FAMU</t>
  </si>
  <si>
    <t>UNF</t>
  </si>
  <si>
    <t>GEORGIA</t>
  </si>
  <si>
    <t>U of Ga</t>
  </si>
  <si>
    <t>GA State</t>
  </si>
  <si>
    <t>GA Tech</t>
  </si>
  <si>
    <t>Albany St.</t>
  </si>
  <si>
    <t>Armstrong</t>
  </si>
  <si>
    <t>Augusta</t>
  </si>
  <si>
    <t>Columbus</t>
  </si>
  <si>
    <t>Ft. Valley</t>
  </si>
  <si>
    <t>GA Coll.</t>
  </si>
  <si>
    <t>GA Sou.</t>
  </si>
  <si>
    <t>GA S.W.</t>
  </si>
  <si>
    <t>North GA</t>
  </si>
  <si>
    <t>Savannah</t>
  </si>
  <si>
    <t>Valdosta</t>
  </si>
  <si>
    <t>West GA</t>
  </si>
  <si>
    <t>Kennesaw</t>
  </si>
  <si>
    <t>KENTUCKY</t>
  </si>
  <si>
    <t>UK</t>
  </si>
  <si>
    <t>UL</t>
  </si>
  <si>
    <t>EKU</t>
  </si>
  <si>
    <t>MuSU</t>
  </si>
  <si>
    <t>WKU</t>
  </si>
  <si>
    <t>KSU</t>
  </si>
  <si>
    <t>MoSU</t>
  </si>
  <si>
    <t>NKU</t>
  </si>
  <si>
    <t>LOUISIANA</t>
  </si>
  <si>
    <t>LSU-BR</t>
  </si>
  <si>
    <t>La. Tech</t>
  </si>
  <si>
    <t>Northeast</t>
  </si>
  <si>
    <t>Northwestern</t>
  </si>
  <si>
    <t>UNO</t>
  </si>
  <si>
    <t>USL</t>
  </si>
  <si>
    <t>Grambling</t>
  </si>
  <si>
    <t>LSU-S</t>
  </si>
  <si>
    <t>McNeese</t>
  </si>
  <si>
    <t>Nicholls</t>
  </si>
  <si>
    <t>SLU</t>
  </si>
  <si>
    <t>SU-BR</t>
  </si>
  <si>
    <t>SU-NO</t>
  </si>
  <si>
    <t>MARYLAND</t>
  </si>
  <si>
    <t>UMCP</t>
  </si>
  <si>
    <t>Morgan</t>
  </si>
  <si>
    <t>UMBC</t>
  </si>
  <si>
    <t>Bowie</t>
  </si>
  <si>
    <t>Coppin</t>
  </si>
  <si>
    <t>Frostb</t>
  </si>
  <si>
    <t>Salisb</t>
  </si>
  <si>
    <t>Towson</t>
  </si>
  <si>
    <t>UB</t>
  </si>
  <si>
    <t>UMES</t>
  </si>
  <si>
    <t>St. Marys</t>
  </si>
  <si>
    <t>MISSISSIPPI</t>
  </si>
  <si>
    <t>MSU</t>
  </si>
  <si>
    <t>USM</t>
  </si>
  <si>
    <t>DSU</t>
  </si>
  <si>
    <t>MUW</t>
  </si>
  <si>
    <t>MVSU</t>
  </si>
  <si>
    <t>NORTH CAROLINA</t>
  </si>
  <si>
    <t>NCSU</t>
  </si>
  <si>
    <t>UNC-CH</t>
  </si>
  <si>
    <t>UNC-G</t>
  </si>
  <si>
    <t>ECU</t>
  </si>
  <si>
    <t>NCA&amp;T</t>
  </si>
  <si>
    <t>NCCU</t>
  </si>
  <si>
    <t>UNC-C</t>
  </si>
  <si>
    <t>WCU</t>
  </si>
  <si>
    <t>PSU</t>
  </si>
  <si>
    <t>UNC-W</t>
  </si>
  <si>
    <t>ECSU</t>
  </si>
  <si>
    <t>UNC-A</t>
  </si>
  <si>
    <t>WSSU</t>
  </si>
  <si>
    <t>OKLAHOMA</t>
  </si>
  <si>
    <t>OSU</t>
  </si>
  <si>
    <t>OU</t>
  </si>
  <si>
    <t>CSU</t>
  </si>
  <si>
    <t>NESU</t>
  </si>
  <si>
    <t>NWOSU</t>
  </si>
  <si>
    <t>SEOSU</t>
  </si>
  <si>
    <t>SWOSU</t>
  </si>
  <si>
    <t>CAMERON</t>
  </si>
  <si>
    <t>LANGSTON</t>
  </si>
  <si>
    <t>PANHANDLE</t>
  </si>
  <si>
    <t>USAO</t>
  </si>
  <si>
    <t>SOUTH CAROLINA</t>
  </si>
  <si>
    <t>USC-COLA</t>
  </si>
  <si>
    <t>Clemson</t>
  </si>
  <si>
    <t>Citadel</t>
  </si>
  <si>
    <t>Coll.Chas.</t>
  </si>
  <si>
    <t>F.Marion</t>
  </si>
  <si>
    <t>Lander</t>
  </si>
  <si>
    <t>SC State</t>
  </si>
  <si>
    <t>Winthrop</t>
  </si>
  <si>
    <t>USC-Aiken</t>
  </si>
  <si>
    <t>USC-Coast</t>
  </si>
  <si>
    <t>USC-Sptnbg.</t>
  </si>
  <si>
    <t>TENNESSEE</t>
  </si>
  <si>
    <t>UTK</t>
  </si>
  <si>
    <t>ETSU</t>
  </si>
  <si>
    <t>MTSU</t>
  </si>
  <si>
    <t>TSU</t>
  </si>
  <si>
    <t>TTU</t>
  </si>
  <si>
    <t>APSU</t>
  </si>
  <si>
    <t>UTC</t>
  </si>
  <si>
    <t>UTM</t>
  </si>
  <si>
    <t>TEXAS</t>
  </si>
  <si>
    <t>NTSU</t>
  </si>
  <si>
    <t>TAMU</t>
  </si>
  <si>
    <t>UH-UP</t>
  </si>
  <si>
    <t>UT-AUS</t>
  </si>
  <si>
    <t>TWU</t>
  </si>
  <si>
    <t>UT-D</t>
  </si>
  <si>
    <t>SFASU</t>
  </si>
  <si>
    <t>SHSU</t>
  </si>
  <si>
    <t>TAIU</t>
  </si>
  <si>
    <t>UT-ARL</t>
  </si>
  <si>
    <t>UT-EP</t>
  </si>
  <si>
    <t>CCSU</t>
  </si>
  <si>
    <t>PAU</t>
  </si>
  <si>
    <t>PVAMU</t>
  </si>
  <si>
    <t>SRSU</t>
  </si>
  <si>
    <t>SWTSU</t>
  </si>
  <si>
    <t>TARL</t>
  </si>
  <si>
    <t>UH-CL</t>
  </si>
  <si>
    <t>UT-SA</t>
  </si>
  <si>
    <t>WTSU</t>
  </si>
  <si>
    <t>ETSU-TEX</t>
  </si>
  <si>
    <t>LSU</t>
  </si>
  <si>
    <t>PAU-BR</t>
  </si>
  <si>
    <t>UH-VIC</t>
  </si>
  <si>
    <t>UT-PB</t>
  </si>
  <si>
    <t>UT-T</t>
  </si>
  <si>
    <t>TAMU-GAL</t>
  </si>
  <si>
    <t>UH-D</t>
  </si>
  <si>
    <t>VIRGINIA</t>
  </si>
  <si>
    <t>UVA</t>
  </si>
  <si>
    <t>VPI&amp;SU</t>
  </si>
  <si>
    <t>VCU</t>
  </si>
  <si>
    <t>W&amp;M</t>
  </si>
  <si>
    <t>GMU</t>
  </si>
  <si>
    <t>ODU</t>
  </si>
  <si>
    <t>JMU</t>
  </si>
  <si>
    <t>LC</t>
  </si>
  <si>
    <t>MWC</t>
  </si>
  <si>
    <t>NSU</t>
  </si>
  <si>
    <t>RU</t>
  </si>
  <si>
    <t>VSU</t>
  </si>
  <si>
    <t>CNC</t>
  </si>
  <si>
    <t>CVC</t>
  </si>
  <si>
    <t>WEST VIRGINIA</t>
  </si>
  <si>
    <t>WVU</t>
  </si>
  <si>
    <t>MU</t>
  </si>
  <si>
    <t>WVIT</t>
  </si>
  <si>
    <t>BSC</t>
  </si>
  <si>
    <t>CC</t>
  </si>
  <si>
    <t>FSC</t>
  </si>
  <si>
    <t>GSC</t>
  </si>
  <si>
    <t>SC</t>
  </si>
  <si>
    <t>WLSC</t>
  </si>
  <si>
    <t>WVSC</t>
  </si>
  <si>
    <t>USC-Beau.</t>
  </si>
  <si>
    <t>USC-Salk.</t>
  </si>
  <si>
    <t>USC-Sumt.</t>
  </si>
  <si>
    <t>USC-Union</t>
  </si>
  <si>
    <t>USC-Lanc.</t>
  </si>
  <si>
    <t>KComm.Col.</t>
  </si>
  <si>
    <t>ABAC</t>
  </si>
  <si>
    <t>Atlanta Jr.</t>
  </si>
  <si>
    <t>Gordon Jr.</t>
  </si>
  <si>
    <t>Emanuel</t>
  </si>
  <si>
    <t>Albany Jr.</t>
  </si>
  <si>
    <t>Waycross</t>
  </si>
  <si>
    <t>Middle GA</t>
  </si>
  <si>
    <t>Macon Jr.</t>
  </si>
  <si>
    <t>Floyd Jr.</t>
  </si>
  <si>
    <t>RBC</t>
  </si>
  <si>
    <t>South GA</t>
  </si>
  <si>
    <t>Gainesville</t>
  </si>
  <si>
    <t>LSU-A</t>
  </si>
  <si>
    <t>LSU-E</t>
  </si>
  <si>
    <t>Delgado</t>
  </si>
  <si>
    <t>SU-S</t>
  </si>
  <si>
    <t>HILL</t>
  </si>
  <si>
    <t>Tricounty</t>
  </si>
  <si>
    <t>O'burg/Calh.</t>
  </si>
  <si>
    <t>Denmark TEC</t>
  </si>
  <si>
    <t>Horry/George</t>
  </si>
  <si>
    <t>Sumter TEC</t>
  </si>
  <si>
    <t>Trident</t>
  </si>
  <si>
    <t>TCJCD-NW</t>
  </si>
  <si>
    <t>Greenville</t>
  </si>
  <si>
    <t>Beau. TEC</t>
  </si>
  <si>
    <t>Chest/Marlb</t>
  </si>
  <si>
    <t>DCCCD-EAST</t>
  </si>
  <si>
    <t>Sptnbg.</t>
  </si>
  <si>
    <t>TCJCD-NE</t>
  </si>
  <si>
    <t>Wmsbg.</t>
  </si>
  <si>
    <t>Aiken TEC</t>
  </si>
  <si>
    <t>ACCD-ST.PH</t>
  </si>
  <si>
    <t>MIDLAND</t>
  </si>
  <si>
    <t>York</t>
  </si>
  <si>
    <t>SJCD-NORTH</t>
  </si>
  <si>
    <t>DCCCD-CEDAR</t>
  </si>
  <si>
    <t>TYLER</t>
  </si>
  <si>
    <t>Flor/Darl</t>
  </si>
  <si>
    <t>LAREDO-JC</t>
  </si>
  <si>
    <t>Piedmont</t>
  </si>
  <si>
    <t>PSC</t>
  </si>
  <si>
    <t>NRCC</t>
  </si>
  <si>
    <t>PDCC</t>
  </si>
  <si>
    <t>LFCC</t>
  </si>
  <si>
    <t>ESCC</t>
  </si>
  <si>
    <t>PHCC</t>
  </si>
  <si>
    <t>WVNCC</t>
  </si>
  <si>
    <t>SWVCC</t>
  </si>
  <si>
    <t>TNCC</t>
  </si>
  <si>
    <t>PCC</t>
  </si>
  <si>
    <t>ROSE</t>
  </si>
  <si>
    <t>SAYRE</t>
  </si>
  <si>
    <t>NOC</t>
  </si>
  <si>
    <t>WOSC</t>
  </si>
  <si>
    <t>JSRCC</t>
  </si>
  <si>
    <t>VWCC</t>
  </si>
  <si>
    <t>GERMCC</t>
  </si>
  <si>
    <t>Midlands TEC</t>
  </si>
  <si>
    <t>BRCC</t>
  </si>
  <si>
    <t>WHARTON</t>
  </si>
  <si>
    <t>VSCC</t>
  </si>
  <si>
    <t>VHCC</t>
  </si>
  <si>
    <t>Wyth CC</t>
  </si>
  <si>
    <t>SWCC</t>
  </si>
  <si>
    <t>Pied CC</t>
  </si>
  <si>
    <t>NVCC</t>
  </si>
  <si>
    <t>CVCC</t>
  </si>
  <si>
    <t>DSLCC</t>
  </si>
  <si>
    <t>JTCC</t>
  </si>
  <si>
    <t>Tide CC</t>
  </si>
  <si>
    <t>MECC</t>
  </si>
  <si>
    <t>Rapp CC</t>
  </si>
  <si>
    <t>DCCCD-BROOK</t>
  </si>
  <si>
    <t>STIK</t>
  </si>
  <si>
    <t>JSCC</t>
  </si>
  <si>
    <t>TCSTI</t>
  </si>
  <si>
    <t>PANOLA</t>
  </si>
  <si>
    <t>KILGORE</t>
  </si>
  <si>
    <t>GRAYSON</t>
  </si>
  <si>
    <t>BEE</t>
  </si>
  <si>
    <t>BLINN</t>
  </si>
  <si>
    <t>HOUSTON</t>
  </si>
  <si>
    <t>WESTERN TX.</t>
  </si>
  <si>
    <t>TCJCD-SO.</t>
  </si>
  <si>
    <t>HCJCD-SWID</t>
  </si>
  <si>
    <t>COLL. MAIN.</t>
  </si>
  <si>
    <t>DCCCD-N.LAKE</t>
  </si>
  <si>
    <t>WEATHERFORD</t>
  </si>
  <si>
    <t>SW TX JR.</t>
  </si>
  <si>
    <t>RANGER</t>
  </si>
  <si>
    <t>VICTORIA</t>
  </si>
  <si>
    <t>DCCCD-RICH</t>
  </si>
  <si>
    <t>McLENNAN</t>
  </si>
  <si>
    <t>NAVARRO</t>
  </si>
  <si>
    <t>ODESSA</t>
  </si>
  <si>
    <t>CISCO</t>
  </si>
  <si>
    <t>AUSTIN</t>
  </si>
  <si>
    <t>LEE</t>
  </si>
  <si>
    <t>TEMPLE</t>
  </si>
  <si>
    <t>FK PHILLIPS</t>
  </si>
  <si>
    <t>OCCC</t>
  </si>
  <si>
    <t>CENTRAL TX</t>
  </si>
  <si>
    <t>SJCD-CENTRAL</t>
  </si>
  <si>
    <t>DCCCD-MT.</t>
  </si>
  <si>
    <t>VERNON</t>
  </si>
  <si>
    <t>S. PLAINS</t>
  </si>
  <si>
    <t>CoSCC</t>
  </si>
  <si>
    <t>C1SCC</t>
  </si>
  <si>
    <t>SJCD-SOUTH</t>
  </si>
  <si>
    <t>SSCC</t>
  </si>
  <si>
    <t>CSTCC</t>
  </si>
  <si>
    <t>RSCC</t>
  </si>
  <si>
    <t>MSCC</t>
  </si>
  <si>
    <t>HENDERSON</t>
  </si>
  <si>
    <t>N. HARRIS</t>
  </si>
  <si>
    <t>NSTI</t>
  </si>
  <si>
    <t>STIM</t>
  </si>
  <si>
    <t>WSCC</t>
  </si>
  <si>
    <t>DSCC</t>
  </si>
  <si>
    <t>ALVIN</t>
  </si>
  <si>
    <t>AMARILLO</t>
  </si>
  <si>
    <t>DEL MAR</t>
  </si>
  <si>
    <t>HOWARD</t>
  </si>
  <si>
    <t>BRAZOSPORT</t>
  </si>
  <si>
    <t>TX SOUTHMAT</t>
  </si>
  <si>
    <t>CLARENDON</t>
  </si>
  <si>
    <t>TEXARKANA</t>
  </si>
  <si>
    <t>DCCCD-ELCEN</t>
  </si>
  <si>
    <t>PARIS</t>
  </si>
  <si>
    <t>ACCD-SAC</t>
  </si>
  <si>
    <t>ANGELINE</t>
  </si>
  <si>
    <t>EL PASO</t>
  </si>
  <si>
    <t>COOKE</t>
  </si>
  <si>
    <t>GALVESTON</t>
  </si>
  <si>
    <t>CAJC</t>
  </si>
  <si>
    <t>JOHN</t>
  </si>
  <si>
    <t>MURRAY</t>
  </si>
  <si>
    <t>Lawson</t>
  </si>
  <si>
    <t>Howard</t>
  </si>
  <si>
    <t>Allegany</t>
  </si>
  <si>
    <t>PGCC</t>
  </si>
  <si>
    <t>Montg</t>
  </si>
  <si>
    <t>Wallace-D.</t>
  </si>
  <si>
    <t>Wallace-S.</t>
  </si>
  <si>
    <t>NEOAMC</t>
  </si>
  <si>
    <t>Chat. Valley</t>
  </si>
  <si>
    <t>Charles</t>
  </si>
  <si>
    <t>Henry</t>
  </si>
  <si>
    <t>Calhoun</t>
  </si>
  <si>
    <t>Brewer</t>
  </si>
  <si>
    <t>Northwest</t>
  </si>
  <si>
    <t>Jeff. State</t>
  </si>
  <si>
    <t>Enterprise</t>
  </si>
  <si>
    <t>Jeff. Davis</t>
  </si>
  <si>
    <t>AACC</t>
  </si>
  <si>
    <t>Freder</t>
  </si>
  <si>
    <t>ASUB</t>
  </si>
  <si>
    <t>Chesap</t>
  </si>
  <si>
    <t>MISS. DELTA</t>
  </si>
  <si>
    <t>HOLMES</t>
  </si>
  <si>
    <t>COP-LIN</t>
  </si>
  <si>
    <t>COAHOMA</t>
  </si>
  <si>
    <t>NORTHEAST</t>
  </si>
  <si>
    <t>NORTHWEST</t>
  </si>
  <si>
    <t>Shelton</t>
  </si>
  <si>
    <t>Wor-Wic</t>
  </si>
  <si>
    <t>Hagers</t>
  </si>
  <si>
    <t>Cecil</t>
  </si>
  <si>
    <t>Harford</t>
  </si>
  <si>
    <t>Garrett</t>
  </si>
  <si>
    <t>Catonsy</t>
  </si>
  <si>
    <t>Dundalk</t>
  </si>
  <si>
    <t>Essex</t>
  </si>
  <si>
    <t>CCB</t>
  </si>
  <si>
    <t>South. Union</t>
  </si>
  <si>
    <t>SAUT</t>
  </si>
  <si>
    <t>MCCC</t>
  </si>
  <si>
    <t>EDIS</t>
  </si>
  <si>
    <t>OKAL</t>
  </si>
  <si>
    <t>Brunswick</t>
  </si>
  <si>
    <t>SFLA</t>
  </si>
  <si>
    <t>TALL</t>
  </si>
  <si>
    <t>LCTY</t>
  </si>
  <si>
    <t>FJAX</t>
  </si>
  <si>
    <t>GULF</t>
  </si>
  <si>
    <t>CHIP</t>
  </si>
  <si>
    <t xml:space="preserve">ST.J </t>
  </si>
  <si>
    <t>Clayton</t>
  </si>
  <si>
    <t>INDR</t>
  </si>
  <si>
    <t>FKEY</t>
  </si>
  <si>
    <t>NFLA</t>
  </si>
  <si>
    <t>DAYT</t>
  </si>
  <si>
    <t>SEMI</t>
  </si>
  <si>
    <t>CFLA</t>
  </si>
  <si>
    <t>MANA</t>
  </si>
  <si>
    <t>Bainbridge</t>
  </si>
  <si>
    <t>Dalton</t>
  </si>
  <si>
    <t>SAUE</t>
  </si>
  <si>
    <t>PALM</t>
  </si>
  <si>
    <t>WCC</t>
  </si>
  <si>
    <t>GCCC</t>
  </si>
  <si>
    <t>RMCC</t>
  </si>
  <si>
    <t>NACC</t>
  </si>
  <si>
    <t>PCCC</t>
  </si>
  <si>
    <t>EACC</t>
  </si>
  <si>
    <t>BROW</t>
  </si>
  <si>
    <t>VALE</t>
  </si>
  <si>
    <t>POLK</t>
  </si>
  <si>
    <t>PENS</t>
  </si>
  <si>
    <t>ST.P</t>
  </si>
  <si>
    <t>MIAM</t>
  </si>
  <si>
    <t>PASC</t>
  </si>
  <si>
    <t>LSUM</t>
  </si>
  <si>
    <t>SANF</t>
  </si>
  <si>
    <t>JONES COUNTY</t>
  </si>
  <si>
    <t>HINDS</t>
  </si>
  <si>
    <t>ITAWAMBA</t>
  </si>
  <si>
    <t>E. MISS</t>
  </si>
  <si>
    <t>VANC</t>
  </si>
  <si>
    <t>RAND</t>
  </si>
  <si>
    <t>BEAU</t>
  </si>
  <si>
    <t>MAYL</t>
  </si>
  <si>
    <t>MART</t>
  </si>
  <si>
    <t>COAS</t>
  </si>
  <si>
    <t>PIED</t>
  </si>
  <si>
    <t>CALD</t>
  </si>
  <si>
    <t>HAYW</t>
  </si>
  <si>
    <t>HALI</t>
  </si>
  <si>
    <t>MONT</t>
  </si>
  <si>
    <t>CAPE</t>
  </si>
  <si>
    <t>ANSO</t>
  </si>
  <si>
    <t>MCDO</t>
  </si>
  <si>
    <t>ROAN</t>
  </si>
  <si>
    <t>ROBE</t>
  </si>
  <si>
    <t>CCAR</t>
  </si>
  <si>
    <t>L.B. Wallace</t>
  </si>
  <si>
    <t>SWES</t>
  </si>
  <si>
    <t>BLUE</t>
  </si>
  <si>
    <t>WAYN</t>
  </si>
  <si>
    <t>OSU-TT/Okmulgee</t>
  </si>
  <si>
    <t>EASTERN</t>
  </si>
  <si>
    <t>EL RENO</t>
  </si>
  <si>
    <t>SEMINOLE</t>
  </si>
  <si>
    <t>ROGERS</t>
  </si>
  <si>
    <t>Faulkner</t>
  </si>
  <si>
    <t>CONNORS</t>
  </si>
  <si>
    <t>TJC</t>
  </si>
  <si>
    <t>Gadsden</t>
  </si>
  <si>
    <t>OSU-TI/OK City</t>
  </si>
  <si>
    <t>CART</t>
  </si>
  <si>
    <t>FAYE</t>
  </si>
  <si>
    <t>TRIC</t>
  </si>
  <si>
    <t>CPIE</t>
  </si>
  <si>
    <t>NASH</t>
  </si>
  <si>
    <t>WAKE</t>
  </si>
  <si>
    <t>TCA</t>
  </si>
  <si>
    <t>EDGE</t>
  </si>
  <si>
    <t>WPIE</t>
  </si>
  <si>
    <t>BREV</t>
  </si>
  <si>
    <t>MERIDIAN</t>
  </si>
  <si>
    <t>SAMP</t>
  </si>
  <si>
    <t>ROCK</t>
  </si>
  <si>
    <t>Bishop</t>
  </si>
  <si>
    <t>Alex. City</t>
  </si>
  <si>
    <t>Snead</t>
  </si>
  <si>
    <t>CRAV</t>
  </si>
  <si>
    <t>GUIL</t>
  </si>
  <si>
    <t>CALB</t>
  </si>
  <si>
    <t>MITC</t>
  </si>
  <si>
    <t>SECC</t>
  </si>
  <si>
    <t>ISOT</t>
  </si>
  <si>
    <t>LENO</t>
  </si>
  <si>
    <t>Wallace-H.</t>
  </si>
  <si>
    <t>E. CENTRAL</t>
  </si>
  <si>
    <t>MISS.G.COAST</t>
  </si>
  <si>
    <t>PEARL RIVER</t>
  </si>
  <si>
    <t>SOUTHWEST</t>
  </si>
  <si>
    <t>WILK</t>
  </si>
  <si>
    <t>JAME</t>
  </si>
  <si>
    <t>SURR</t>
  </si>
  <si>
    <t>CLEV</t>
  </si>
  <si>
    <t>STAN</t>
  </si>
  <si>
    <t>RICH</t>
  </si>
  <si>
    <t>FORS</t>
  </si>
  <si>
    <t>ASHE</t>
  </si>
  <si>
    <t>DURH</t>
  </si>
  <si>
    <t>ROWA</t>
  </si>
  <si>
    <t>BRUN</t>
  </si>
  <si>
    <t>BLAD</t>
  </si>
  <si>
    <t>WILS</t>
  </si>
  <si>
    <t>SAND</t>
  </si>
  <si>
    <t>GAST</t>
  </si>
  <si>
    <t>PITT</t>
  </si>
  <si>
    <t>DAVI</t>
  </si>
  <si>
    <t>CTWA</t>
  </si>
  <si>
    <t>PAML</t>
  </si>
  <si>
    <t>TSTI</t>
  </si>
  <si>
    <t>Dan CC</t>
  </si>
  <si>
    <t>VO-TECH</t>
  </si>
  <si>
    <t>VO-TEC</t>
  </si>
  <si>
    <t xml:space="preserve">Waycross-Wave </t>
  </si>
  <si>
    <t>Elbert Sch/LPN</t>
  </si>
  <si>
    <t>Athens AVTS</t>
  </si>
  <si>
    <t>Macon AVTS</t>
  </si>
  <si>
    <t>Atlanta AVTS</t>
  </si>
  <si>
    <t>CoosaValley AVTS</t>
  </si>
  <si>
    <t>Valdosta AVTS</t>
  </si>
  <si>
    <t>Pickens AVTS</t>
  </si>
  <si>
    <t>Heart of GA AVTS</t>
  </si>
  <si>
    <t>Houston AVTS</t>
  </si>
  <si>
    <t>Savannah AVTS</t>
  </si>
  <si>
    <t>Moultrie AVTS</t>
  </si>
  <si>
    <t>Swainsboro AVTS</t>
  </si>
  <si>
    <t>Walker AVTS</t>
  </si>
  <si>
    <t>GlynnCtyAdultCtr</t>
  </si>
  <si>
    <t>North GA AVTS</t>
  </si>
  <si>
    <t>South GA AVTS</t>
  </si>
  <si>
    <t>Upson AVTS</t>
  </si>
  <si>
    <t>Albany AVTS</t>
  </si>
  <si>
    <t>Marietta-Cobb</t>
  </si>
  <si>
    <t>Gwinnett AVTS</t>
  </si>
  <si>
    <t>Dalton Hlt Occup</t>
  </si>
  <si>
    <t>BenHill-Irwin</t>
  </si>
  <si>
    <t>Griffin-Spdg AVTS</t>
  </si>
  <si>
    <t>Columbus AVTS</t>
  </si>
  <si>
    <t>Troup AVTS</t>
  </si>
  <si>
    <t>Augusta AVTS</t>
  </si>
  <si>
    <t>DeKalb AVTS</t>
  </si>
  <si>
    <t>Carroll AVTS</t>
  </si>
  <si>
    <t>Lanier AVTS</t>
  </si>
  <si>
    <t>Thomas AVTS</t>
  </si>
  <si>
    <t>AVTS</t>
  </si>
  <si>
    <t>Baldw &amp; LPN Sch</t>
  </si>
  <si>
    <t>UT-MEM</t>
  </si>
  <si>
    <t>UTVM</t>
  </si>
  <si>
    <t>WVSOM</t>
  </si>
  <si>
    <t>UMAB</t>
  </si>
  <si>
    <t>OCOMS</t>
  </si>
  <si>
    <t>NCSA</t>
  </si>
  <si>
    <t>MUSC</t>
  </si>
  <si>
    <t>UTSI</t>
  </si>
  <si>
    <t>UMMC</t>
  </si>
  <si>
    <t>TTU-HSC</t>
  </si>
  <si>
    <t>LSU Law Ctr</t>
  </si>
  <si>
    <t>LSU Med Ctr</t>
  </si>
  <si>
    <t>TCOM</t>
  </si>
  <si>
    <t>UTMB-GAL</t>
  </si>
  <si>
    <t>UTHSC-H</t>
  </si>
  <si>
    <t>UTHSC-SA</t>
  </si>
  <si>
    <t>UAMS</t>
  </si>
  <si>
    <t>Sou. Tech</t>
  </si>
  <si>
    <t>UTHSC-D</t>
  </si>
  <si>
    <t>VMI</t>
  </si>
  <si>
    <t>Med. Coll.</t>
  </si>
  <si>
    <t>WVCOGS</t>
  </si>
  <si>
    <t>Table 7</t>
  </si>
  <si>
    <t>Table 7B</t>
  </si>
  <si>
    <t>MEDIAN ANNUAL TUITION AND REQUIRED FEES</t>
  </si>
  <si>
    <t>MEAN ANNUAL TUITION AND REQUIRED FEES</t>
  </si>
  <si>
    <t>FOR RESIDENT AND NON-RESIDENT UNDERGRADUATE STUDENTS,</t>
  </si>
  <si>
    <t>FOUR-YEAR PUBLIC INSTITUTIONS,</t>
  </si>
  <si>
    <t>SREB STATES, 1985-86</t>
  </si>
  <si>
    <t>SREB STATES, 1984-85</t>
  </si>
  <si>
    <t xml:space="preserve">        Doctoral</t>
  </si>
  <si>
    <t xml:space="preserve">      Doctoral</t>
  </si>
  <si>
    <t xml:space="preserve">    Doctoral</t>
  </si>
  <si>
    <t xml:space="preserve">    Master's</t>
  </si>
  <si>
    <t xml:space="preserve">  Specialized</t>
  </si>
  <si>
    <t>I</t>
  </si>
  <si>
    <t>II</t>
  </si>
  <si>
    <t>III</t>
  </si>
  <si>
    <t>CRITEION RANGES FOR TABLE 7 (MEANS)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</si>
  <si>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</si>
  <si>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</si>
  <si>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</si>
  <si>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</si>
  <si>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</si>
  <si>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</si>
  <si>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</si>
  <si>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</si>
  <si>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</si>
  <si>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</si>
  <si>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</si>
  <si>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</si>
  <si>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</si>
  <si>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</si>
  <si>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</si>
  <si>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Regional Median</t>
  </si>
  <si>
    <t>NOTES:  Tennessee: Fees include maintenance fees, debt service fees, student activity fees and health services fees.</t>
  </si>
  <si>
    <t xml:space="preserve">        Texas: Represents minimum annual tuition and fees.</t>
  </si>
  <si>
    <t xml:space="preserve">        Virginia: Specialized institution fees do not include $1,925 charge for uniform cost.</t>
  </si>
  <si>
    <t xml:space="preserve">     Table 8</t>
  </si>
  <si>
    <t>Table 8</t>
  </si>
  <si>
    <t xml:space="preserve">   TWO-YEAR PUBLIC INSTITUTIONS,</t>
  </si>
  <si>
    <t xml:space="preserve">        Two-Year</t>
  </si>
  <si>
    <t xml:space="preserve">      Two-Year</t>
  </si>
  <si>
    <t xml:space="preserve">    Two-Year</t>
  </si>
  <si>
    <t>IV</t>
  </si>
  <si>
    <t>NOTES:  Arkansas Two-Year IV reflects tuition for vocational/technical institutions.</t>
  </si>
  <si>
    <t xml:space="preserve">        Georgia Two-Year III reflects tuition only for vocational/technical</t>
  </si>
  <si>
    <t xml:space="preserve">        institutions.  The tuition for associate degree programs is $279.</t>
  </si>
  <si>
    <t xml:space="preserve">        Kentucky Two-Year IV reflects tuition for vocational/technical institutions.</t>
  </si>
  <si>
    <t>Table 9</t>
  </si>
  <si>
    <t xml:space="preserve">   MEDIAN ANNUAL TUITION AND REQUIRED FEES</t>
  </si>
  <si>
    <t>FOR RESIDENT AND NON-RESIDENT GRADUATE STUDENTS,</t>
  </si>
  <si>
    <t>PUBLIC INSTITUTIONS,</t>
  </si>
  <si>
    <t>Table 10</t>
  </si>
  <si>
    <t>FOR RESIDENT AND NON-RESIDENT PROFESSIONSAL STUDENTS,</t>
  </si>
  <si>
    <t xml:space="preserve">          Law</t>
  </si>
  <si>
    <t xml:space="preserve">      Medicine</t>
  </si>
  <si>
    <t xml:space="preserve">   Dentistry</t>
  </si>
  <si>
    <t xml:space="preserve">   Optometry</t>
  </si>
  <si>
    <t xml:space="preserve">  Vet. Medicine</t>
  </si>
  <si>
    <t xml:space="preserve">      Other</t>
  </si>
  <si>
    <t>NOTES:  Alabama, Georgia, Kentucky, Maryland, and North Carolina: "Other" reflects tuition and fees for</t>
  </si>
  <si>
    <t xml:space="preserve">        Pharmacy students.</t>
  </si>
  <si>
    <t xml:space="preserve">        Texas: "Other" reflects tuition and fees for pharmacy and optometry students.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</si>
</sst>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3">
    <font>
      <sz val="10"/>
      <name val="SWISS-C"/>
      <family val="0"/>
    </font>
    <font>
      <sz val="8"/>
      <name val="Arial"/>
      <family val="0"/>
    </font>
    <font>
      <sz val="10"/>
      <color indexed="12"/>
      <name val="SWISS-C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37" fontId="0" fillId="0" borderId="0" xfId="0" applyAlignment="1">
      <alignment/>
    </xf>
    <xf numFmtId="37" fontId="2" fillId="0" borderId="0" xfId="0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37" fontId="0" fillId="0" borderId="0" xfId="0" applyAlignment="1">
      <alignment horizontal="fill"/>
    </xf>
    <xf numFmtId="37" fontId="0" fillId="0" borderId="0" xfId="0" applyAlignment="1">
      <alignment horizontal="right"/>
    </xf>
    <xf numFmtId="37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C756"/>
  <sheetViews>
    <sheetView showGridLines="0" tabSelected="1" defaultGridColor="0" zoomScale="87" zoomScaleNormal="87" colorId="22" workbookViewId="0" topLeftCell="A1">
      <selection activeCell="B591" sqref="B591"/>
    </sheetView>
  </sheetViews>
  <sheetFormatPr defaultColWidth="9.75390625" defaultRowHeight="12.75"/>
  <cols>
    <col min="1" max="1" width="3.75390625" style="0" customWidth="1"/>
    <col min="2" max="2" width="15.75390625" style="0" customWidth="1"/>
    <col min="3" max="3" width="12.75390625" style="0" customWidth="1"/>
    <col min="4" max="4" width="8.75390625" style="0" customWidth="1"/>
    <col min="7" max="7" width="7.75390625" style="0" customWidth="1"/>
    <col min="8" max="8" width="8.75390625" style="0" customWidth="1"/>
    <col min="9" max="9" width="7.75390625" style="0" customWidth="1"/>
    <col min="10" max="10" width="8.75390625" style="0" customWidth="1"/>
    <col min="11" max="11" width="7.75390625" style="0" customWidth="1"/>
    <col min="12" max="12" width="8.75390625" style="0" customWidth="1"/>
    <col min="13" max="13" width="7.75390625" style="0" customWidth="1"/>
    <col min="14" max="14" width="8.75390625" style="0" customWidth="1"/>
    <col min="15" max="18" width="7.75390625" style="0" customWidth="1"/>
    <col min="21" max="21" width="8.75390625" style="0" customWidth="1"/>
    <col min="22" max="22" width="14.75390625" style="0" customWidth="1"/>
    <col min="23" max="37" width="8.75390625" style="0" customWidth="1"/>
    <col min="66" max="66" width="5.75390625" style="0" customWidth="1"/>
  </cols>
  <sheetData>
    <row r="1" ht="12.75">
      <c r="C1" t="s">
        <v>0</v>
      </c>
    </row>
    <row r="2" ht="12.75">
      <c r="E2" t="s">
        <v>1</v>
      </c>
    </row>
    <row r="4" ht="12.75">
      <c r="B4" t="s">
        <v>2</v>
      </c>
    </row>
    <row r="5" spans="2:7" ht="12.75">
      <c r="B5" s="6" t="s">
        <v>3</v>
      </c>
      <c r="C5" s="6" t="s">
        <v>3</v>
      </c>
      <c r="D5" s="6" t="s">
        <v>3</v>
      </c>
      <c r="E5" s="6" t="s">
        <v>3</v>
      </c>
      <c r="F5" s="6" t="s">
        <v>3</v>
      </c>
      <c r="G5" t="s">
        <v>4</v>
      </c>
    </row>
    <row r="6" spans="2:7" ht="12.75">
      <c r="B6" t="s">
        <v>5</v>
      </c>
      <c r="G6" s="7" t="s">
        <v>3</v>
      </c>
    </row>
    <row r="7" ht="12.75">
      <c r="G7" s="7" t="s">
        <v>3</v>
      </c>
    </row>
    <row r="8" spans="2:7" ht="12.75">
      <c r="B8" s="6" t="s">
        <v>3</v>
      </c>
      <c r="C8" s="6" t="s">
        <v>3</v>
      </c>
      <c r="D8" s="6" t="s">
        <v>3</v>
      </c>
      <c r="E8" s="6" t="s">
        <v>3</v>
      </c>
      <c r="F8" s="6" t="s">
        <v>3</v>
      </c>
      <c r="G8" t="s">
        <v>4</v>
      </c>
    </row>
    <row r="9" ht="12.75">
      <c r="G9" s="7" t="s">
        <v>3</v>
      </c>
    </row>
    <row r="10" spans="2:7" ht="12.75">
      <c r="B10" t="s">
        <v>6</v>
      </c>
      <c r="G10" s="7" t="s">
        <v>3</v>
      </c>
    </row>
    <row r="11" ht="12.75">
      <c r="G11" s="7" t="s">
        <v>3</v>
      </c>
    </row>
    <row r="12" ht="12.75">
      <c r="G12" s="7" t="s">
        <v>3</v>
      </c>
    </row>
    <row r="13" spans="2:7" ht="12.75">
      <c r="B13" s="6" t="s">
        <v>3</v>
      </c>
      <c r="C13" s="6" t="s">
        <v>3</v>
      </c>
      <c r="D13" s="6" t="s">
        <v>3</v>
      </c>
      <c r="E13" s="6" t="s">
        <v>3</v>
      </c>
      <c r="F13" s="6" t="s">
        <v>3</v>
      </c>
      <c r="G13" t="s">
        <v>4</v>
      </c>
    </row>
    <row r="14" spans="3:7" ht="12.75">
      <c r="C14" s="7" t="s">
        <v>3</v>
      </c>
      <c r="F14" t="s">
        <v>7</v>
      </c>
      <c r="G14" s="7" t="s">
        <v>8</v>
      </c>
    </row>
    <row r="15" spans="2:7" ht="12.75">
      <c r="B15" t="s">
        <v>9</v>
      </c>
      <c r="C15" s="7" t="s">
        <v>3</v>
      </c>
      <c r="D15" t="s">
        <v>9</v>
      </c>
      <c r="F15" t="s">
        <v>10</v>
      </c>
      <c r="G15" s="7" t="s">
        <v>3</v>
      </c>
    </row>
    <row r="16" spans="3:7" ht="12.75">
      <c r="C16" s="7" t="s">
        <v>3</v>
      </c>
      <c r="F16" t="s">
        <v>11</v>
      </c>
      <c r="G16" s="7" t="s">
        <v>3</v>
      </c>
    </row>
    <row r="17" spans="2:7" ht="12.75">
      <c r="B17" s="8" t="s">
        <v>12</v>
      </c>
      <c r="C17" s="7" t="s">
        <v>3</v>
      </c>
      <c r="D17" s="8" t="s">
        <v>13</v>
      </c>
      <c r="F17" t="s">
        <v>14</v>
      </c>
      <c r="G17" s="7" t="s">
        <v>3</v>
      </c>
    </row>
    <row r="18" spans="3:7" ht="12.75">
      <c r="C18" s="7" t="s">
        <v>3</v>
      </c>
      <c r="F18" t="s">
        <v>3</v>
      </c>
      <c r="G18" s="7" t="s">
        <v>3</v>
      </c>
    </row>
    <row r="19" spans="4:8" ht="12.75">
      <c r="D19" t="s">
        <v>15</v>
      </c>
      <c r="F19" t="s">
        <v>3</v>
      </c>
      <c r="G19" s="7" t="s">
        <v>3</v>
      </c>
      <c r="H19" t="s">
        <v>16</v>
      </c>
    </row>
    <row r="20" spans="2:7" ht="12.75">
      <c r="B20" s="6" t="s">
        <v>3</v>
      </c>
      <c r="C20" s="6" t="s">
        <v>3</v>
      </c>
      <c r="D20" s="6" t="s">
        <v>3</v>
      </c>
      <c r="E20" s="6" t="s">
        <v>3</v>
      </c>
      <c r="F20" s="6" t="s">
        <v>3</v>
      </c>
      <c r="G20" t="s">
        <v>4</v>
      </c>
    </row>
    <row r="21" spans="2:35" ht="12.75">
      <c r="B21" s="8" t="s">
        <v>17</v>
      </c>
      <c r="C21" s="8" t="s">
        <v>18</v>
      </c>
      <c r="D21" s="8" t="s">
        <v>19</v>
      </c>
      <c r="E21" s="8" t="s">
        <v>20</v>
      </c>
      <c r="F21" s="8" t="s">
        <v>21</v>
      </c>
      <c r="G21" s="8" t="s">
        <v>22</v>
      </c>
      <c r="H21" s="8" t="s">
        <v>23</v>
      </c>
      <c r="I21" s="8" t="s">
        <v>24</v>
      </c>
      <c r="J21" s="8" t="s">
        <v>25</v>
      </c>
      <c r="K21" s="8" t="s">
        <v>26</v>
      </c>
      <c r="L21" s="8" t="s">
        <v>27</v>
      </c>
      <c r="M21" s="8" t="s">
        <v>28</v>
      </c>
      <c r="N21" s="8" t="s">
        <v>29</v>
      </c>
      <c r="O21" s="8" t="s">
        <v>30</v>
      </c>
      <c r="P21" s="8" t="s">
        <v>31</v>
      </c>
      <c r="Q21" s="8" t="s">
        <v>32</v>
      </c>
      <c r="R21" s="8" t="s">
        <v>33</v>
      </c>
      <c r="S21" s="8" t="s">
        <v>34</v>
      </c>
      <c r="T21" s="8" t="s">
        <v>35</v>
      </c>
      <c r="W21" t="s">
        <v>36</v>
      </c>
      <c r="Y21" t="s">
        <v>37</v>
      </c>
      <c r="AA21" t="s">
        <v>38</v>
      </c>
      <c r="AC21" t="s">
        <v>39</v>
      </c>
      <c r="AE21" t="s">
        <v>40</v>
      </c>
      <c r="AG21" t="s">
        <v>41</v>
      </c>
      <c r="AI21" t="s">
        <v>42</v>
      </c>
    </row>
    <row r="22" spans="1:20" ht="12.75">
      <c r="A22" t="s">
        <v>43</v>
      </c>
      <c r="B22" t="s">
        <v>44</v>
      </c>
      <c r="C22" t="s">
        <v>45</v>
      </c>
      <c r="D22" t="s">
        <v>46</v>
      </c>
      <c r="E22" s="1">
        <v>980</v>
      </c>
      <c r="F22" s="1">
        <v>1772</v>
      </c>
      <c r="G22" s="1">
        <v>1560</v>
      </c>
      <c r="H22" s="1">
        <v>1800</v>
      </c>
      <c r="I22" s="1"/>
      <c r="J22" s="1"/>
      <c r="K22" s="1"/>
      <c r="L22" s="1"/>
      <c r="M22" s="1"/>
      <c r="N22" s="1"/>
      <c r="O22" s="1"/>
      <c r="P22" s="1"/>
      <c r="Q22" s="1">
        <v>1395</v>
      </c>
      <c r="R22" s="1">
        <v>3195</v>
      </c>
      <c r="S22" s="1">
        <v>1395</v>
      </c>
      <c r="T22" s="1">
        <v>2805</v>
      </c>
    </row>
    <row r="23" spans="2:36" ht="12.75">
      <c r="B23" t="s">
        <v>44</v>
      </c>
      <c r="C23" t="s">
        <v>47</v>
      </c>
      <c r="D23" t="s">
        <v>46</v>
      </c>
      <c r="E23" s="1">
        <v>1254</v>
      </c>
      <c r="F23" s="1">
        <v>2690</v>
      </c>
      <c r="G23" s="1">
        <v>1254</v>
      </c>
      <c r="H23" s="1">
        <v>2690</v>
      </c>
      <c r="I23" s="1">
        <v>1752</v>
      </c>
      <c r="J23" s="1">
        <v>3188</v>
      </c>
      <c r="K23" s="1">
        <v>3257</v>
      </c>
      <c r="L23" s="1">
        <v>11969</v>
      </c>
      <c r="M23" s="1"/>
      <c r="N23" s="1"/>
      <c r="O23" s="1"/>
      <c r="P23" s="1"/>
      <c r="W23" s="8" t="s">
        <v>48</v>
      </c>
      <c r="X23" s="8" t="s">
        <v>49</v>
      </c>
      <c r="Y23" s="8" t="s">
        <v>48</v>
      </c>
      <c r="Z23" s="8" t="s">
        <v>49</v>
      </c>
      <c r="AA23" s="8" t="s">
        <v>48</v>
      </c>
      <c r="AB23" s="8" t="s">
        <v>49</v>
      </c>
      <c r="AC23" s="8" t="s">
        <v>48</v>
      </c>
      <c r="AD23" s="8" t="s">
        <v>49</v>
      </c>
      <c r="AE23" s="8" t="s">
        <v>48</v>
      </c>
      <c r="AF23" s="8" t="s">
        <v>49</v>
      </c>
      <c r="AG23" s="8" t="s">
        <v>48</v>
      </c>
      <c r="AH23" s="8" t="s">
        <v>49</v>
      </c>
      <c r="AI23" s="8" t="s">
        <v>48</v>
      </c>
      <c r="AJ23" s="8" t="s">
        <v>49</v>
      </c>
    </row>
    <row r="24" spans="2:16" ht="12.75">
      <c r="B24" t="s">
        <v>44</v>
      </c>
      <c r="C24" t="s">
        <v>50</v>
      </c>
      <c r="D24" t="s">
        <v>51</v>
      </c>
      <c r="E24" s="1">
        <v>1476</v>
      </c>
      <c r="F24" s="1">
        <v>2862</v>
      </c>
      <c r="G24" s="1">
        <v>1560</v>
      </c>
      <c r="H24" s="1">
        <v>3030</v>
      </c>
      <c r="I24" s="1"/>
      <c r="J24" s="1"/>
      <c r="K24" s="1">
        <v>3596</v>
      </c>
      <c r="L24" s="1">
        <v>12308</v>
      </c>
      <c r="M24" s="1">
        <v>2492</v>
      </c>
      <c r="N24" s="1">
        <v>3692</v>
      </c>
      <c r="O24" s="1">
        <v>1892</v>
      </c>
      <c r="P24" s="1">
        <v>6290</v>
      </c>
    </row>
    <row r="25" spans="2:16" ht="12.75">
      <c r="B25" t="s">
        <v>44</v>
      </c>
      <c r="C25" t="s">
        <v>52</v>
      </c>
      <c r="D25" t="s">
        <v>51</v>
      </c>
      <c r="E25" s="1">
        <v>1253</v>
      </c>
      <c r="F25" s="1">
        <v>2505</v>
      </c>
      <c r="G25" s="1">
        <v>1167</v>
      </c>
      <c r="H25" s="1">
        <v>2334</v>
      </c>
      <c r="I25" s="1"/>
      <c r="J25" s="1"/>
      <c r="K25" s="1">
        <v>3379</v>
      </c>
      <c r="L25" s="1">
        <v>12091</v>
      </c>
      <c r="M25" s="1"/>
      <c r="N25" s="1"/>
      <c r="O25" s="1"/>
      <c r="P25" s="1"/>
    </row>
    <row r="26" spans="2:36" ht="12.75">
      <c r="B26" t="s">
        <v>44</v>
      </c>
      <c r="C26" t="s">
        <v>53</v>
      </c>
      <c r="D26" t="s">
        <v>51</v>
      </c>
      <c r="E26" s="1">
        <v>1404</v>
      </c>
      <c r="F26" s="1">
        <v>2001</v>
      </c>
      <c r="G26" s="1">
        <v>1365</v>
      </c>
      <c r="H26" s="1">
        <v>1965</v>
      </c>
      <c r="I26" s="1"/>
      <c r="J26" s="1"/>
      <c r="K26" s="1">
        <v>4041</v>
      </c>
      <c r="L26" s="1">
        <v>7641</v>
      </c>
      <c r="M26" s="1"/>
      <c r="N26" s="1"/>
      <c r="O26" s="1"/>
      <c r="P26" s="1"/>
      <c r="V26" t="s">
        <v>54</v>
      </c>
      <c r="W26" s="2">
        <f>DAVERAGE(B21:T582,4,W31:W34)</f>
        <v>1109.878787878788</v>
      </c>
      <c r="X26" s="2">
        <f>DAVERAGE(B21:T582,5,W31:W34)</f>
        <v>3331.151515151515</v>
      </c>
      <c r="Y26" s="2">
        <f>DAVERAGE(B21:T582,4,Y31:Y33)</f>
        <v>1010.3689320388349</v>
      </c>
      <c r="Z26" s="2">
        <f>DAVERAGE(B21:T582,5,Y31:Y33)</f>
        <v>2775.970873786408</v>
      </c>
      <c r="AA26" s="2">
        <f>DAVERAGE(B21:T582,4,AA31:AA32)</f>
        <v>917.9615384615385</v>
      </c>
      <c r="AB26" s="2">
        <f>DAVERAGE(B21:T582,5,AA31:AA32)</f>
        <v>2467.423076923077</v>
      </c>
      <c r="AC26" s="3">
        <f>DAVERAGE(B21:T582,4,AC37:AC44)</f>
        <v>1031.7282051282052</v>
      </c>
      <c r="AD26" s="3">
        <f>DAVERAGE(B21:T582,5,AC37:AC44)</f>
        <v>2922.7384615384617</v>
      </c>
      <c r="AE26" s="2">
        <f>DAVERAGE(B21:T582,4,AC31:AC35)</f>
        <v>423.33825072886293</v>
      </c>
      <c r="AF26" s="2">
        <f>DAVERAGE(B21:T582,5,AC31:AC35)</f>
        <v>1261.9387755102043</v>
      </c>
      <c r="AG26" s="2">
        <f>DAVERAGE(B21:T582,4,AE31:AE32)</f>
        <v>1396</v>
      </c>
      <c r="AH26" s="2">
        <f>DAVERAGE(B21:T582,5,AE31:AE32)</f>
        <v>4113.692307692308</v>
      </c>
      <c r="AI26" s="2">
        <f>DAVERAGE(B21:T582,4,AG31:AG32)</f>
        <v>661.5971324863885</v>
      </c>
      <c r="AJ26" s="2">
        <f>DAVERAGE(B21:T582,5,AG31:AG32)</f>
        <v>1916.9818511796734</v>
      </c>
    </row>
    <row r="27" spans="2:36" ht="12.75">
      <c r="B27" t="s">
        <v>44</v>
      </c>
      <c r="C27" t="s">
        <v>55</v>
      </c>
      <c r="D27" t="s">
        <v>56</v>
      </c>
      <c r="E27" s="1">
        <v>980</v>
      </c>
      <c r="F27" s="1">
        <v>1772</v>
      </c>
      <c r="G27" s="1">
        <v>1560</v>
      </c>
      <c r="H27" s="1">
        <v>1800</v>
      </c>
      <c r="I27" s="1"/>
      <c r="J27" s="1"/>
      <c r="K27" s="1"/>
      <c r="L27" s="1"/>
      <c r="M27" s="1"/>
      <c r="N27" s="1"/>
      <c r="O27" s="1"/>
      <c r="P27" s="1"/>
      <c r="V27" s="6" t="s">
        <v>57</v>
      </c>
      <c r="W27" s="6" t="s">
        <v>57</v>
      </c>
      <c r="X27" s="6" t="s">
        <v>57</v>
      </c>
      <c r="Y27" s="6" t="s">
        <v>57</v>
      </c>
      <c r="Z27" s="6" t="s">
        <v>57</v>
      </c>
      <c r="AA27" s="6" t="s">
        <v>57</v>
      </c>
      <c r="AB27" s="6" t="s">
        <v>57</v>
      </c>
      <c r="AC27" s="6" t="s">
        <v>57</v>
      </c>
      <c r="AD27" s="6" t="s">
        <v>57</v>
      </c>
      <c r="AE27" s="6" t="s">
        <v>57</v>
      </c>
      <c r="AF27" s="6" t="s">
        <v>57</v>
      </c>
      <c r="AG27" s="6" t="s">
        <v>57</v>
      </c>
      <c r="AH27" s="6" t="s">
        <v>57</v>
      </c>
      <c r="AI27" s="6" t="s">
        <v>57</v>
      </c>
      <c r="AJ27" s="6" t="s">
        <v>57</v>
      </c>
    </row>
    <row r="28" spans="2:36" ht="12.75">
      <c r="B28" t="s">
        <v>44</v>
      </c>
      <c r="C28" t="s">
        <v>58</v>
      </c>
      <c r="D28" t="s">
        <v>56</v>
      </c>
      <c r="E28" s="1">
        <v>800</v>
      </c>
      <c r="F28" s="1">
        <v>1050</v>
      </c>
      <c r="G28" s="1">
        <v>850</v>
      </c>
      <c r="H28" s="1">
        <v>1125</v>
      </c>
      <c r="I28" s="1"/>
      <c r="J28" s="1"/>
      <c r="K28" s="1"/>
      <c r="L28" s="1"/>
      <c r="M28" s="1"/>
      <c r="N28" s="1"/>
      <c r="O28" s="1"/>
      <c r="P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12.75">
      <c r="B29" t="s">
        <v>44</v>
      </c>
      <c r="C29" t="s">
        <v>59</v>
      </c>
      <c r="D29" t="s">
        <v>60</v>
      </c>
      <c r="E29" s="1">
        <v>960</v>
      </c>
      <c r="F29" s="1">
        <v>1920</v>
      </c>
      <c r="G29" s="1">
        <v>1155</v>
      </c>
      <c r="H29" s="1">
        <v>2235</v>
      </c>
      <c r="I29" s="1"/>
      <c r="J29" s="1"/>
      <c r="K29" s="1"/>
      <c r="L29" s="1"/>
      <c r="M29" s="1"/>
      <c r="N29" s="1"/>
      <c r="O29" s="1"/>
      <c r="P29" s="1"/>
      <c r="W29" s="1" t="s">
        <v>61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12.75">
      <c r="B30" t="s">
        <v>44</v>
      </c>
      <c r="C30" t="s">
        <v>62</v>
      </c>
      <c r="D30" t="s">
        <v>60</v>
      </c>
      <c r="E30" s="1">
        <v>855</v>
      </c>
      <c r="F30" s="1">
        <v>1980</v>
      </c>
      <c r="G30" s="1">
        <v>855</v>
      </c>
      <c r="H30" s="1">
        <v>1980</v>
      </c>
      <c r="I30" s="1"/>
      <c r="J30" s="1"/>
      <c r="K30" s="1"/>
      <c r="L30" s="1"/>
      <c r="M30" s="1"/>
      <c r="N30" s="1"/>
      <c r="O30" s="1"/>
      <c r="P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12.75">
      <c r="B31" t="s">
        <v>44</v>
      </c>
      <c r="C31" t="s">
        <v>63</v>
      </c>
      <c r="D31" t="s">
        <v>60</v>
      </c>
      <c r="E31" s="1">
        <v>1059</v>
      </c>
      <c r="F31" s="1">
        <v>1059</v>
      </c>
      <c r="G31" s="1">
        <v>900</v>
      </c>
      <c r="H31" s="1">
        <v>900</v>
      </c>
      <c r="I31" s="1"/>
      <c r="J31" s="1"/>
      <c r="K31" s="1"/>
      <c r="L31" s="1"/>
      <c r="M31" s="1"/>
      <c r="N31" s="1"/>
      <c r="O31" s="1"/>
      <c r="P31" s="1"/>
      <c r="W31" s="8" t="s">
        <v>19</v>
      </c>
      <c r="Y31" s="8" t="s">
        <v>19</v>
      </c>
      <c r="Z31" s="1"/>
      <c r="AA31" s="8" t="s">
        <v>19</v>
      </c>
      <c r="AB31" s="1"/>
      <c r="AC31" s="8" t="s">
        <v>19</v>
      </c>
      <c r="AD31" s="1"/>
      <c r="AE31" s="8" t="s">
        <v>19</v>
      </c>
      <c r="AF31" s="1"/>
      <c r="AG31" s="8" t="s">
        <v>19</v>
      </c>
      <c r="AH31" s="1"/>
      <c r="AI31" s="1"/>
      <c r="AJ31" s="1"/>
    </row>
    <row r="32" spans="2:36" ht="12.75">
      <c r="B32" t="s">
        <v>44</v>
      </c>
      <c r="C32" t="s">
        <v>64</v>
      </c>
      <c r="D32" t="s">
        <v>60</v>
      </c>
      <c r="E32" s="1">
        <v>930</v>
      </c>
      <c r="F32" s="1">
        <v>1140</v>
      </c>
      <c r="G32" s="1">
        <v>1152</v>
      </c>
      <c r="H32" s="1">
        <v>1260</v>
      </c>
      <c r="I32" s="1"/>
      <c r="J32" s="1"/>
      <c r="K32" s="1"/>
      <c r="L32" s="1"/>
      <c r="M32" s="1"/>
      <c r="N32" s="1"/>
      <c r="O32" s="1"/>
      <c r="P32" s="1"/>
      <c r="W32" s="1" t="s">
        <v>65</v>
      </c>
      <c r="X32" s="1"/>
      <c r="Y32" s="1" t="s">
        <v>56</v>
      </c>
      <c r="Z32" s="1"/>
      <c r="AA32" s="1" t="s">
        <v>66</v>
      </c>
      <c r="AB32" s="1"/>
      <c r="AC32" s="1" t="s">
        <v>67</v>
      </c>
      <c r="AD32" s="1"/>
      <c r="AE32" s="1" t="s">
        <v>68</v>
      </c>
      <c r="AF32" s="1"/>
      <c r="AG32" s="1"/>
      <c r="AH32" s="1"/>
      <c r="AI32" s="1"/>
      <c r="AJ32" s="1"/>
    </row>
    <row r="33" spans="2:29" ht="12.75">
      <c r="B33" t="s">
        <v>44</v>
      </c>
      <c r="C33" t="s">
        <v>69</v>
      </c>
      <c r="D33" t="s">
        <v>60</v>
      </c>
      <c r="E33" s="1">
        <v>1035</v>
      </c>
      <c r="F33" s="1">
        <v>1553</v>
      </c>
      <c r="G33" s="1">
        <v>1188</v>
      </c>
      <c r="H33" s="1">
        <v>1548</v>
      </c>
      <c r="I33" s="1"/>
      <c r="J33" s="1"/>
      <c r="K33" s="1"/>
      <c r="L33" s="1"/>
      <c r="M33" s="1"/>
      <c r="N33" s="1"/>
      <c r="O33" s="1"/>
      <c r="P33" s="1"/>
      <c r="W33" t="s">
        <v>46</v>
      </c>
      <c r="Y33" t="s">
        <v>60</v>
      </c>
      <c r="AC33" t="s">
        <v>70</v>
      </c>
    </row>
    <row r="34" spans="2:36" ht="12.75">
      <c r="B34" t="s">
        <v>44</v>
      </c>
      <c r="C34" t="s">
        <v>71</v>
      </c>
      <c r="D34" t="s">
        <v>60</v>
      </c>
      <c r="E34" s="1">
        <v>1080</v>
      </c>
      <c r="F34" s="1">
        <v>1080</v>
      </c>
      <c r="G34" s="1">
        <v>972</v>
      </c>
      <c r="H34" s="1">
        <v>972</v>
      </c>
      <c r="I34" s="1"/>
      <c r="J34" s="1"/>
      <c r="K34" s="1"/>
      <c r="L34" s="1"/>
      <c r="M34" s="1"/>
      <c r="N34" s="1"/>
      <c r="O34" s="1"/>
      <c r="P34" s="1"/>
      <c r="W34" s="1" t="s">
        <v>51</v>
      </c>
      <c r="X34" s="1"/>
      <c r="Y34" s="1"/>
      <c r="Z34" s="1"/>
      <c r="AA34" s="1"/>
      <c r="AB34" s="1"/>
      <c r="AC34" s="1" t="s">
        <v>72</v>
      </c>
      <c r="AD34" s="1"/>
      <c r="AE34" s="1"/>
      <c r="AF34" s="1"/>
      <c r="AG34" s="1"/>
      <c r="AH34" s="1"/>
      <c r="AI34" s="1"/>
      <c r="AJ34" s="1"/>
    </row>
    <row r="35" spans="2:36" ht="12.75">
      <c r="B35" t="s">
        <v>44</v>
      </c>
      <c r="C35" t="s">
        <v>73</v>
      </c>
      <c r="D35" t="s">
        <v>60</v>
      </c>
      <c r="E35" s="1">
        <v>1142</v>
      </c>
      <c r="F35" s="1">
        <v>1954</v>
      </c>
      <c r="G35" s="1">
        <v>1202</v>
      </c>
      <c r="H35" s="1">
        <v>1946</v>
      </c>
      <c r="I35" s="1"/>
      <c r="J35" s="1"/>
      <c r="K35" s="1"/>
      <c r="L35" s="1"/>
      <c r="M35" s="1"/>
      <c r="N35" s="1"/>
      <c r="O35" s="1"/>
      <c r="P35" s="1"/>
      <c r="W35" s="1"/>
      <c r="X35" s="1"/>
      <c r="Y35" s="1"/>
      <c r="Z35" s="1"/>
      <c r="AA35" s="1"/>
      <c r="AB35" s="1"/>
      <c r="AC35" s="1" t="s">
        <v>74</v>
      </c>
      <c r="AD35" s="1"/>
      <c r="AE35" s="1"/>
      <c r="AF35" s="1"/>
      <c r="AG35" s="1"/>
      <c r="AH35" s="1"/>
      <c r="AI35" s="1"/>
      <c r="AJ35" s="1"/>
    </row>
    <row r="36" spans="2:36" ht="12.75">
      <c r="B36" t="s">
        <v>44</v>
      </c>
      <c r="C36" t="s">
        <v>75</v>
      </c>
      <c r="D36" t="s">
        <v>60</v>
      </c>
      <c r="E36" s="1">
        <v>1000</v>
      </c>
      <c r="F36" s="1">
        <v>1400</v>
      </c>
      <c r="G36" s="1">
        <v>1100</v>
      </c>
      <c r="H36" s="1">
        <v>1500</v>
      </c>
      <c r="I36" s="1"/>
      <c r="J36" s="1"/>
      <c r="K36" s="1"/>
      <c r="L36" s="1"/>
      <c r="M36" s="1"/>
      <c r="N36" s="1"/>
      <c r="O36" s="1"/>
      <c r="P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29" ht="12.75">
      <c r="B37" t="s">
        <v>44</v>
      </c>
      <c r="C37" t="s">
        <v>76</v>
      </c>
      <c r="D37" t="s">
        <v>66</v>
      </c>
      <c r="E37" s="1">
        <v>900</v>
      </c>
      <c r="F37" s="1">
        <v>1800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AC37" s="8" t="s">
        <v>19</v>
      </c>
    </row>
    <row r="38" spans="2:36" ht="12.75">
      <c r="B38" t="s">
        <v>77</v>
      </c>
      <c r="C38" t="s">
        <v>78</v>
      </c>
      <c r="D38" t="s">
        <v>65</v>
      </c>
      <c r="E38" s="1">
        <v>930</v>
      </c>
      <c r="F38" s="1">
        <v>2190</v>
      </c>
      <c r="G38" s="1">
        <v>1130</v>
      </c>
      <c r="H38" s="1">
        <v>2390</v>
      </c>
      <c r="I38" s="1">
        <v>1130</v>
      </c>
      <c r="J38" s="1">
        <v>2390</v>
      </c>
      <c r="K38" s="1"/>
      <c r="L38" s="1"/>
      <c r="M38" s="1"/>
      <c r="N38" s="1"/>
      <c r="O38" s="1"/>
      <c r="P38" s="1"/>
      <c r="W38" s="1"/>
      <c r="X38" s="1"/>
      <c r="Y38" s="1"/>
      <c r="Z38" s="1"/>
      <c r="AA38" s="1"/>
      <c r="AB38" s="1"/>
      <c r="AC38" s="1" t="s">
        <v>65</v>
      </c>
      <c r="AD38" s="1"/>
      <c r="AE38" s="1"/>
      <c r="AF38" s="1"/>
      <c r="AG38" s="1"/>
      <c r="AH38" s="1"/>
      <c r="AI38" s="1"/>
      <c r="AJ38" s="1"/>
    </row>
    <row r="39" spans="2:36" ht="12.75">
      <c r="B39" t="s">
        <v>77</v>
      </c>
      <c r="C39" t="s">
        <v>59</v>
      </c>
      <c r="D39" t="s">
        <v>56</v>
      </c>
      <c r="E39" s="1">
        <v>790</v>
      </c>
      <c r="F39" s="1">
        <v>1790</v>
      </c>
      <c r="G39" s="1">
        <v>790</v>
      </c>
      <c r="H39" s="1">
        <v>1790</v>
      </c>
      <c r="I39" s="1"/>
      <c r="J39" s="1"/>
      <c r="K39" s="1"/>
      <c r="L39" s="1"/>
      <c r="M39" s="1"/>
      <c r="N39" s="1"/>
      <c r="O39" s="1"/>
      <c r="P39" s="1"/>
      <c r="W39" s="1"/>
      <c r="X39" s="1"/>
      <c r="Y39" s="1"/>
      <c r="Z39" s="1"/>
      <c r="AA39" s="1"/>
      <c r="AB39" s="1"/>
      <c r="AC39" s="1" t="s">
        <v>46</v>
      </c>
      <c r="AD39" s="1"/>
      <c r="AE39" s="1"/>
      <c r="AF39" s="1"/>
      <c r="AG39" s="1"/>
      <c r="AH39" s="1"/>
      <c r="AI39" s="1"/>
      <c r="AJ39" s="1"/>
    </row>
    <row r="40" spans="2:36" ht="12.75">
      <c r="B40" t="s">
        <v>77</v>
      </c>
      <c r="C40" t="s">
        <v>79</v>
      </c>
      <c r="D40" t="s">
        <v>56</v>
      </c>
      <c r="E40" s="1">
        <v>900</v>
      </c>
      <c r="F40" s="1">
        <v>2160</v>
      </c>
      <c r="G40" s="1">
        <v>1100</v>
      </c>
      <c r="H40" s="1">
        <v>2360</v>
      </c>
      <c r="I40" s="1">
        <v>1100</v>
      </c>
      <c r="J40" s="1">
        <v>2360</v>
      </c>
      <c r="K40" s="1"/>
      <c r="L40" s="1"/>
      <c r="M40" s="1"/>
      <c r="N40" s="1"/>
      <c r="O40" s="1"/>
      <c r="P40" s="1"/>
      <c r="W40" s="1"/>
      <c r="X40" s="1"/>
      <c r="Y40" s="1"/>
      <c r="Z40" s="1"/>
      <c r="AA40" s="1"/>
      <c r="AB40" s="1"/>
      <c r="AC40" s="1" t="s">
        <v>51</v>
      </c>
      <c r="AD40" s="1"/>
      <c r="AE40" s="1"/>
      <c r="AF40" s="1"/>
      <c r="AG40" s="1"/>
      <c r="AH40" s="1"/>
      <c r="AI40" s="1"/>
      <c r="AJ40" s="1"/>
    </row>
    <row r="41" spans="2:29" ht="12.75">
      <c r="B41" t="s">
        <v>77</v>
      </c>
      <c r="C41" t="s">
        <v>80</v>
      </c>
      <c r="D41" t="s">
        <v>60</v>
      </c>
      <c r="E41" s="1">
        <v>820</v>
      </c>
      <c r="F41" s="1">
        <v>1600</v>
      </c>
      <c r="G41" s="1">
        <v>960</v>
      </c>
      <c r="H41" s="1">
        <v>1776</v>
      </c>
      <c r="I41" s="1"/>
      <c r="J41" s="1"/>
      <c r="K41" s="1"/>
      <c r="L41" s="1"/>
      <c r="M41" s="1"/>
      <c r="N41" s="1"/>
      <c r="O41" s="1"/>
      <c r="P41" s="1"/>
      <c r="AC41" t="s">
        <v>81</v>
      </c>
    </row>
    <row r="42" spans="2:36" ht="12.75">
      <c r="B42" t="s">
        <v>77</v>
      </c>
      <c r="C42" t="s">
        <v>82</v>
      </c>
      <c r="D42" t="s">
        <v>60</v>
      </c>
      <c r="E42" s="1">
        <v>830</v>
      </c>
      <c r="F42" s="1">
        <v>1660</v>
      </c>
      <c r="G42" s="1">
        <v>1056</v>
      </c>
      <c r="H42" s="1">
        <v>2112</v>
      </c>
      <c r="I42" s="1"/>
      <c r="J42" s="1"/>
      <c r="K42" s="1"/>
      <c r="L42" s="1"/>
      <c r="M42" s="1"/>
      <c r="N42" s="1"/>
      <c r="O42" s="1"/>
      <c r="P42" s="1"/>
      <c r="W42" s="1"/>
      <c r="X42" s="1"/>
      <c r="Y42" s="1"/>
      <c r="Z42" s="1"/>
      <c r="AA42" s="1"/>
      <c r="AB42" s="1"/>
      <c r="AC42" s="1" t="s">
        <v>56</v>
      </c>
      <c r="AD42" s="1"/>
      <c r="AE42" s="1"/>
      <c r="AF42" s="1"/>
      <c r="AG42" s="1"/>
      <c r="AH42" s="1"/>
      <c r="AI42" s="1"/>
      <c r="AJ42" s="1"/>
    </row>
    <row r="43" spans="2:36" ht="12.75">
      <c r="B43" t="s">
        <v>77</v>
      </c>
      <c r="C43" t="s">
        <v>83</v>
      </c>
      <c r="D43" t="s">
        <v>60</v>
      </c>
      <c r="E43" s="1">
        <v>790</v>
      </c>
      <c r="F43" s="1">
        <v>1270</v>
      </c>
      <c r="G43" s="1">
        <v>790</v>
      </c>
      <c r="H43" s="1">
        <v>1270</v>
      </c>
      <c r="I43" s="1"/>
      <c r="J43" s="1"/>
      <c r="K43" s="1"/>
      <c r="L43" s="1"/>
      <c r="M43" s="1"/>
      <c r="N43" s="1"/>
      <c r="O43" s="1"/>
      <c r="P43" s="1"/>
      <c r="W43" s="1"/>
      <c r="X43" s="1"/>
      <c r="Y43" s="1"/>
      <c r="Z43" s="1"/>
      <c r="AA43" s="1"/>
      <c r="AB43" s="1"/>
      <c r="AC43" s="1" t="s">
        <v>60</v>
      </c>
      <c r="AD43" s="1"/>
      <c r="AE43" s="1"/>
      <c r="AF43" s="1"/>
      <c r="AG43" s="1"/>
      <c r="AH43" s="1"/>
      <c r="AI43" s="1"/>
      <c r="AJ43" s="1"/>
    </row>
    <row r="44" spans="2:36" ht="12.75">
      <c r="B44" t="s">
        <v>77</v>
      </c>
      <c r="C44" t="s">
        <v>84</v>
      </c>
      <c r="D44" t="s">
        <v>60</v>
      </c>
      <c r="E44" s="1">
        <v>870</v>
      </c>
      <c r="F44" s="1">
        <v>1740</v>
      </c>
      <c r="G44" s="1">
        <v>870</v>
      </c>
      <c r="H44" s="1">
        <v>1740</v>
      </c>
      <c r="I44" s="1"/>
      <c r="J44" s="1"/>
      <c r="K44" s="1"/>
      <c r="L44" s="1"/>
      <c r="M44" s="1"/>
      <c r="N44" s="1"/>
      <c r="O44" s="1"/>
      <c r="P44" s="1"/>
      <c r="W44" s="1"/>
      <c r="X44" s="1"/>
      <c r="Y44" s="1"/>
      <c r="Z44" s="1"/>
      <c r="AA44" s="1"/>
      <c r="AB44" s="1"/>
      <c r="AC44" s="1" t="s">
        <v>66</v>
      </c>
      <c r="AD44" s="1"/>
      <c r="AE44" s="1"/>
      <c r="AF44" s="1"/>
      <c r="AG44" s="1"/>
      <c r="AH44" s="1"/>
      <c r="AI44" s="1"/>
      <c r="AJ44" s="1"/>
    </row>
    <row r="45" spans="2:16" ht="12.75">
      <c r="B45" t="s">
        <v>77</v>
      </c>
      <c r="C45" t="s">
        <v>85</v>
      </c>
      <c r="D45" t="s">
        <v>66</v>
      </c>
      <c r="E45" s="1">
        <v>850</v>
      </c>
      <c r="F45" s="1">
        <v>1850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36" ht="12.75">
      <c r="B46" t="s">
        <v>77</v>
      </c>
      <c r="C46" t="s">
        <v>86</v>
      </c>
      <c r="D46" t="s">
        <v>66</v>
      </c>
      <c r="E46" s="1">
        <v>780</v>
      </c>
      <c r="F46" s="1">
        <v>2040</v>
      </c>
      <c r="G46" s="1"/>
      <c r="H46" s="1"/>
      <c r="I46" s="1"/>
      <c r="J46" s="1"/>
      <c r="K46" s="1"/>
      <c r="L46" s="1"/>
      <c r="M46" s="1"/>
      <c r="N46" s="1"/>
      <c r="O46" s="1"/>
      <c r="P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16" ht="12.75">
      <c r="B47" t="s">
        <v>87</v>
      </c>
      <c r="C47" t="s">
        <v>88</v>
      </c>
      <c r="D47" t="s">
        <v>65</v>
      </c>
      <c r="E47" s="1">
        <f aca="true" t="shared" si="0" ref="E47:E55">(713+837)/2</f>
        <v>775</v>
      </c>
      <c r="F47" s="1">
        <f aca="true" t="shared" si="1" ref="F47:F55">(2243+3207)/2</f>
        <v>2725</v>
      </c>
      <c r="G47" s="1">
        <v>1038</v>
      </c>
      <c r="H47" s="1">
        <v>3198</v>
      </c>
      <c r="I47" s="1"/>
      <c r="J47" s="1"/>
      <c r="K47" s="1"/>
      <c r="L47" s="1"/>
      <c r="M47" s="1"/>
      <c r="N47" s="1"/>
      <c r="O47" s="1"/>
      <c r="P47" s="1"/>
    </row>
    <row r="48" spans="2:18" ht="12.75">
      <c r="B48" t="s">
        <v>87</v>
      </c>
      <c r="C48" t="s">
        <v>89</v>
      </c>
      <c r="D48" t="s">
        <v>65</v>
      </c>
      <c r="E48" s="1">
        <f t="shared" si="0"/>
        <v>775</v>
      </c>
      <c r="F48" s="1">
        <f t="shared" si="1"/>
        <v>2725</v>
      </c>
      <c r="G48" s="1">
        <v>1038</v>
      </c>
      <c r="H48" s="1">
        <v>3198</v>
      </c>
      <c r="I48" s="1"/>
      <c r="J48" s="1"/>
      <c r="K48" s="1">
        <v>2912</v>
      </c>
      <c r="L48" s="1">
        <v>7172</v>
      </c>
      <c r="M48" s="1">
        <v>2912</v>
      </c>
      <c r="N48" s="1">
        <v>7172</v>
      </c>
      <c r="O48" s="1"/>
      <c r="P48" s="1"/>
      <c r="Q48" s="1">
        <v>2912</v>
      </c>
      <c r="R48" s="1">
        <v>7172</v>
      </c>
    </row>
    <row r="49" spans="2:18" ht="12.75">
      <c r="B49" t="s">
        <v>87</v>
      </c>
      <c r="C49" t="s">
        <v>90</v>
      </c>
      <c r="D49" t="s">
        <v>46</v>
      </c>
      <c r="E49" s="1">
        <f t="shared" si="0"/>
        <v>775</v>
      </c>
      <c r="F49" s="1">
        <f t="shared" si="1"/>
        <v>2725</v>
      </c>
      <c r="G49" s="1">
        <v>1038</v>
      </c>
      <c r="H49" s="1">
        <v>3198</v>
      </c>
      <c r="I49" s="1"/>
      <c r="J49" s="1"/>
      <c r="K49" s="1">
        <v>2912</v>
      </c>
      <c r="L49" s="1">
        <v>7172</v>
      </c>
      <c r="M49" s="1">
        <v>2912</v>
      </c>
      <c r="N49" s="1">
        <v>7172</v>
      </c>
      <c r="O49" s="1"/>
      <c r="P49" s="1"/>
      <c r="Q49" s="1">
        <v>2912</v>
      </c>
      <c r="R49" s="1">
        <v>7172</v>
      </c>
    </row>
    <row r="50" spans="2:16" ht="12.75">
      <c r="B50" t="s">
        <v>87</v>
      </c>
      <c r="C50" t="s">
        <v>91</v>
      </c>
      <c r="D50" t="s">
        <v>51</v>
      </c>
      <c r="E50" s="1">
        <f t="shared" si="0"/>
        <v>775</v>
      </c>
      <c r="F50" s="1">
        <f t="shared" si="1"/>
        <v>2725</v>
      </c>
      <c r="G50" s="1">
        <v>1038</v>
      </c>
      <c r="H50" s="1">
        <v>3198</v>
      </c>
      <c r="I50" s="1"/>
      <c r="J50" s="1"/>
      <c r="K50" s="1"/>
      <c r="L50" s="1"/>
      <c r="M50" s="1"/>
      <c r="N50" s="1"/>
      <c r="O50" s="1"/>
      <c r="P50" s="1"/>
    </row>
    <row r="51" spans="2:16" ht="12.75">
      <c r="B51" t="s">
        <v>87</v>
      </c>
      <c r="C51" t="s">
        <v>92</v>
      </c>
      <c r="D51" t="s">
        <v>51</v>
      </c>
      <c r="E51" s="1">
        <f t="shared" si="0"/>
        <v>775</v>
      </c>
      <c r="F51" s="1">
        <f t="shared" si="1"/>
        <v>2725</v>
      </c>
      <c r="G51" s="1">
        <v>1038</v>
      </c>
      <c r="H51" s="1">
        <v>3198</v>
      </c>
      <c r="I51" s="1"/>
      <c r="J51" s="1"/>
      <c r="K51" s="1"/>
      <c r="L51" s="1"/>
      <c r="M51" s="1"/>
      <c r="N51" s="1"/>
      <c r="O51" s="1"/>
      <c r="P51" s="1"/>
    </row>
    <row r="52" spans="2:16" ht="12.75">
      <c r="B52" t="s">
        <v>87</v>
      </c>
      <c r="C52" t="s">
        <v>93</v>
      </c>
      <c r="D52" t="s">
        <v>56</v>
      </c>
      <c r="E52" s="1">
        <f t="shared" si="0"/>
        <v>775</v>
      </c>
      <c r="F52" s="1">
        <f t="shared" si="1"/>
        <v>2725</v>
      </c>
      <c r="G52" s="1">
        <v>1038</v>
      </c>
      <c r="H52" s="1">
        <v>3198</v>
      </c>
      <c r="I52" s="1"/>
      <c r="J52" s="1"/>
      <c r="K52" s="1"/>
      <c r="L52" s="1"/>
      <c r="M52" s="1"/>
      <c r="N52" s="1"/>
      <c r="O52" s="1"/>
      <c r="P52" s="1"/>
    </row>
    <row r="53" spans="2:16" ht="12.75">
      <c r="B53" t="s">
        <v>87</v>
      </c>
      <c r="C53" t="s">
        <v>94</v>
      </c>
      <c r="D53" t="s">
        <v>56</v>
      </c>
      <c r="E53" s="1">
        <f t="shared" si="0"/>
        <v>775</v>
      </c>
      <c r="F53" s="1">
        <f t="shared" si="1"/>
        <v>2725</v>
      </c>
      <c r="G53" s="1">
        <v>1038</v>
      </c>
      <c r="H53" s="1">
        <v>3198</v>
      </c>
      <c r="I53" s="1"/>
      <c r="J53" s="1"/>
      <c r="K53" s="1"/>
      <c r="L53" s="1"/>
      <c r="M53" s="1"/>
      <c r="N53" s="1"/>
      <c r="O53" s="1"/>
      <c r="P53" s="1"/>
    </row>
    <row r="54" spans="2:16" ht="12.75">
      <c r="B54" t="s">
        <v>87</v>
      </c>
      <c r="C54" t="s">
        <v>95</v>
      </c>
      <c r="D54" t="s">
        <v>60</v>
      </c>
      <c r="E54" s="1">
        <f t="shared" si="0"/>
        <v>775</v>
      </c>
      <c r="F54" s="1">
        <f t="shared" si="1"/>
        <v>2725</v>
      </c>
      <c r="G54" s="1">
        <v>1038</v>
      </c>
      <c r="H54" s="1">
        <v>3198</v>
      </c>
      <c r="I54" s="1"/>
      <c r="J54" s="1"/>
      <c r="K54" s="1"/>
      <c r="L54" s="1"/>
      <c r="M54" s="1"/>
      <c r="N54" s="1"/>
      <c r="O54" s="1"/>
      <c r="P54" s="1"/>
    </row>
    <row r="55" spans="2:16" ht="12.75">
      <c r="B55" t="s">
        <v>87</v>
      </c>
      <c r="C55" t="s">
        <v>96</v>
      </c>
      <c r="D55" t="s">
        <v>60</v>
      </c>
      <c r="E55" s="1">
        <f t="shared" si="0"/>
        <v>775</v>
      </c>
      <c r="F55" s="1">
        <f t="shared" si="1"/>
        <v>2725</v>
      </c>
      <c r="G55" s="1">
        <v>1038</v>
      </c>
      <c r="H55" s="1">
        <v>3198</v>
      </c>
      <c r="I55" s="1"/>
      <c r="J55" s="1"/>
      <c r="K55" s="1"/>
      <c r="L55" s="1"/>
      <c r="M55" s="1"/>
      <c r="N55" s="1"/>
      <c r="O55" s="1"/>
      <c r="P55" s="1"/>
    </row>
    <row r="56" spans="2:20" ht="12.75">
      <c r="B56" t="s">
        <v>97</v>
      </c>
      <c r="C56" t="s">
        <v>98</v>
      </c>
      <c r="D56" t="s">
        <v>65</v>
      </c>
      <c r="E56" s="1">
        <v>1554</v>
      </c>
      <c r="F56" s="1">
        <v>4380</v>
      </c>
      <c r="G56" s="1">
        <v>1554</v>
      </c>
      <c r="H56" s="1">
        <v>4380</v>
      </c>
      <c r="I56" s="1">
        <v>1864</v>
      </c>
      <c r="J56" s="1">
        <v>5310</v>
      </c>
      <c r="K56" s="1"/>
      <c r="L56" s="1"/>
      <c r="M56" s="1"/>
      <c r="N56" s="1"/>
      <c r="O56" s="1"/>
      <c r="P56" s="1"/>
      <c r="Q56" s="1">
        <v>2025</v>
      </c>
      <c r="R56" s="1">
        <v>2025</v>
      </c>
      <c r="S56" s="1">
        <f>(1758+1788)/2</f>
        <v>1773</v>
      </c>
      <c r="T56" s="1">
        <f>(3294+3234)/2</f>
        <v>3264</v>
      </c>
    </row>
    <row r="57" spans="2:16" ht="12.75">
      <c r="B57" t="s">
        <v>97</v>
      </c>
      <c r="C57" t="s">
        <v>99</v>
      </c>
      <c r="D57" t="s">
        <v>46</v>
      </c>
      <c r="E57" s="1">
        <v>1320</v>
      </c>
      <c r="F57" s="1">
        <v>4440</v>
      </c>
      <c r="G57" s="1">
        <v>1320</v>
      </c>
      <c r="H57" s="1">
        <v>4440</v>
      </c>
      <c r="I57" s="1">
        <v>2085</v>
      </c>
      <c r="J57" s="1">
        <v>6195</v>
      </c>
      <c r="K57" s="1"/>
      <c r="L57" s="1"/>
      <c r="M57" s="1"/>
      <c r="N57" s="1"/>
      <c r="O57" s="1"/>
      <c r="P57" s="1"/>
    </row>
    <row r="58" spans="2:16" ht="12.75">
      <c r="B58" t="s">
        <v>97</v>
      </c>
      <c r="C58" t="s">
        <v>100</v>
      </c>
      <c r="D58" t="s">
        <v>46</v>
      </c>
      <c r="E58" s="1">
        <v>1587</v>
      </c>
      <c r="F58" s="1">
        <v>5007</v>
      </c>
      <c r="G58" s="1">
        <v>1587</v>
      </c>
      <c r="H58" s="1">
        <v>5007</v>
      </c>
      <c r="I58" s="1"/>
      <c r="J58" s="1"/>
      <c r="K58" s="1"/>
      <c r="L58" s="1"/>
      <c r="M58" s="1"/>
      <c r="N58" s="1"/>
      <c r="O58" s="1"/>
      <c r="P58" s="1"/>
    </row>
    <row r="59" spans="2:16" ht="12.75">
      <c r="B59" t="s">
        <v>97</v>
      </c>
      <c r="C59" t="s">
        <v>101</v>
      </c>
      <c r="D59" t="s">
        <v>60</v>
      </c>
      <c r="E59" s="1">
        <v>1224</v>
      </c>
      <c r="F59" s="1">
        <v>3408</v>
      </c>
      <c r="G59" s="1">
        <v>1224</v>
      </c>
      <c r="H59" s="1">
        <v>3408</v>
      </c>
      <c r="I59" s="1"/>
      <c r="J59" s="1"/>
      <c r="K59" s="1"/>
      <c r="L59" s="1"/>
      <c r="M59" s="1"/>
      <c r="N59" s="1"/>
      <c r="O59" s="1"/>
      <c r="P59" s="1"/>
    </row>
    <row r="60" spans="1:16" ht="12.75">
      <c r="A60" t="s">
        <v>43</v>
      </c>
      <c r="B60" t="s">
        <v>97</v>
      </c>
      <c r="C60" t="s">
        <v>102</v>
      </c>
      <c r="D60" t="s">
        <v>60</v>
      </c>
      <c r="E60" s="1">
        <v>1110</v>
      </c>
      <c r="F60" s="1">
        <v>3180</v>
      </c>
      <c r="G60" s="1">
        <v>1110</v>
      </c>
      <c r="H60" s="1">
        <v>3180</v>
      </c>
      <c r="I60" s="1"/>
      <c r="J60" s="1"/>
      <c r="K60" s="1"/>
      <c r="L60" s="1"/>
      <c r="M60" s="1"/>
      <c r="N60" s="1"/>
      <c r="O60" s="1"/>
      <c r="P60" s="1"/>
    </row>
    <row r="61" spans="2:16" ht="12.75">
      <c r="B61" t="s">
        <v>97</v>
      </c>
      <c r="C61" t="s">
        <v>103</v>
      </c>
      <c r="D61" t="s">
        <v>60</v>
      </c>
      <c r="E61" s="1">
        <v>1095</v>
      </c>
      <c r="F61" s="1">
        <v>3150</v>
      </c>
      <c r="G61" s="1">
        <v>1095</v>
      </c>
      <c r="H61" s="1">
        <v>3150</v>
      </c>
      <c r="I61" s="1"/>
      <c r="J61" s="1"/>
      <c r="K61" s="1"/>
      <c r="L61" s="1"/>
      <c r="M61" s="1"/>
      <c r="N61" s="1"/>
      <c r="O61" s="1"/>
      <c r="P61" s="1"/>
    </row>
    <row r="62" spans="2:16" ht="12.75">
      <c r="B62" t="s">
        <v>97</v>
      </c>
      <c r="C62" t="s">
        <v>104</v>
      </c>
      <c r="D62" t="s">
        <v>60</v>
      </c>
      <c r="E62" s="1">
        <v>1089</v>
      </c>
      <c r="F62" s="1">
        <v>3138</v>
      </c>
      <c r="G62" s="1">
        <v>1089</v>
      </c>
      <c r="H62" s="1">
        <v>3138</v>
      </c>
      <c r="I62" s="1"/>
      <c r="J62" s="1"/>
      <c r="K62" s="1"/>
      <c r="L62" s="1"/>
      <c r="M62" s="1"/>
      <c r="N62" s="1"/>
      <c r="O62" s="1"/>
      <c r="P62" s="1"/>
    </row>
    <row r="63" spans="2:16" ht="12.75">
      <c r="B63" t="s">
        <v>97</v>
      </c>
      <c r="C63" t="s">
        <v>105</v>
      </c>
      <c r="D63" s="4" t="s">
        <v>60</v>
      </c>
      <c r="E63" s="1">
        <v>1230</v>
      </c>
      <c r="F63" s="1">
        <v>3420</v>
      </c>
      <c r="G63" s="1">
        <v>1230</v>
      </c>
      <c r="H63" s="1">
        <v>3420</v>
      </c>
      <c r="I63" s="1"/>
      <c r="J63" s="1"/>
      <c r="K63" s="1"/>
      <c r="L63" s="1"/>
      <c r="M63" s="1"/>
      <c r="N63" s="1"/>
      <c r="O63" s="1"/>
      <c r="P63" s="1"/>
    </row>
    <row r="64" spans="2:16" ht="12.75">
      <c r="B64" t="s">
        <v>97</v>
      </c>
      <c r="C64" t="s">
        <v>106</v>
      </c>
      <c r="D64" t="s">
        <v>60</v>
      </c>
      <c r="E64" s="1">
        <v>1128</v>
      </c>
      <c r="F64" s="1">
        <v>3216</v>
      </c>
      <c r="G64" s="1">
        <v>1128</v>
      </c>
      <c r="H64" s="1">
        <v>3216</v>
      </c>
      <c r="I64" s="1"/>
      <c r="J64" s="1"/>
      <c r="K64" s="1"/>
      <c r="L64" s="1"/>
      <c r="M64" s="1"/>
      <c r="N64" s="1"/>
      <c r="O64" s="1"/>
      <c r="P64" s="1"/>
    </row>
    <row r="65" spans="2:16" ht="12.75">
      <c r="B65" t="s">
        <v>97</v>
      </c>
      <c r="C65" t="s">
        <v>107</v>
      </c>
      <c r="D65" t="s">
        <v>60</v>
      </c>
      <c r="E65" s="1">
        <v>1242</v>
      </c>
      <c r="F65" s="1">
        <v>3444</v>
      </c>
      <c r="G65" s="1">
        <v>1242</v>
      </c>
      <c r="H65" s="1">
        <v>3444</v>
      </c>
      <c r="I65" s="1"/>
      <c r="J65" s="1"/>
      <c r="K65" s="1"/>
      <c r="L65" s="1"/>
      <c r="M65" s="1"/>
      <c r="N65" s="1"/>
      <c r="O65" s="1"/>
      <c r="P65" s="1"/>
    </row>
    <row r="66" spans="2:16" ht="12.75">
      <c r="B66" t="s">
        <v>97</v>
      </c>
      <c r="C66" t="s">
        <v>108</v>
      </c>
      <c r="D66" t="s">
        <v>60</v>
      </c>
      <c r="E66" s="1">
        <v>1176</v>
      </c>
      <c r="F66" s="1">
        <v>3312</v>
      </c>
      <c r="G66" s="1">
        <v>1176</v>
      </c>
      <c r="H66" s="1">
        <v>3312</v>
      </c>
      <c r="I66" s="1"/>
      <c r="J66" s="1"/>
      <c r="K66" s="1"/>
      <c r="L66" s="1"/>
      <c r="M66" s="1"/>
      <c r="N66" s="1"/>
      <c r="O66" s="1"/>
      <c r="P66" s="1"/>
    </row>
    <row r="67" spans="2:16" ht="12.75">
      <c r="B67" t="s">
        <v>97</v>
      </c>
      <c r="C67" t="s">
        <v>109</v>
      </c>
      <c r="D67" t="s">
        <v>60</v>
      </c>
      <c r="E67" s="1">
        <v>1143</v>
      </c>
      <c r="F67" s="1">
        <v>3246</v>
      </c>
      <c r="G67" s="1">
        <v>1143</v>
      </c>
      <c r="H67" s="1">
        <v>3246</v>
      </c>
      <c r="I67" s="1"/>
      <c r="J67" s="1"/>
      <c r="K67" s="1"/>
      <c r="L67" s="1"/>
      <c r="M67" s="1"/>
      <c r="N67" s="1"/>
      <c r="O67" s="1"/>
      <c r="P67" s="1"/>
    </row>
    <row r="68" spans="2:16" ht="12.75">
      <c r="B68" t="s">
        <v>97</v>
      </c>
      <c r="C68" t="s">
        <v>110</v>
      </c>
      <c r="D68" s="4" t="s">
        <v>60</v>
      </c>
      <c r="E68" s="1">
        <v>1224</v>
      </c>
      <c r="F68" s="1">
        <v>3408</v>
      </c>
      <c r="G68" s="1">
        <v>1224</v>
      </c>
      <c r="H68" s="1">
        <v>3408</v>
      </c>
      <c r="I68" s="1"/>
      <c r="J68" s="1"/>
      <c r="K68" s="1"/>
      <c r="L68" s="1"/>
      <c r="M68" s="1"/>
      <c r="N68" s="1"/>
      <c r="O68" s="1"/>
      <c r="P68" s="1"/>
    </row>
    <row r="69" spans="2:16" ht="12.75">
      <c r="B69" t="s">
        <v>97</v>
      </c>
      <c r="C69" t="s">
        <v>111</v>
      </c>
      <c r="D69" t="s">
        <v>60</v>
      </c>
      <c r="E69" s="1">
        <v>1200</v>
      </c>
      <c r="F69" s="1">
        <v>3360</v>
      </c>
      <c r="G69" s="1">
        <v>1200</v>
      </c>
      <c r="H69" s="1">
        <v>3360</v>
      </c>
      <c r="I69" s="1"/>
      <c r="J69" s="1"/>
      <c r="K69" s="1"/>
      <c r="L69" s="1"/>
      <c r="M69" s="1"/>
      <c r="N69" s="1"/>
      <c r="O69" s="1"/>
      <c r="P69" s="1"/>
    </row>
    <row r="70" spans="2:16" ht="12.75">
      <c r="B70" t="s">
        <v>97</v>
      </c>
      <c r="C70" t="s">
        <v>112</v>
      </c>
      <c r="D70" t="s">
        <v>60</v>
      </c>
      <c r="E70" s="1">
        <v>1236</v>
      </c>
      <c r="F70" s="1">
        <v>3432</v>
      </c>
      <c r="G70" s="1">
        <v>1236</v>
      </c>
      <c r="H70" s="1">
        <v>3432</v>
      </c>
      <c r="I70" s="1"/>
      <c r="J70" s="1"/>
      <c r="K70" s="1"/>
      <c r="L70" s="1"/>
      <c r="M70" s="1"/>
      <c r="N70" s="1"/>
      <c r="O70" s="1"/>
      <c r="P70" s="1"/>
    </row>
    <row r="71" spans="2:16" ht="12.75">
      <c r="B71" t="s">
        <v>97</v>
      </c>
      <c r="C71" t="s">
        <v>113</v>
      </c>
      <c r="D71" t="s">
        <v>66</v>
      </c>
      <c r="E71" s="1">
        <v>1044</v>
      </c>
      <c r="F71" s="1">
        <v>3048</v>
      </c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20" ht="12.75">
      <c r="B72" t="s">
        <v>114</v>
      </c>
      <c r="C72" t="s">
        <v>115</v>
      </c>
      <c r="D72" t="s">
        <v>65</v>
      </c>
      <c r="E72" s="1">
        <v>1228</v>
      </c>
      <c r="F72" s="1">
        <v>3518</v>
      </c>
      <c r="G72" s="1">
        <v>1344</v>
      </c>
      <c r="H72" s="1">
        <v>3862</v>
      </c>
      <c r="I72" s="1">
        <v>1645</v>
      </c>
      <c r="J72" s="1">
        <v>4923</v>
      </c>
      <c r="K72" s="1">
        <v>3622</v>
      </c>
      <c r="L72" s="1">
        <v>8929</v>
      </c>
      <c r="M72" s="1">
        <v>2998</v>
      </c>
      <c r="N72" s="1">
        <v>7368</v>
      </c>
      <c r="O72" s="1"/>
      <c r="P72" s="1"/>
      <c r="S72" s="1">
        <v>1366</v>
      </c>
      <c r="T72" s="1">
        <v>3930</v>
      </c>
    </row>
    <row r="73" spans="2:16" ht="12.75">
      <c r="B73" t="s">
        <v>114</v>
      </c>
      <c r="C73" t="s">
        <v>116</v>
      </c>
      <c r="D73" t="s">
        <v>46</v>
      </c>
      <c r="E73" s="1">
        <v>1244</v>
      </c>
      <c r="F73" s="1">
        <v>3534</v>
      </c>
      <c r="G73" s="1">
        <v>1360</v>
      </c>
      <c r="H73" s="1">
        <v>3878</v>
      </c>
      <c r="I73" s="1">
        <v>1661</v>
      </c>
      <c r="J73" s="1">
        <v>4939</v>
      </c>
      <c r="K73" s="1">
        <v>3638</v>
      </c>
      <c r="L73" s="1">
        <v>8945</v>
      </c>
      <c r="M73" s="1">
        <v>3014</v>
      </c>
      <c r="N73" s="1">
        <v>7384</v>
      </c>
      <c r="O73" s="1"/>
      <c r="P73" s="1"/>
    </row>
    <row r="74" spans="2:16" ht="12.75">
      <c r="B74" t="s">
        <v>114</v>
      </c>
      <c r="C74" t="s">
        <v>117</v>
      </c>
      <c r="D74" t="s">
        <v>56</v>
      </c>
      <c r="E74" s="1">
        <v>954</v>
      </c>
      <c r="F74" s="1">
        <v>2724</v>
      </c>
      <c r="G74" s="1">
        <v>1042</v>
      </c>
      <c r="H74" s="1">
        <v>2988</v>
      </c>
      <c r="I74" s="1"/>
      <c r="J74" s="1"/>
      <c r="K74" s="1"/>
      <c r="L74" s="1"/>
      <c r="M74" s="1"/>
      <c r="N74" s="1"/>
      <c r="O74" s="1"/>
      <c r="P74" s="1"/>
    </row>
    <row r="75" spans="2:16" ht="12.75">
      <c r="B75" t="s">
        <v>114</v>
      </c>
      <c r="C75" t="s">
        <v>118</v>
      </c>
      <c r="D75" t="s">
        <v>56</v>
      </c>
      <c r="E75" s="1">
        <v>944</v>
      </c>
      <c r="F75" s="1">
        <v>2714</v>
      </c>
      <c r="G75" s="1">
        <v>1032</v>
      </c>
      <c r="H75" s="1">
        <v>2978</v>
      </c>
      <c r="I75" s="1"/>
      <c r="J75" s="1"/>
      <c r="K75" s="1"/>
      <c r="L75" s="1"/>
      <c r="M75" s="1"/>
      <c r="N75" s="1"/>
      <c r="O75" s="1"/>
      <c r="P75" s="1"/>
    </row>
    <row r="76" spans="2:16" ht="12.75">
      <c r="B76" t="s">
        <v>114</v>
      </c>
      <c r="C76" t="s">
        <v>119</v>
      </c>
      <c r="D76" t="s">
        <v>56</v>
      </c>
      <c r="E76" s="1">
        <v>954</v>
      </c>
      <c r="F76" s="1">
        <v>2724</v>
      </c>
      <c r="G76" s="1">
        <v>1042</v>
      </c>
      <c r="H76" s="1">
        <v>2988</v>
      </c>
      <c r="I76" s="1"/>
      <c r="J76" s="1"/>
      <c r="K76" s="1"/>
      <c r="L76" s="1"/>
      <c r="M76" s="1"/>
      <c r="N76" s="1"/>
      <c r="O76" s="1"/>
      <c r="P76" s="1"/>
    </row>
    <row r="77" spans="2:16" ht="12.75">
      <c r="B77" t="s">
        <v>114</v>
      </c>
      <c r="C77" t="s">
        <v>120</v>
      </c>
      <c r="D77" t="s">
        <v>60</v>
      </c>
      <c r="E77" s="1">
        <v>990</v>
      </c>
      <c r="F77" s="1">
        <v>2760</v>
      </c>
      <c r="G77" s="1">
        <v>1078</v>
      </c>
      <c r="H77" s="1">
        <v>3024</v>
      </c>
      <c r="I77" s="1"/>
      <c r="J77" s="1"/>
      <c r="K77" s="1"/>
      <c r="L77" s="1"/>
      <c r="M77" s="1"/>
      <c r="N77" s="1"/>
      <c r="O77" s="1"/>
      <c r="P77" s="1"/>
    </row>
    <row r="78" spans="2:16" ht="12.75">
      <c r="B78" t="s">
        <v>114</v>
      </c>
      <c r="C78" t="s">
        <v>121</v>
      </c>
      <c r="D78" t="s">
        <v>60</v>
      </c>
      <c r="E78" s="1">
        <v>974</v>
      </c>
      <c r="F78" s="1">
        <v>2744</v>
      </c>
      <c r="G78" s="1">
        <v>1062</v>
      </c>
      <c r="H78" s="1">
        <v>3008</v>
      </c>
      <c r="I78" s="1"/>
      <c r="J78" s="1"/>
      <c r="K78" s="1"/>
      <c r="L78" s="1"/>
      <c r="M78" s="1"/>
      <c r="N78" s="1"/>
      <c r="O78" s="1"/>
      <c r="P78" s="1"/>
    </row>
    <row r="79" spans="2:16" ht="12.75">
      <c r="B79" t="s">
        <v>114</v>
      </c>
      <c r="C79" t="s">
        <v>122</v>
      </c>
      <c r="D79" t="s">
        <v>60</v>
      </c>
      <c r="E79" s="1">
        <v>944</v>
      </c>
      <c r="F79" s="1">
        <v>2714</v>
      </c>
      <c r="G79" s="1">
        <v>1032</v>
      </c>
      <c r="H79" s="1">
        <v>2978</v>
      </c>
      <c r="I79" s="1">
        <v>1621</v>
      </c>
      <c r="J79" s="1">
        <v>4899</v>
      </c>
      <c r="K79" s="1"/>
      <c r="L79" s="1"/>
      <c r="M79" s="1"/>
      <c r="N79" s="1"/>
      <c r="O79" s="1"/>
      <c r="P79" s="1"/>
    </row>
    <row r="80" spans="1:18" ht="12.75">
      <c r="A80" t="s">
        <v>43</v>
      </c>
      <c r="B80" t="s">
        <v>123</v>
      </c>
      <c r="C80" t="s">
        <v>124</v>
      </c>
      <c r="D80" t="s">
        <v>65</v>
      </c>
      <c r="E80" s="1">
        <v>1274</v>
      </c>
      <c r="F80" s="1">
        <v>3274</v>
      </c>
      <c r="G80" s="1">
        <v>1280</v>
      </c>
      <c r="H80" s="1">
        <v>3280</v>
      </c>
      <c r="I80" s="1"/>
      <c r="J80" s="1"/>
      <c r="K80" s="1"/>
      <c r="L80" s="1"/>
      <c r="M80" s="1"/>
      <c r="N80" s="1"/>
      <c r="O80" s="1"/>
      <c r="P80" s="1"/>
      <c r="Q80" s="1">
        <v>1700</v>
      </c>
      <c r="R80" s="1">
        <v>8450</v>
      </c>
    </row>
    <row r="81" spans="2:16" ht="12.75">
      <c r="B81" t="s">
        <v>123</v>
      </c>
      <c r="C81" t="s">
        <v>125</v>
      </c>
      <c r="D81" t="s">
        <v>51</v>
      </c>
      <c r="E81" s="1">
        <v>1146</v>
      </c>
      <c r="F81" s="1">
        <v>2025</v>
      </c>
      <c r="G81" s="1">
        <v>1146</v>
      </c>
      <c r="H81" s="1">
        <v>2025</v>
      </c>
      <c r="I81" s="1"/>
      <c r="J81" s="1"/>
      <c r="K81" s="1"/>
      <c r="L81" s="1"/>
      <c r="M81" s="1"/>
      <c r="N81" s="1"/>
      <c r="O81" s="1"/>
      <c r="P81" s="1"/>
    </row>
    <row r="82" spans="2:16" ht="12.75">
      <c r="B82" t="s">
        <v>123</v>
      </c>
      <c r="C82" t="s">
        <v>126</v>
      </c>
      <c r="D82" t="s">
        <v>51</v>
      </c>
      <c r="E82" s="1">
        <v>988</v>
      </c>
      <c r="F82" s="1">
        <v>1868</v>
      </c>
      <c r="G82" s="1">
        <v>988</v>
      </c>
      <c r="H82" s="1">
        <v>1868</v>
      </c>
      <c r="I82" s="1"/>
      <c r="J82" s="1"/>
      <c r="K82" s="1"/>
      <c r="L82" s="1"/>
      <c r="M82" s="1"/>
      <c r="N82" s="1"/>
      <c r="O82" s="1"/>
      <c r="P82" s="1"/>
    </row>
    <row r="83" spans="2:16" ht="12.75">
      <c r="B83" t="s">
        <v>123</v>
      </c>
      <c r="C83" t="s">
        <v>127</v>
      </c>
      <c r="D83" t="s">
        <v>51</v>
      </c>
      <c r="E83" s="1">
        <v>1086</v>
      </c>
      <c r="F83" s="1">
        <v>1966</v>
      </c>
      <c r="G83" s="1">
        <v>1064</v>
      </c>
      <c r="H83" s="1">
        <v>1944</v>
      </c>
      <c r="I83" s="1"/>
      <c r="J83" s="1"/>
      <c r="K83" s="1"/>
      <c r="L83" s="1"/>
      <c r="M83" s="1"/>
      <c r="N83" s="1"/>
      <c r="O83" s="1"/>
      <c r="P83" s="1"/>
    </row>
    <row r="84" spans="2:16" ht="12.75">
      <c r="B84" t="s">
        <v>123</v>
      </c>
      <c r="C84" t="s">
        <v>128</v>
      </c>
      <c r="D84" t="s">
        <v>51</v>
      </c>
      <c r="E84" s="1">
        <v>1224</v>
      </c>
      <c r="F84" s="1">
        <v>2900</v>
      </c>
      <c r="G84" s="1">
        <v>1224</v>
      </c>
      <c r="H84" s="1">
        <v>2350</v>
      </c>
      <c r="I84" s="1"/>
      <c r="J84" s="1"/>
      <c r="K84" s="1"/>
      <c r="L84" s="1"/>
      <c r="M84" s="1"/>
      <c r="N84" s="1"/>
      <c r="O84" s="1"/>
      <c r="P84" s="1"/>
    </row>
    <row r="85" spans="2:16" ht="12.75">
      <c r="B85" t="s">
        <v>123</v>
      </c>
      <c r="C85" t="s">
        <v>129</v>
      </c>
      <c r="D85" t="s">
        <v>51</v>
      </c>
      <c r="E85" s="1">
        <v>839</v>
      </c>
      <c r="F85" s="1">
        <v>1719</v>
      </c>
      <c r="G85" s="1">
        <v>830</v>
      </c>
      <c r="H85" s="1">
        <v>1710</v>
      </c>
      <c r="I85" s="1"/>
      <c r="J85" s="1"/>
      <c r="K85" s="1"/>
      <c r="L85" s="1"/>
      <c r="M85" s="1"/>
      <c r="N85" s="1"/>
      <c r="O85" s="1"/>
      <c r="P85" s="1"/>
    </row>
    <row r="86" spans="2:16" ht="12.75">
      <c r="B86" t="s">
        <v>123</v>
      </c>
      <c r="C86" t="s">
        <v>130</v>
      </c>
      <c r="D86" t="s">
        <v>60</v>
      </c>
      <c r="E86" s="1">
        <v>1124</v>
      </c>
      <c r="F86" s="1">
        <v>2004</v>
      </c>
      <c r="G86" s="1">
        <v>940</v>
      </c>
      <c r="H86" s="1">
        <v>1820</v>
      </c>
      <c r="I86" s="1"/>
      <c r="J86" s="1"/>
      <c r="K86" s="1"/>
      <c r="L86" s="1"/>
      <c r="M86" s="1"/>
      <c r="N86" s="1"/>
      <c r="O86" s="1"/>
      <c r="P86" s="1"/>
    </row>
    <row r="87" spans="2:16" ht="12.75">
      <c r="B87" t="s">
        <v>123</v>
      </c>
      <c r="C87" t="s">
        <v>131</v>
      </c>
      <c r="D87" t="s">
        <v>60</v>
      </c>
      <c r="E87" s="1">
        <v>980</v>
      </c>
      <c r="F87" s="1">
        <v>2210</v>
      </c>
      <c r="G87" s="1">
        <v>980</v>
      </c>
      <c r="H87" s="1">
        <v>2210</v>
      </c>
      <c r="I87" s="1"/>
      <c r="J87" s="1"/>
      <c r="K87" s="1"/>
      <c r="L87" s="1"/>
      <c r="M87" s="1"/>
      <c r="N87" s="1"/>
      <c r="O87" s="1"/>
      <c r="P87" s="1"/>
    </row>
    <row r="88" spans="2:16" ht="12.75">
      <c r="B88" t="s">
        <v>123</v>
      </c>
      <c r="C88" t="s">
        <v>132</v>
      </c>
      <c r="D88" t="s">
        <v>60</v>
      </c>
      <c r="E88" s="1">
        <v>1014</v>
      </c>
      <c r="F88" s="1">
        <v>1894</v>
      </c>
      <c r="G88" s="1">
        <v>1014</v>
      </c>
      <c r="H88" s="1">
        <v>1894</v>
      </c>
      <c r="I88" s="1"/>
      <c r="J88" s="1"/>
      <c r="K88" s="1"/>
      <c r="L88" s="1"/>
      <c r="M88" s="1"/>
      <c r="N88" s="1"/>
      <c r="O88" s="1"/>
      <c r="P88" s="1"/>
    </row>
    <row r="89" spans="2:16" ht="12.75">
      <c r="B89" t="s">
        <v>123</v>
      </c>
      <c r="C89" t="s">
        <v>133</v>
      </c>
      <c r="D89" t="s">
        <v>60</v>
      </c>
      <c r="E89" s="1">
        <v>990</v>
      </c>
      <c r="F89" s="1">
        <v>1870</v>
      </c>
      <c r="G89" s="1">
        <v>990</v>
      </c>
      <c r="H89" s="1">
        <v>1870</v>
      </c>
      <c r="I89" s="1"/>
      <c r="J89" s="1"/>
      <c r="K89" s="1"/>
      <c r="L89" s="1"/>
      <c r="M89" s="1"/>
      <c r="N89" s="1"/>
      <c r="O89" s="1"/>
      <c r="P89" s="1"/>
    </row>
    <row r="90" spans="2:16" ht="12.75">
      <c r="B90" t="s">
        <v>123</v>
      </c>
      <c r="C90" t="s">
        <v>134</v>
      </c>
      <c r="D90" t="s">
        <v>60</v>
      </c>
      <c r="E90" s="1">
        <v>1088</v>
      </c>
      <c r="F90" s="1">
        <v>1968</v>
      </c>
      <c r="G90" s="1">
        <v>1088</v>
      </c>
      <c r="H90" s="1">
        <v>1968</v>
      </c>
      <c r="I90" s="1"/>
      <c r="J90" s="1"/>
      <c r="K90" s="1"/>
      <c r="L90" s="1"/>
      <c r="M90" s="1"/>
      <c r="N90" s="1"/>
      <c r="O90" s="1"/>
      <c r="P90" s="1"/>
    </row>
    <row r="91" spans="2:16" ht="12.75">
      <c r="B91" t="s">
        <v>123</v>
      </c>
      <c r="C91" t="s">
        <v>135</v>
      </c>
      <c r="D91" t="s">
        <v>60</v>
      </c>
      <c r="E91" s="1">
        <v>762</v>
      </c>
      <c r="F91" s="1">
        <v>1442</v>
      </c>
      <c r="G91" s="1">
        <v>782</v>
      </c>
      <c r="H91" s="1">
        <v>1182</v>
      </c>
      <c r="I91" s="1">
        <v>804</v>
      </c>
      <c r="J91" s="1">
        <v>1724</v>
      </c>
      <c r="K91" s="1"/>
      <c r="L91" s="1"/>
      <c r="M91" s="1"/>
      <c r="N91" s="1"/>
      <c r="O91" s="1"/>
      <c r="P91" s="1"/>
    </row>
    <row r="92" spans="2:16" ht="12.75">
      <c r="B92" t="s">
        <v>123</v>
      </c>
      <c r="C92" t="s">
        <v>136</v>
      </c>
      <c r="D92" t="s">
        <v>60</v>
      </c>
      <c r="E92" s="1">
        <v>726</v>
      </c>
      <c r="F92" s="1">
        <v>1406</v>
      </c>
      <c r="G92" s="1">
        <v>746</v>
      </c>
      <c r="H92" s="1">
        <v>1376</v>
      </c>
      <c r="I92" s="1"/>
      <c r="J92" s="1"/>
      <c r="K92" s="1"/>
      <c r="L92" s="1"/>
      <c r="M92" s="1"/>
      <c r="N92" s="1"/>
      <c r="O92" s="1"/>
      <c r="P92" s="1"/>
    </row>
    <row r="93" spans="2:16" ht="12.75">
      <c r="B93" t="s">
        <v>137</v>
      </c>
      <c r="C93" t="s">
        <v>138</v>
      </c>
      <c r="D93" t="s">
        <v>65</v>
      </c>
      <c r="E93" s="1">
        <v>1496</v>
      </c>
      <c r="F93" s="1">
        <v>4202</v>
      </c>
      <c r="G93" s="1">
        <v>2310</v>
      </c>
      <c r="H93" s="1">
        <v>3918</v>
      </c>
      <c r="I93" s="1"/>
      <c r="J93" s="1"/>
      <c r="K93" s="1"/>
      <c r="L93" s="1"/>
      <c r="M93" s="1"/>
      <c r="N93" s="1"/>
      <c r="O93" s="1"/>
      <c r="P93" s="1"/>
    </row>
    <row r="94" spans="2:16" ht="12.75">
      <c r="B94" t="s">
        <v>137</v>
      </c>
      <c r="C94" t="s">
        <v>139</v>
      </c>
      <c r="D94" t="s">
        <v>51</v>
      </c>
      <c r="E94" s="1">
        <v>1498</v>
      </c>
      <c r="F94" s="1">
        <v>2946</v>
      </c>
      <c r="G94" s="1">
        <v>1718</v>
      </c>
      <c r="H94" s="1">
        <v>1958</v>
      </c>
      <c r="I94" s="1"/>
      <c r="J94" s="1"/>
      <c r="K94" s="1"/>
      <c r="L94" s="1"/>
      <c r="M94" s="1"/>
      <c r="N94" s="1"/>
      <c r="O94" s="1"/>
      <c r="P94" s="1"/>
    </row>
    <row r="95" spans="2:16" ht="12.75">
      <c r="B95" t="s">
        <v>137</v>
      </c>
      <c r="C95" t="s">
        <v>140</v>
      </c>
      <c r="D95" t="s">
        <v>51</v>
      </c>
      <c r="E95" s="1">
        <v>1518</v>
      </c>
      <c r="F95" s="1">
        <v>4224</v>
      </c>
      <c r="G95" s="1">
        <v>2332</v>
      </c>
      <c r="H95" s="1">
        <v>3940</v>
      </c>
      <c r="I95" s="1"/>
      <c r="J95" s="1"/>
      <c r="K95" s="1"/>
      <c r="L95" s="1"/>
      <c r="M95" s="1"/>
      <c r="N95" s="1"/>
      <c r="O95" s="1"/>
      <c r="P95" s="1"/>
    </row>
    <row r="96" spans="2:16" ht="12.75">
      <c r="B96" t="s">
        <v>137</v>
      </c>
      <c r="C96" t="s">
        <v>141</v>
      </c>
      <c r="D96" t="s">
        <v>60</v>
      </c>
      <c r="E96" s="1">
        <v>1595</v>
      </c>
      <c r="F96" s="1">
        <v>2851</v>
      </c>
      <c r="G96" s="1">
        <v>2181</v>
      </c>
      <c r="H96" s="1">
        <v>2181</v>
      </c>
      <c r="I96" s="1"/>
      <c r="J96" s="1"/>
      <c r="K96" s="1"/>
      <c r="L96" s="1"/>
      <c r="M96" s="1"/>
      <c r="N96" s="1"/>
      <c r="O96" s="1"/>
      <c r="P96" s="1"/>
    </row>
    <row r="97" spans="2:16" ht="12.75">
      <c r="B97" t="s">
        <v>137</v>
      </c>
      <c r="C97" t="s">
        <v>142</v>
      </c>
      <c r="D97" t="s">
        <v>60</v>
      </c>
      <c r="E97" s="1">
        <v>1451</v>
      </c>
      <c r="F97" s="1">
        <v>2707</v>
      </c>
      <c r="G97" s="1">
        <v>1749</v>
      </c>
      <c r="H97" s="1">
        <v>1749</v>
      </c>
      <c r="I97" s="1"/>
      <c r="J97" s="1"/>
      <c r="K97" s="1"/>
      <c r="L97" s="1"/>
      <c r="M97" s="1"/>
      <c r="N97" s="1"/>
      <c r="O97" s="1"/>
      <c r="P97" s="1"/>
    </row>
    <row r="98" spans="2:16" ht="12.75">
      <c r="B98" t="s">
        <v>137</v>
      </c>
      <c r="C98" t="s">
        <v>143</v>
      </c>
      <c r="D98" t="s">
        <v>60</v>
      </c>
      <c r="E98" s="1">
        <v>1472</v>
      </c>
      <c r="F98" s="1">
        <v>2728</v>
      </c>
      <c r="G98" s="1">
        <v>2058</v>
      </c>
      <c r="H98" s="1">
        <v>2058</v>
      </c>
      <c r="I98" s="1"/>
      <c r="J98" s="1"/>
      <c r="K98" s="1"/>
      <c r="L98" s="1"/>
      <c r="M98" s="1"/>
      <c r="N98" s="1"/>
      <c r="O98" s="1"/>
      <c r="P98" s="1"/>
    </row>
    <row r="99" spans="2:16" ht="12.75">
      <c r="B99" t="s">
        <v>137</v>
      </c>
      <c r="C99" t="s">
        <v>144</v>
      </c>
      <c r="D99" t="s">
        <v>60</v>
      </c>
      <c r="E99" s="1">
        <v>1656</v>
      </c>
      <c r="F99" s="1">
        <v>2912</v>
      </c>
      <c r="G99" s="1">
        <v>2170</v>
      </c>
      <c r="H99" s="1">
        <v>2266</v>
      </c>
      <c r="I99" s="1"/>
      <c r="J99" s="1"/>
      <c r="K99" s="1"/>
      <c r="L99" s="1"/>
      <c r="M99" s="1"/>
      <c r="N99" s="1"/>
      <c r="O99" s="1"/>
      <c r="P99" s="1"/>
    </row>
    <row r="100" spans="2:16" ht="12.75">
      <c r="B100" t="s">
        <v>137</v>
      </c>
      <c r="C100" t="s">
        <v>145</v>
      </c>
      <c r="D100" t="s">
        <v>60</v>
      </c>
      <c r="E100" s="1">
        <v>1512</v>
      </c>
      <c r="F100" s="1">
        <v>2768</v>
      </c>
      <c r="G100" s="1">
        <v>2023</v>
      </c>
      <c r="H100" s="1">
        <v>2023</v>
      </c>
      <c r="I100" s="1"/>
      <c r="J100" s="1"/>
      <c r="K100" s="1"/>
      <c r="L100" s="1"/>
      <c r="M100" s="1"/>
      <c r="N100" s="1"/>
      <c r="O100" s="1"/>
      <c r="P100" s="1"/>
    </row>
    <row r="101" spans="2:16" ht="12.75">
      <c r="B101" t="s">
        <v>137</v>
      </c>
      <c r="C101" t="s">
        <v>146</v>
      </c>
      <c r="D101" t="s">
        <v>60</v>
      </c>
      <c r="E101" s="1">
        <v>1490</v>
      </c>
      <c r="F101" s="1">
        <v>2780</v>
      </c>
      <c r="G101" s="1">
        <v>2142</v>
      </c>
      <c r="H101" s="1">
        <v>2142</v>
      </c>
      <c r="I101" s="1">
        <v>2920</v>
      </c>
      <c r="J101" s="1">
        <v>5490</v>
      </c>
      <c r="K101" s="1"/>
      <c r="L101" s="1"/>
      <c r="M101" s="1"/>
      <c r="N101" s="1"/>
      <c r="O101" s="1"/>
      <c r="P101" s="1"/>
    </row>
    <row r="102" spans="2:16" ht="12.75">
      <c r="B102" t="s">
        <v>137</v>
      </c>
      <c r="C102" t="s">
        <v>147</v>
      </c>
      <c r="D102" t="s">
        <v>60</v>
      </c>
      <c r="E102" s="1">
        <v>1350</v>
      </c>
      <c r="F102" s="1">
        <v>3804</v>
      </c>
      <c r="G102" s="1">
        <v>2294</v>
      </c>
      <c r="H102" s="1">
        <v>3902</v>
      </c>
      <c r="I102" s="1"/>
      <c r="J102" s="1"/>
      <c r="K102" s="1"/>
      <c r="L102" s="1"/>
      <c r="M102" s="1"/>
      <c r="N102" s="1"/>
      <c r="O102" s="1"/>
      <c r="P102" s="1"/>
    </row>
    <row r="103" spans="2:16" ht="12.75">
      <c r="B103" t="s">
        <v>137</v>
      </c>
      <c r="C103" t="s">
        <v>148</v>
      </c>
      <c r="D103" t="s">
        <v>66</v>
      </c>
      <c r="E103" s="1">
        <v>1850</v>
      </c>
      <c r="F103" s="1">
        <v>2850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8" ht="12.75">
      <c r="B104" t="s">
        <v>149</v>
      </c>
      <c r="C104" t="s">
        <v>150</v>
      </c>
      <c r="D104" t="s">
        <v>46</v>
      </c>
      <c r="E104" s="1">
        <v>1492</v>
      </c>
      <c r="F104" s="1">
        <v>2674</v>
      </c>
      <c r="G104" s="1">
        <v>1492</v>
      </c>
      <c r="H104" s="1">
        <v>2674</v>
      </c>
      <c r="I104" s="1"/>
      <c r="J104" s="1"/>
      <c r="K104" s="1"/>
      <c r="L104" s="1"/>
      <c r="M104" s="1"/>
      <c r="N104" s="1"/>
      <c r="O104" s="1"/>
      <c r="P104" s="1"/>
      <c r="Q104" s="1">
        <v>2191</v>
      </c>
      <c r="R104" s="1">
        <v>0</v>
      </c>
    </row>
    <row r="105" spans="2:16" ht="12.75">
      <c r="B105" t="s">
        <v>149</v>
      </c>
      <c r="C105" t="s">
        <v>73</v>
      </c>
      <c r="D105" t="s">
        <v>46</v>
      </c>
      <c r="E105" s="1">
        <v>1517</v>
      </c>
      <c r="F105" s="1">
        <v>2699</v>
      </c>
      <c r="G105" s="1">
        <v>1517</v>
      </c>
      <c r="H105" s="1">
        <v>2699</v>
      </c>
      <c r="I105" s="1">
        <v>1817</v>
      </c>
      <c r="J105" s="1">
        <v>2999</v>
      </c>
      <c r="K105" s="1"/>
      <c r="L105" s="1"/>
      <c r="M105" s="1"/>
      <c r="N105" s="1"/>
      <c r="O105" s="1"/>
      <c r="P105" s="1"/>
    </row>
    <row r="106" spans="2:16" ht="12.75">
      <c r="B106" t="s">
        <v>149</v>
      </c>
      <c r="C106" t="s">
        <v>151</v>
      </c>
      <c r="D106" t="s">
        <v>46</v>
      </c>
      <c r="E106" s="1">
        <v>1401</v>
      </c>
      <c r="F106" s="1">
        <v>2583</v>
      </c>
      <c r="G106" s="1">
        <v>1401</v>
      </c>
      <c r="H106" s="1">
        <v>2583</v>
      </c>
      <c r="I106" s="1"/>
      <c r="J106" s="1"/>
      <c r="K106" s="1"/>
      <c r="L106" s="1"/>
      <c r="M106" s="1"/>
      <c r="N106" s="1"/>
      <c r="O106" s="1"/>
      <c r="P106" s="1"/>
    </row>
    <row r="107" spans="2:16" ht="12.75">
      <c r="B107" t="s">
        <v>149</v>
      </c>
      <c r="C107" t="s">
        <v>152</v>
      </c>
      <c r="D107" t="s">
        <v>51</v>
      </c>
      <c r="E107" s="1">
        <v>1000</v>
      </c>
      <c r="F107" s="1">
        <v>2182</v>
      </c>
      <c r="G107" s="1">
        <v>1000</v>
      </c>
      <c r="H107" s="1">
        <v>2182</v>
      </c>
      <c r="I107" s="1"/>
      <c r="J107" s="1"/>
      <c r="K107" s="1"/>
      <c r="L107" s="1"/>
      <c r="M107" s="1"/>
      <c r="N107" s="1"/>
      <c r="O107" s="1"/>
      <c r="P107" s="1"/>
    </row>
    <row r="108" spans="2:16" ht="12.75">
      <c r="B108" t="s">
        <v>149</v>
      </c>
      <c r="C108" t="s">
        <v>58</v>
      </c>
      <c r="D108" t="s">
        <v>51</v>
      </c>
      <c r="E108" s="1">
        <v>1172</v>
      </c>
      <c r="F108" s="1">
        <v>2354</v>
      </c>
      <c r="G108" s="1">
        <v>1210</v>
      </c>
      <c r="H108" s="1">
        <v>2392</v>
      </c>
      <c r="I108" s="1"/>
      <c r="J108" s="1"/>
      <c r="K108" s="1"/>
      <c r="L108" s="1"/>
      <c r="M108" s="1"/>
      <c r="N108" s="1"/>
      <c r="O108" s="1"/>
      <c r="P108" s="1"/>
    </row>
    <row r="109" spans="2:16" ht="12.75">
      <c r="B109" t="s">
        <v>149</v>
      </c>
      <c r="C109" t="s">
        <v>59</v>
      </c>
      <c r="D109" t="s">
        <v>60</v>
      </c>
      <c r="E109" s="1">
        <v>1150</v>
      </c>
      <c r="F109" s="1">
        <v>2332</v>
      </c>
      <c r="G109" s="1">
        <v>1150</v>
      </c>
      <c r="H109" s="1">
        <v>2332</v>
      </c>
      <c r="I109" s="1"/>
      <c r="J109" s="1"/>
      <c r="K109" s="1"/>
      <c r="L109" s="1"/>
      <c r="M109" s="1"/>
      <c r="N109" s="1"/>
      <c r="O109" s="1"/>
      <c r="P109" s="1"/>
    </row>
    <row r="110" spans="2:16" ht="12.75">
      <c r="B110" t="s">
        <v>149</v>
      </c>
      <c r="C110" t="s">
        <v>153</v>
      </c>
      <c r="D110" t="s">
        <v>60</v>
      </c>
      <c r="E110" s="1">
        <v>1075</v>
      </c>
      <c r="F110" s="1">
        <v>2257</v>
      </c>
      <c r="G110" s="1">
        <v>1075</v>
      </c>
      <c r="H110" s="1">
        <v>2257</v>
      </c>
      <c r="I110" s="1"/>
      <c r="J110" s="1"/>
      <c r="K110" s="1"/>
      <c r="L110" s="1"/>
      <c r="M110" s="1"/>
      <c r="N110" s="1"/>
      <c r="O110" s="1"/>
      <c r="P110" s="1"/>
    </row>
    <row r="111" spans="2:16" ht="12.75">
      <c r="B111" t="s">
        <v>149</v>
      </c>
      <c r="C111" t="s">
        <v>154</v>
      </c>
      <c r="D111" t="s">
        <v>60</v>
      </c>
      <c r="E111" s="1">
        <v>1100</v>
      </c>
      <c r="F111" s="1">
        <v>2282</v>
      </c>
      <c r="G111" s="1">
        <v>1100</v>
      </c>
      <c r="H111" s="1">
        <v>2282</v>
      </c>
      <c r="I111" s="1"/>
      <c r="J111" s="1"/>
      <c r="K111" s="1"/>
      <c r="L111" s="1"/>
      <c r="M111" s="1"/>
      <c r="N111" s="1"/>
      <c r="O111" s="1"/>
      <c r="P111" s="1"/>
    </row>
    <row r="112" spans="2:18" ht="12.75">
      <c r="B112" t="s">
        <v>155</v>
      </c>
      <c r="C112" t="s">
        <v>156</v>
      </c>
      <c r="D112" t="s">
        <v>65</v>
      </c>
      <c r="E112" s="1">
        <v>810</v>
      </c>
      <c r="F112" s="1">
        <v>3730</v>
      </c>
      <c r="G112" s="1">
        <v>810</v>
      </c>
      <c r="H112" s="1">
        <v>3730</v>
      </c>
      <c r="I112" s="1"/>
      <c r="J112" s="1"/>
      <c r="K112" s="1"/>
      <c r="L112" s="1"/>
      <c r="M112" s="1"/>
      <c r="N112" s="1"/>
      <c r="O112" s="1"/>
      <c r="P112" s="1"/>
      <c r="Q112" s="1">
        <v>1400</v>
      </c>
      <c r="R112" s="1">
        <v>4426</v>
      </c>
    </row>
    <row r="113" spans="2:20" ht="12.75">
      <c r="B113" t="s">
        <v>155</v>
      </c>
      <c r="C113" t="s">
        <v>157</v>
      </c>
      <c r="D113" t="s">
        <v>65</v>
      </c>
      <c r="E113" s="1">
        <v>794</v>
      </c>
      <c r="F113" s="1">
        <v>3714</v>
      </c>
      <c r="G113" s="1">
        <v>790</v>
      </c>
      <c r="H113" s="1">
        <v>3710</v>
      </c>
      <c r="I113" s="1">
        <v>822</v>
      </c>
      <c r="J113" s="1">
        <v>3742</v>
      </c>
      <c r="K113" s="1">
        <v>1389</v>
      </c>
      <c r="L113" s="1">
        <v>4515</v>
      </c>
      <c r="M113" s="1">
        <v>1637</v>
      </c>
      <c r="N113" s="1">
        <v>4763</v>
      </c>
      <c r="O113" s="1"/>
      <c r="P113" s="1"/>
      <c r="S113" s="1">
        <v>1320</v>
      </c>
      <c r="T113" s="1">
        <v>4506</v>
      </c>
    </row>
    <row r="114" spans="2:16" ht="12.75">
      <c r="B114" t="s">
        <v>155</v>
      </c>
      <c r="C114" t="s">
        <v>158</v>
      </c>
      <c r="D114" t="s">
        <v>46</v>
      </c>
      <c r="E114" s="1">
        <v>888</v>
      </c>
      <c r="F114" s="1">
        <v>3808</v>
      </c>
      <c r="G114" s="1">
        <v>888</v>
      </c>
      <c r="H114" s="1">
        <v>3808</v>
      </c>
      <c r="I114" s="1"/>
      <c r="J114" s="1"/>
      <c r="K114" s="1"/>
      <c r="L114" s="1"/>
      <c r="M114" s="1"/>
      <c r="N114" s="1"/>
      <c r="O114" s="1"/>
      <c r="P114" s="1"/>
    </row>
    <row r="115" spans="2:16" ht="12.75">
      <c r="B115" t="s">
        <v>155</v>
      </c>
      <c r="C115" t="s">
        <v>159</v>
      </c>
      <c r="D115" t="s">
        <v>51</v>
      </c>
      <c r="E115" s="1">
        <v>764</v>
      </c>
      <c r="F115" s="1">
        <v>3610</v>
      </c>
      <c r="G115" s="1">
        <v>764</v>
      </c>
      <c r="H115" s="1">
        <v>3610</v>
      </c>
      <c r="I115" s="1"/>
      <c r="J115" s="1"/>
      <c r="K115" s="1">
        <v>1424</v>
      </c>
      <c r="L115" s="1">
        <v>4550</v>
      </c>
      <c r="M115" s="1"/>
      <c r="N115" s="1"/>
      <c r="O115" s="1"/>
      <c r="P115" s="1"/>
    </row>
    <row r="116" spans="2:16" ht="12.75">
      <c r="B116" t="s">
        <v>155</v>
      </c>
      <c r="C116" t="s">
        <v>59</v>
      </c>
      <c r="D116" t="s">
        <v>56</v>
      </c>
      <c r="E116" s="1">
        <v>773</v>
      </c>
      <c r="F116" s="1">
        <v>3619</v>
      </c>
      <c r="G116" s="1">
        <v>803</v>
      </c>
      <c r="H116" s="1">
        <v>3649</v>
      </c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t="s">
        <v>43</v>
      </c>
      <c r="B117" t="s">
        <v>155</v>
      </c>
      <c r="C117" t="s">
        <v>160</v>
      </c>
      <c r="D117" s="4" t="s">
        <v>56</v>
      </c>
      <c r="E117" s="1">
        <v>814</v>
      </c>
      <c r="F117" s="1">
        <v>3660</v>
      </c>
      <c r="G117" s="1">
        <v>814</v>
      </c>
      <c r="H117" s="1">
        <v>3660</v>
      </c>
      <c r="I117" s="1"/>
      <c r="J117" s="1"/>
      <c r="K117" s="1"/>
      <c r="L117" s="1"/>
      <c r="M117" s="1"/>
      <c r="N117" s="1"/>
      <c r="O117" s="1"/>
      <c r="P117" s="1"/>
    </row>
    <row r="118" spans="2:16" ht="12.75">
      <c r="B118" t="s">
        <v>155</v>
      </c>
      <c r="C118" t="s">
        <v>161</v>
      </c>
      <c r="D118" t="s">
        <v>56</v>
      </c>
      <c r="E118" s="1">
        <v>792</v>
      </c>
      <c r="F118" s="1">
        <v>3638</v>
      </c>
      <c r="G118" s="1">
        <v>765</v>
      </c>
      <c r="H118" s="1">
        <v>3611</v>
      </c>
      <c r="I118" s="1">
        <v>762</v>
      </c>
      <c r="J118" s="1">
        <v>3608</v>
      </c>
      <c r="K118" s="1"/>
      <c r="L118" s="1"/>
      <c r="M118" s="1"/>
      <c r="N118" s="1"/>
      <c r="O118" s="1"/>
      <c r="P118" s="1"/>
    </row>
    <row r="119" spans="2:16" ht="12.75">
      <c r="B119" t="s">
        <v>155</v>
      </c>
      <c r="C119" t="s">
        <v>162</v>
      </c>
      <c r="D119" t="s">
        <v>56</v>
      </c>
      <c r="E119" s="1">
        <v>714</v>
      </c>
      <c r="F119" s="1">
        <v>3560</v>
      </c>
      <c r="G119" s="1">
        <v>714</v>
      </c>
      <c r="H119" s="1">
        <v>3560</v>
      </c>
      <c r="I119" s="1"/>
      <c r="J119" s="1"/>
      <c r="K119" s="1"/>
      <c r="L119" s="1"/>
      <c r="M119" s="1"/>
      <c r="N119" s="1"/>
      <c r="O119" s="1"/>
      <c r="P119" s="1"/>
    </row>
    <row r="120" spans="2:16" ht="12.75">
      <c r="B120" t="s">
        <v>155</v>
      </c>
      <c r="C120" t="s">
        <v>163</v>
      </c>
      <c r="D120" t="s">
        <v>56</v>
      </c>
      <c r="E120" s="1">
        <v>781</v>
      </c>
      <c r="F120" s="1">
        <v>3627</v>
      </c>
      <c r="G120" s="1">
        <v>817</v>
      </c>
      <c r="H120" s="1">
        <v>3663</v>
      </c>
      <c r="I120" s="1"/>
      <c r="J120" s="1"/>
      <c r="K120" s="1"/>
      <c r="L120" s="1"/>
      <c r="M120" s="1"/>
      <c r="N120" s="1"/>
      <c r="O120" s="1"/>
      <c r="P120" s="1"/>
    </row>
    <row r="121" spans="2:16" ht="12.75">
      <c r="B121" t="s">
        <v>155</v>
      </c>
      <c r="C121" t="s">
        <v>88</v>
      </c>
      <c r="D121" t="s">
        <v>60</v>
      </c>
      <c r="E121" s="1">
        <v>780</v>
      </c>
      <c r="F121" s="1">
        <v>3626</v>
      </c>
      <c r="G121" s="1">
        <v>780</v>
      </c>
      <c r="H121" s="1">
        <v>3626</v>
      </c>
      <c r="I121" s="1"/>
      <c r="J121" s="1"/>
      <c r="K121" s="1"/>
      <c r="L121" s="1"/>
      <c r="M121" s="1"/>
      <c r="N121" s="1"/>
      <c r="O121" s="1"/>
      <c r="P121" s="1"/>
    </row>
    <row r="122" spans="2:16" ht="12.75">
      <c r="B122" t="s">
        <v>155</v>
      </c>
      <c r="C122" t="s">
        <v>164</v>
      </c>
      <c r="D122" t="s">
        <v>60</v>
      </c>
      <c r="E122" s="1">
        <v>650</v>
      </c>
      <c r="F122" s="1">
        <v>3152</v>
      </c>
      <c r="G122" s="1">
        <v>650</v>
      </c>
      <c r="H122" s="1">
        <v>3152</v>
      </c>
      <c r="I122" s="1"/>
      <c r="J122" s="1"/>
      <c r="K122" s="1"/>
      <c r="L122" s="1"/>
      <c r="M122" s="1"/>
      <c r="N122" s="1"/>
      <c r="O122" s="1"/>
      <c r="P122" s="1"/>
    </row>
    <row r="123" spans="2:16" ht="12.75">
      <c r="B123" t="s">
        <v>155</v>
      </c>
      <c r="C123" t="s">
        <v>165</v>
      </c>
      <c r="D123" t="s">
        <v>60</v>
      </c>
      <c r="E123" s="1">
        <v>807</v>
      </c>
      <c r="F123" s="1">
        <v>3653</v>
      </c>
      <c r="G123" s="1">
        <v>807</v>
      </c>
      <c r="H123" s="1">
        <v>3653</v>
      </c>
      <c r="I123" s="1"/>
      <c r="J123" s="1"/>
      <c r="K123" s="1"/>
      <c r="L123" s="1"/>
      <c r="M123" s="1"/>
      <c r="N123" s="1"/>
      <c r="O123" s="1"/>
      <c r="P123" s="1"/>
    </row>
    <row r="124" spans="2:16" ht="12.75">
      <c r="B124" t="s">
        <v>155</v>
      </c>
      <c r="C124" t="s">
        <v>166</v>
      </c>
      <c r="D124" s="4" t="s">
        <v>66</v>
      </c>
      <c r="E124" s="1">
        <v>774</v>
      </c>
      <c r="F124" s="1">
        <v>3276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>
      <c r="B125" t="s">
        <v>155</v>
      </c>
      <c r="C125" t="s">
        <v>167</v>
      </c>
      <c r="D125" t="s">
        <v>66</v>
      </c>
      <c r="E125" s="1">
        <v>736</v>
      </c>
      <c r="F125" s="1">
        <v>3238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>
      <c r="B126" t="s">
        <v>155</v>
      </c>
      <c r="C126" t="s">
        <v>168</v>
      </c>
      <c r="D126" t="s">
        <v>66</v>
      </c>
      <c r="E126" s="1">
        <v>687</v>
      </c>
      <c r="F126" s="1">
        <v>3189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8" ht="12.75">
      <c r="B127" t="s">
        <v>169</v>
      </c>
      <c r="C127" t="s">
        <v>170</v>
      </c>
      <c r="D127" t="s">
        <v>65</v>
      </c>
      <c r="E127" s="1">
        <v>828</v>
      </c>
      <c r="F127" s="1">
        <v>2454</v>
      </c>
      <c r="G127" s="1">
        <v>815</v>
      </c>
      <c r="H127" s="1">
        <v>2495</v>
      </c>
      <c r="I127" s="1"/>
      <c r="J127" s="1"/>
      <c r="K127" s="1"/>
      <c r="L127" s="1"/>
      <c r="M127" s="1"/>
      <c r="N127" s="1"/>
      <c r="O127" s="1"/>
      <c r="P127" s="1"/>
      <c r="Q127" s="1">
        <v>1690</v>
      </c>
      <c r="R127" s="1">
        <v>5146</v>
      </c>
    </row>
    <row r="128" spans="2:20" ht="12.75">
      <c r="B128" t="s">
        <v>169</v>
      </c>
      <c r="C128" t="s">
        <v>171</v>
      </c>
      <c r="D128" t="s">
        <v>65</v>
      </c>
      <c r="E128" s="1">
        <v>858</v>
      </c>
      <c r="F128" s="1">
        <v>2484</v>
      </c>
      <c r="G128" s="1">
        <v>864</v>
      </c>
      <c r="H128" s="1">
        <v>2544</v>
      </c>
      <c r="I128" s="1">
        <v>1108</v>
      </c>
      <c r="J128" s="1">
        <v>3208</v>
      </c>
      <c r="K128" s="1">
        <v>2400</v>
      </c>
      <c r="L128" s="1">
        <v>5855</v>
      </c>
      <c r="M128" s="1">
        <v>2800</v>
      </c>
      <c r="N128" s="1">
        <v>6255</v>
      </c>
      <c r="O128" s="1"/>
      <c r="P128" s="1"/>
      <c r="Q128" s="1"/>
      <c r="R128" s="1"/>
      <c r="S128" s="1">
        <v>1325</v>
      </c>
      <c r="T128" s="1">
        <v>3880</v>
      </c>
    </row>
    <row r="129" spans="2:18" ht="12.75">
      <c r="B129" t="s">
        <v>169</v>
      </c>
      <c r="C129" t="s">
        <v>172</v>
      </c>
      <c r="D129" t="s">
        <v>60</v>
      </c>
      <c r="E129" s="1">
        <v>599</v>
      </c>
      <c r="F129" s="1">
        <v>1631</v>
      </c>
      <c r="G129" s="1">
        <v>562</v>
      </c>
      <c r="H129" s="1">
        <v>1567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2.75">
      <c r="B130" t="s">
        <v>169</v>
      </c>
      <c r="C130" t="s">
        <v>159</v>
      </c>
      <c r="D130" t="s">
        <v>60</v>
      </c>
      <c r="E130" s="1">
        <v>616</v>
      </c>
      <c r="F130" s="1">
        <v>1648</v>
      </c>
      <c r="G130" s="1">
        <v>573</v>
      </c>
      <c r="H130" s="1">
        <v>1578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2.75">
      <c r="B131" t="s">
        <v>169</v>
      </c>
      <c r="C131" t="s">
        <v>173</v>
      </c>
      <c r="D131" t="s">
        <v>60</v>
      </c>
      <c r="E131" s="1">
        <v>613</v>
      </c>
      <c r="F131" s="1">
        <v>1646</v>
      </c>
      <c r="G131" s="1">
        <v>573</v>
      </c>
      <c r="H131" s="1">
        <v>1578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2.75">
      <c r="B132" t="s">
        <v>169</v>
      </c>
      <c r="C132" t="s">
        <v>174</v>
      </c>
      <c r="D132" t="s">
        <v>60</v>
      </c>
      <c r="E132" s="1">
        <v>611</v>
      </c>
      <c r="F132" s="1">
        <v>1643</v>
      </c>
      <c r="G132" s="1">
        <v>574</v>
      </c>
      <c r="H132" s="1">
        <v>1579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2.75">
      <c r="B133" t="s">
        <v>169</v>
      </c>
      <c r="C133" t="s">
        <v>175</v>
      </c>
      <c r="D133" t="s">
        <v>60</v>
      </c>
      <c r="E133" s="1">
        <v>611</v>
      </c>
      <c r="F133" s="1">
        <v>1643</v>
      </c>
      <c r="G133" s="1">
        <v>571</v>
      </c>
      <c r="H133" s="1">
        <v>1576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2.75">
      <c r="B134" t="s">
        <v>169</v>
      </c>
      <c r="C134" t="s">
        <v>176</v>
      </c>
      <c r="D134" t="s">
        <v>60</v>
      </c>
      <c r="E134" s="1">
        <v>591</v>
      </c>
      <c r="F134" s="1">
        <v>1623</v>
      </c>
      <c r="G134" s="1">
        <v>534</v>
      </c>
      <c r="H134" s="1">
        <v>1559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2.75">
      <c r="B135" t="s">
        <v>169</v>
      </c>
      <c r="C135" t="s">
        <v>177</v>
      </c>
      <c r="D135" t="s">
        <v>66</v>
      </c>
      <c r="E135" s="1">
        <v>648</v>
      </c>
      <c r="F135" s="1">
        <v>1678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2.75">
      <c r="B136" t="s">
        <v>169</v>
      </c>
      <c r="C136" t="s">
        <v>178</v>
      </c>
      <c r="D136" t="s">
        <v>66</v>
      </c>
      <c r="E136" s="1">
        <v>657</v>
      </c>
      <c r="F136" s="1">
        <v>1689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2.75">
      <c r="B137" t="s">
        <v>169</v>
      </c>
      <c r="C137" t="s">
        <v>179</v>
      </c>
      <c r="D137" t="s">
        <v>66</v>
      </c>
      <c r="E137" s="1">
        <v>622</v>
      </c>
      <c r="F137" s="1">
        <v>1654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2.75">
      <c r="B138" t="s">
        <v>169</v>
      </c>
      <c r="C138" t="s">
        <v>180</v>
      </c>
      <c r="D138" t="s">
        <v>66</v>
      </c>
      <c r="E138" s="1">
        <v>586</v>
      </c>
      <c r="F138" s="1">
        <v>1618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6" ht="12.75">
      <c r="B139" t="s">
        <v>181</v>
      </c>
      <c r="C139" t="s">
        <v>182</v>
      </c>
      <c r="D139" t="s">
        <v>65</v>
      </c>
      <c r="E139" s="1">
        <v>1608</v>
      </c>
      <c r="F139" s="1">
        <v>3288</v>
      </c>
      <c r="G139" s="1">
        <v>1608</v>
      </c>
      <c r="H139" s="1">
        <v>1608</v>
      </c>
      <c r="I139" s="1">
        <v>1808</v>
      </c>
      <c r="J139" s="1">
        <v>3588</v>
      </c>
      <c r="K139" s="1">
        <v>3600</v>
      </c>
      <c r="L139" s="1">
        <v>7200</v>
      </c>
      <c r="M139" s="1"/>
      <c r="N139" s="1"/>
      <c r="O139" s="1"/>
      <c r="P139" s="1"/>
    </row>
    <row r="140" spans="2:16" ht="12.75">
      <c r="B140" t="s">
        <v>181</v>
      </c>
      <c r="C140" t="s">
        <v>183</v>
      </c>
      <c r="D140" s="4" t="s">
        <v>46</v>
      </c>
      <c r="E140" s="1">
        <v>1682</v>
      </c>
      <c r="F140" s="1">
        <v>3910</v>
      </c>
      <c r="G140" s="1">
        <v>1682</v>
      </c>
      <c r="H140" s="1">
        <v>1682</v>
      </c>
      <c r="I140" s="1"/>
      <c r="J140" s="1"/>
      <c r="K140" s="1"/>
      <c r="L140" s="1"/>
      <c r="M140" s="1"/>
      <c r="N140" s="1"/>
      <c r="O140" s="1"/>
      <c r="P140" s="1"/>
    </row>
    <row r="141" spans="2:16" ht="12.75">
      <c r="B141" t="s">
        <v>181</v>
      </c>
      <c r="C141" t="s">
        <v>184</v>
      </c>
      <c r="D141" s="4" t="s">
        <v>60</v>
      </c>
      <c r="E141" s="1">
        <v>1783</v>
      </c>
      <c r="F141" s="1">
        <v>3881</v>
      </c>
      <c r="G141" s="1">
        <v>1783</v>
      </c>
      <c r="H141" s="1">
        <v>1783</v>
      </c>
      <c r="I141" s="1"/>
      <c r="J141" s="1"/>
      <c r="K141" s="1"/>
      <c r="L141" s="1"/>
      <c r="M141" s="1"/>
      <c r="N141" s="1"/>
      <c r="O141" s="1"/>
      <c r="P141" s="1"/>
    </row>
    <row r="142" spans="2:16" ht="12.75">
      <c r="B142" t="s">
        <v>181</v>
      </c>
      <c r="C142" t="s">
        <v>185</v>
      </c>
      <c r="D142" t="s">
        <v>60</v>
      </c>
      <c r="E142" s="1">
        <v>1636</v>
      </c>
      <c r="F142" s="1">
        <v>3036</v>
      </c>
      <c r="G142" s="1">
        <v>1636</v>
      </c>
      <c r="H142" s="1">
        <v>1636</v>
      </c>
      <c r="I142" s="1"/>
      <c r="J142" s="1"/>
      <c r="K142" s="1"/>
      <c r="L142" s="1"/>
      <c r="M142" s="1"/>
      <c r="N142" s="1"/>
      <c r="O142" s="1"/>
      <c r="P142" s="1"/>
    </row>
    <row r="143" spans="2:16" ht="12.75">
      <c r="B143" t="s">
        <v>181</v>
      </c>
      <c r="C143" t="s">
        <v>186</v>
      </c>
      <c r="D143" t="s">
        <v>60</v>
      </c>
      <c r="E143" s="1">
        <v>1020</v>
      </c>
      <c r="F143" s="1">
        <v>2040</v>
      </c>
      <c r="G143" s="1">
        <v>1020</v>
      </c>
      <c r="H143" s="1">
        <v>1020</v>
      </c>
      <c r="I143" s="1"/>
      <c r="J143" s="1"/>
      <c r="K143" s="1"/>
      <c r="L143" s="1"/>
      <c r="M143" s="1"/>
      <c r="N143" s="1"/>
      <c r="O143" s="1"/>
      <c r="P143" s="1"/>
    </row>
    <row r="144" spans="2:16" ht="12.75">
      <c r="B144" t="s">
        <v>181</v>
      </c>
      <c r="C144" t="s">
        <v>187</v>
      </c>
      <c r="D144" t="s">
        <v>60</v>
      </c>
      <c r="E144" s="1">
        <v>1270</v>
      </c>
      <c r="F144" s="1">
        <v>1870</v>
      </c>
      <c r="G144" s="1">
        <v>1270</v>
      </c>
      <c r="H144" s="1">
        <v>1270</v>
      </c>
      <c r="I144" s="1"/>
      <c r="J144" s="1"/>
      <c r="K144" s="1"/>
      <c r="L144" s="1"/>
      <c r="M144" s="1"/>
      <c r="N144" s="1"/>
      <c r="O144" s="1"/>
      <c r="P144" s="1"/>
    </row>
    <row r="145" spans="2:16" ht="12.75">
      <c r="B145" t="s">
        <v>181</v>
      </c>
      <c r="C145" t="s">
        <v>188</v>
      </c>
      <c r="D145" t="s">
        <v>60</v>
      </c>
      <c r="E145" s="1">
        <v>1150</v>
      </c>
      <c r="F145" s="1">
        <v>2300</v>
      </c>
      <c r="G145" s="1">
        <v>1150</v>
      </c>
      <c r="H145" s="1">
        <v>1150</v>
      </c>
      <c r="I145" s="1"/>
      <c r="J145" s="1"/>
      <c r="K145" s="1"/>
      <c r="L145" s="1"/>
      <c r="M145" s="1"/>
      <c r="N145" s="1"/>
      <c r="O145" s="1"/>
      <c r="P145" s="1"/>
    </row>
    <row r="146" spans="2:16" ht="12.75">
      <c r="B146" t="s">
        <v>181</v>
      </c>
      <c r="C146" t="s">
        <v>189</v>
      </c>
      <c r="D146" t="s">
        <v>60</v>
      </c>
      <c r="E146" s="1">
        <v>1380</v>
      </c>
      <c r="F146" s="1">
        <v>2278</v>
      </c>
      <c r="G146" s="1">
        <v>1380</v>
      </c>
      <c r="H146" s="1">
        <v>1380</v>
      </c>
      <c r="I146" s="1"/>
      <c r="J146" s="1"/>
      <c r="K146" s="1"/>
      <c r="L146" s="1"/>
      <c r="M146" s="1"/>
      <c r="N146" s="1"/>
      <c r="O146" s="1"/>
      <c r="P146" s="1"/>
    </row>
    <row r="147" spans="2:16" ht="12.75">
      <c r="B147" t="s">
        <v>181</v>
      </c>
      <c r="C147" t="s">
        <v>190</v>
      </c>
      <c r="D147" t="s">
        <v>66</v>
      </c>
      <c r="E147" s="1">
        <v>1200</v>
      </c>
      <c r="F147" s="1">
        <v>2540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2.75">
      <c r="B148" t="s">
        <v>181</v>
      </c>
      <c r="C148" t="s">
        <v>191</v>
      </c>
      <c r="D148" t="s">
        <v>66</v>
      </c>
      <c r="E148" s="1">
        <v>1200</v>
      </c>
      <c r="F148" s="1">
        <v>2540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2.75">
      <c r="B149" t="s">
        <v>181</v>
      </c>
      <c r="C149" t="s">
        <v>192</v>
      </c>
      <c r="D149" t="s">
        <v>66</v>
      </c>
      <c r="E149" s="1">
        <v>1200</v>
      </c>
      <c r="F149" s="1">
        <v>2540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2.75">
      <c r="B150" t="s">
        <v>193</v>
      </c>
      <c r="C150" t="s">
        <v>194</v>
      </c>
      <c r="D150" t="s">
        <v>65</v>
      </c>
      <c r="E150" s="1">
        <v>1125</v>
      </c>
      <c r="F150" s="1">
        <v>3279</v>
      </c>
      <c r="G150" s="1">
        <v>1362</v>
      </c>
      <c r="H150" s="1">
        <v>3516</v>
      </c>
      <c r="I150" s="1">
        <v>1508</v>
      </c>
      <c r="J150" s="1">
        <v>3660</v>
      </c>
      <c r="K150" s="1"/>
      <c r="L150" s="1"/>
      <c r="M150" s="1"/>
      <c r="N150" s="1"/>
      <c r="O150" s="1"/>
      <c r="P150" s="1"/>
    </row>
    <row r="151" spans="2:16" ht="12.75">
      <c r="B151" t="s">
        <v>193</v>
      </c>
      <c r="C151" t="s">
        <v>150</v>
      </c>
      <c r="D151" t="s">
        <v>46</v>
      </c>
      <c r="E151" s="1">
        <v>1020</v>
      </c>
      <c r="F151" s="1">
        <v>3168</v>
      </c>
      <c r="G151" s="1">
        <v>1240</v>
      </c>
      <c r="H151" s="1">
        <v>3388</v>
      </c>
      <c r="I151" s="1">
        <v>1484</v>
      </c>
      <c r="J151" s="1">
        <v>3632</v>
      </c>
      <c r="K151" s="1"/>
      <c r="L151" s="1"/>
      <c r="M151" s="1"/>
      <c r="N151" s="1"/>
      <c r="O151" s="1"/>
      <c r="P151" s="1"/>
    </row>
    <row r="152" spans="2:16" ht="12.75">
      <c r="B152" t="s">
        <v>193</v>
      </c>
      <c r="C152" t="s">
        <v>195</v>
      </c>
      <c r="D152" t="s">
        <v>51</v>
      </c>
      <c r="E152" s="1">
        <v>882</v>
      </c>
      <c r="F152" s="1">
        <v>3030</v>
      </c>
      <c r="G152" s="1">
        <v>1158</v>
      </c>
      <c r="H152" s="1">
        <v>3306</v>
      </c>
      <c r="I152" s="1"/>
      <c r="J152" s="1"/>
      <c r="K152" s="1">
        <v>4620</v>
      </c>
      <c r="L152" s="1">
        <v>7404</v>
      </c>
      <c r="M152" s="1"/>
      <c r="N152" s="1"/>
      <c r="O152" s="1"/>
      <c r="P152" s="1"/>
    </row>
    <row r="153" spans="2:16" ht="12.75">
      <c r="B153" t="s">
        <v>193</v>
      </c>
      <c r="C153" t="s">
        <v>196</v>
      </c>
      <c r="D153" t="s">
        <v>51</v>
      </c>
      <c r="E153" s="1">
        <v>882</v>
      </c>
      <c r="F153" s="1">
        <v>3030</v>
      </c>
      <c r="G153" s="1">
        <v>1158</v>
      </c>
      <c r="H153" s="1">
        <v>3306</v>
      </c>
      <c r="I153" s="1"/>
      <c r="J153" s="1"/>
      <c r="K153" s="1"/>
      <c r="L153" s="1"/>
      <c r="M153" s="1"/>
      <c r="N153" s="1"/>
      <c r="O153" s="1"/>
      <c r="P153" s="1"/>
    </row>
    <row r="154" spans="2:16" ht="12.75">
      <c r="B154" t="s">
        <v>193</v>
      </c>
      <c r="C154" t="s">
        <v>197</v>
      </c>
      <c r="D154" t="s">
        <v>51</v>
      </c>
      <c r="E154" s="1">
        <v>952</v>
      </c>
      <c r="F154" s="1">
        <v>3100</v>
      </c>
      <c r="G154" s="1">
        <v>1228</v>
      </c>
      <c r="H154" s="1">
        <v>3376</v>
      </c>
      <c r="I154" s="1"/>
      <c r="J154" s="1"/>
      <c r="K154" s="1"/>
      <c r="L154" s="1"/>
      <c r="M154" s="1"/>
      <c r="N154" s="1"/>
      <c r="O154" s="1"/>
      <c r="P154" s="1"/>
    </row>
    <row r="155" spans="2:16" ht="12.75">
      <c r="B155" t="s">
        <v>193</v>
      </c>
      <c r="C155" t="s">
        <v>198</v>
      </c>
      <c r="D155" t="s">
        <v>51</v>
      </c>
      <c r="E155" s="1">
        <v>1014</v>
      </c>
      <c r="F155" s="1">
        <v>3162</v>
      </c>
      <c r="G155" s="1">
        <v>1290</v>
      </c>
      <c r="H155" s="1">
        <v>3438</v>
      </c>
      <c r="I155" s="1"/>
      <c r="J155" s="1"/>
      <c r="K155" s="1"/>
      <c r="L155" s="1"/>
      <c r="M155" s="1"/>
      <c r="N155" s="1"/>
      <c r="O155" s="1"/>
      <c r="P155" s="1"/>
    </row>
    <row r="156" spans="2:16" ht="12.75">
      <c r="B156" t="s">
        <v>193</v>
      </c>
      <c r="C156" t="s">
        <v>199</v>
      </c>
      <c r="D156" t="s">
        <v>60</v>
      </c>
      <c r="E156" s="1">
        <v>990</v>
      </c>
      <c r="F156" s="1">
        <v>3138</v>
      </c>
      <c r="G156" s="1">
        <v>1266</v>
      </c>
      <c r="H156" s="1">
        <v>3414</v>
      </c>
      <c r="I156" s="1"/>
      <c r="J156" s="1"/>
      <c r="K156" s="1"/>
      <c r="L156" s="1"/>
      <c r="M156" s="1"/>
      <c r="N156" s="1"/>
      <c r="O156" s="1"/>
      <c r="P156" s="1"/>
    </row>
    <row r="157" spans="2:16" ht="12.75">
      <c r="B157" t="s">
        <v>193</v>
      </c>
      <c r="C157" t="s">
        <v>200</v>
      </c>
      <c r="D157" t="s">
        <v>60</v>
      </c>
      <c r="E157" s="1">
        <v>960</v>
      </c>
      <c r="F157" s="1">
        <v>3106</v>
      </c>
      <c r="G157" s="1">
        <v>1250</v>
      </c>
      <c r="H157" s="1">
        <v>3396</v>
      </c>
      <c r="I157" s="1"/>
      <c r="J157" s="1"/>
      <c r="K157" s="1"/>
      <c r="L157" s="1"/>
      <c r="M157" s="1"/>
      <c r="N157" s="1"/>
      <c r="O157" s="1"/>
      <c r="P157" s="1"/>
    </row>
    <row r="158" spans="2:16" ht="12.75">
      <c r="B158" t="s">
        <v>193</v>
      </c>
      <c r="C158" t="s">
        <v>201</v>
      </c>
      <c r="D158" t="s">
        <v>60</v>
      </c>
      <c r="E158" s="1">
        <v>1038</v>
      </c>
      <c r="F158" s="1">
        <v>3192</v>
      </c>
      <c r="G158" s="1">
        <v>1296</v>
      </c>
      <c r="H158" s="1">
        <v>3450</v>
      </c>
      <c r="I158" s="1"/>
      <c r="J158" s="1"/>
      <c r="K158" s="1"/>
      <c r="L158" s="1"/>
      <c r="M158" s="1"/>
      <c r="N158" s="1"/>
      <c r="O158" s="1"/>
      <c r="P158" s="1"/>
    </row>
    <row r="159" spans="2:16" ht="12.75">
      <c r="B159" t="s">
        <v>202</v>
      </c>
      <c r="C159" t="s">
        <v>203</v>
      </c>
      <c r="D159" t="s">
        <v>65</v>
      </c>
      <c r="E159" s="1">
        <v>720</v>
      </c>
      <c r="F159" s="1">
        <v>3960</v>
      </c>
      <c r="G159" s="1">
        <v>612</v>
      </c>
      <c r="H159" s="1">
        <v>3204</v>
      </c>
      <c r="I159" s="1"/>
      <c r="J159" s="1"/>
      <c r="K159" s="1"/>
      <c r="L159" s="1"/>
      <c r="M159" s="1"/>
      <c r="N159" s="1"/>
      <c r="O159" s="1"/>
      <c r="P159" s="1"/>
    </row>
    <row r="160" spans="2:18" ht="12.75">
      <c r="B160" t="s">
        <v>202</v>
      </c>
      <c r="C160" t="s">
        <v>204</v>
      </c>
      <c r="D160" t="s">
        <v>65</v>
      </c>
      <c r="E160" s="1">
        <v>720</v>
      </c>
      <c r="F160" s="1">
        <v>3960</v>
      </c>
      <c r="G160" s="1">
        <v>612</v>
      </c>
      <c r="H160" s="1">
        <v>3204</v>
      </c>
      <c r="I160" s="1"/>
      <c r="J160" s="1"/>
      <c r="K160" s="1">
        <v>1543</v>
      </c>
      <c r="L160" s="1">
        <v>5200</v>
      </c>
      <c r="M160" s="1"/>
      <c r="N160" s="1"/>
      <c r="O160" s="1"/>
      <c r="P160" s="1"/>
      <c r="Q160" s="1">
        <v>1124</v>
      </c>
      <c r="R160" s="1">
        <v>3524</v>
      </c>
    </row>
    <row r="161" spans="2:16" ht="12.75">
      <c r="B161" t="s">
        <v>202</v>
      </c>
      <c r="C161" t="s">
        <v>198</v>
      </c>
      <c r="D161" t="s">
        <v>65</v>
      </c>
      <c r="E161" s="1">
        <v>720</v>
      </c>
      <c r="F161" s="1">
        <v>3960</v>
      </c>
      <c r="G161" s="1">
        <v>612</v>
      </c>
      <c r="H161" s="1">
        <v>3204</v>
      </c>
      <c r="I161" s="1">
        <v>900</v>
      </c>
      <c r="J161" s="1">
        <v>3924</v>
      </c>
      <c r="K161" s="1"/>
      <c r="L161" s="1"/>
      <c r="M161" s="1"/>
      <c r="N161" s="1"/>
      <c r="O161" s="1"/>
      <c r="P161" s="1"/>
    </row>
    <row r="162" spans="2:16" ht="12.75">
      <c r="B162" t="s">
        <v>202</v>
      </c>
      <c r="C162" t="s">
        <v>205</v>
      </c>
      <c r="D162" t="s">
        <v>65</v>
      </c>
      <c r="E162" s="1">
        <v>720</v>
      </c>
      <c r="F162" s="1">
        <v>3960</v>
      </c>
      <c r="G162" s="1">
        <v>612</v>
      </c>
      <c r="H162" s="1">
        <v>3204</v>
      </c>
      <c r="I162" s="1">
        <v>900</v>
      </c>
      <c r="J162" s="1">
        <v>3924</v>
      </c>
      <c r="K162" s="1"/>
      <c r="L162" s="1"/>
      <c r="M162" s="1"/>
      <c r="N162" s="1"/>
      <c r="O162" s="1">
        <v>720</v>
      </c>
      <c r="P162" s="1">
        <v>3960</v>
      </c>
    </row>
    <row r="163" spans="2:13" ht="12.75">
      <c r="B163" t="s">
        <v>202</v>
      </c>
      <c r="C163" t="s">
        <v>206</v>
      </c>
      <c r="D163" t="s">
        <v>65</v>
      </c>
      <c r="E163" s="1">
        <v>720</v>
      </c>
      <c r="F163" s="1">
        <v>3960</v>
      </c>
      <c r="G163" s="1">
        <v>612</v>
      </c>
      <c r="H163" s="1">
        <v>3204</v>
      </c>
      <c r="I163" s="1">
        <v>900</v>
      </c>
      <c r="J163" s="1">
        <v>3924</v>
      </c>
      <c r="K163" s="1"/>
      <c r="L163" s="1"/>
      <c r="M163" s="1"/>
    </row>
    <row r="164" spans="2:16" ht="12.75">
      <c r="B164" t="s">
        <v>202</v>
      </c>
      <c r="C164" t="s">
        <v>195</v>
      </c>
      <c r="D164" t="s">
        <v>46</v>
      </c>
      <c r="E164" s="1">
        <v>720</v>
      </c>
      <c r="F164" s="1">
        <v>3960</v>
      </c>
      <c r="G164" s="1">
        <v>612</v>
      </c>
      <c r="H164" s="1">
        <v>3204</v>
      </c>
      <c r="I164" s="1"/>
      <c r="J164" s="1"/>
      <c r="K164" s="1"/>
      <c r="L164" s="1"/>
      <c r="M164" s="1"/>
      <c r="N164" s="1"/>
      <c r="O164" s="1"/>
      <c r="P164" s="1"/>
    </row>
    <row r="165" spans="2:16" ht="12.75">
      <c r="B165" t="s">
        <v>202</v>
      </c>
      <c r="C165" t="s">
        <v>207</v>
      </c>
      <c r="D165" t="s">
        <v>46</v>
      </c>
      <c r="E165" s="1">
        <v>720</v>
      </c>
      <c r="F165" s="1">
        <v>3960</v>
      </c>
      <c r="G165" s="1">
        <v>612</v>
      </c>
      <c r="H165" s="1">
        <v>3204</v>
      </c>
      <c r="I165" s="1"/>
      <c r="J165" s="1"/>
      <c r="K165" s="1"/>
      <c r="L165" s="1"/>
      <c r="M165" s="1"/>
      <c r="N165" s="1"/>
      <c r="O165" s="1"/>
      <c r="P165" s="1"/>
    </row>
    <row r="166" spans="2:16" ht="12.75">
      <c r="B166" t="s">
        <v>202</v>
      </c>
      <c r="C166" t="s">
        <v>208</v>
      </c>
      <c r="D166" t="s">
        <v>46</v>
      </c>
      <c r="E166" s="1">
        <v>720</v>
      </c>
      <c r="F166" s="1">
        <v>3960</v>
      </c>
      <c r="G166" s="1">
        <v>612</v>
      </c>
      <c r="H166" s="1">
        <v>3204</v>
      </c>
      <c r="I166" s="1"/>
      <c r="J166" s="1"/>
      <c r="K166" s="1"/>
      <c r="L166" s="1"/>
      <c r="M166" s="1"/>
      <c r="N166" s="1"/>
      <c r="O166" s="1"/>
      <c r="P166" s="1"/>
    </row>
    <row r="167" spans="2:16" ht="12.75">
      <c r="B167" t="s">
        <v>202</v>
      </c>
      <c r="C167" t="s">
        <v>63</v>
      </c>
      <c r="D167" t="s">
        <v>51</v>
      </c>
      <c r="E167" s="1">
        <v>720</v>
      </c>
      <c r="F167" s="1">
        <v>3960</v>
      </c>
      <c r="G167" s="1">
        <v>612</v>
      </c>
      <c r="H167" s="1">
        <v>3204</v>
      </c>
      <c r="I167" s="1"/>
      <c r="J167" s="1"/>
      <c r="K167" s="1"/>
      <c r="L167" s="1"/>
      <c r="M167" s="1"/>
      <c r="N167" s="1"/>
      <c r="O167" s="1"/>
      <c r="P167" s="1"/>
    </row>
    <row r="168" spans="2:16" ht="12.75">
      <c r="B168" t="s">
        <v>202</v>
      </c>
      <c r="C168" t="s">
        <v>209</v>
      </c>
      <c r="D168" t="s">
        <v>51</v>
      </c>
      <c r="E168" s="1">
        <v>720</v>
      </c>
      <c r="F168" s="1">
        <v>3960</v>
      </c>
      <c r="G168" s="1">
        <v>612</v>
      </c>
      <c r="H168" s="1">
        <v>3204</v>
      </c>
      <c r="I168" s="1"/>
      <c r="J168" s="1"/>
      <c r="K168" s="1"/>
      <c r="L168" s="1"/>
      <c r="M168" s="1"/>
      <c r="N168" s="1"/>
      <c r="O168" s="1"/>
      <c r="P168" s="1"/>
    </row>
    <row r="169" spans="2:16" ht="12.75">
      <c r="B169" t="s">
        <v>202</v>
      </c>
      <c r="C169" t="s">
        <v>210</v>
      </c>
      <c r="D169" t="s">
        <v>51</v>
      </c>
      <c r="E169" s="1">
        <v>720</v>
      </c>
      <c r="F169" s="1">
        <v>3960</v>
      </c>
      <c r="G169" s="1">
        <v>612</v>
      </c>
      <c r="H169" s="1">
        <v>3204</v>
      </c>
      <c r="I169" s="1"/>
      <c r="J169" s="1"/>
      <c r="K169" s="1"/>
      <c r="L169" s="1"/>
      <c r="M169" s="1"/>
      <c r="N169" s="1"/>
      <c r="O169" s="1"/>
      <c r="P169" s="1"/>
    </row>
    <row r="170" spans="2:16" ht="12.75">
      <c r="B170" t="s">
        <v>202</v>
      </c>
      <c r="C170" t="s">
        <v>211</v>
      </c>
      <c r="D170" t="s">
        <v>51</v>
      </c>
      <c r="E170" s="1">
        <v>720</v>
      </c>
      <c r="F170" s="1">
        <v>3960</v>
      </c>
      <c r="G170" s="1">
        <v>612</v>
      </c>
      <c r="H170" s="1">
        <v>3204</v>
      </c>
      <c r="I170" s="1"/>
      <c r="J170" s="1"/>
      <c r="K170" s="1"/>
      <c r="L170" s="1"/>
      <c r="M170" s="1"/>
      <c r="N170" s="1"/>
      <c r="O170" s="1"/>
      <c r="P170" s="1"/>
    </row>
    <row r="171" spans="2:16" ht="12.75">
      <c r="B171" t="s">
        <v>202</v>
      </c>
      <c r="C171" t="s">
        <v>197</v>
      </c>
      <c r="D171" t="s">
        <v>51</v>
      </c>
      <c r="E171" s="1">
        <v>720</v>
      </c>
      <c r="F171" s="1">
        <v>3960</v>
      </c>
      <c r="G171" s="1">
        <v>612</v>
      </c>
      <c r="H171" s="1">
        <v>3204</v>
      </c>
      <c r="I171" s="1">
        <v>900</v>
      </c>
      <c r="J171" s="1">
        <v>3924</v>
      </c>
      <c r="K171" s="1"/>
      <c r="L171" s="1"/>
      <c r="M171" s="1"/>
      <c r="N171" s="1"/>
      <c r="O171" s="1"/>
      <c r="P171" s="1"/>
    </row>
    <row r="172" spans="2:16" ht="12.75">
      <c r="B172" t="s">
        <v>202</v>
      </c>
      <c r="C172" t="s">
        <v>212</v>
      </c>
      <c r="D172" t="s">
        <v>51</v>
      </c>
      <c r="E172" s="1">
        <v>720</v>
      </c>
      <c r="F172" s="1">
        <v>3960</v>
      </c>
      <c r="G172" s="1">
        <v>612</v>
      </c>
      <c r="H172" s="1">
        <v>3204</v>
      </c>
      <c r="I172" s="1"/>
      <c r="J172" s="1"/>
      <c r="K172" s="1"/>
      <c r="L172" s="1"/>
      <c r="M172" s="1"/>
      <c r="N172" s="1"/>
      <c r="O172" s="1"/>
      <c r="P172" s="1"/>
    </row>
    <row r="173" spans="2:16" ht="12.75">
      <c r="B173" t="s">
        <v>202</v>
      </c>
      <c r="C173" t="s">
        <v>213</v>
      </c>
      <c r="D173" t="s">
        <v>51</v>
      </c>
      <c r="E173" s="1">
        <v>720</v>
      </c>
      <c r="F173" s="1">
        <v>3960</v>
      </c>
      <c r="G173" s="1">
        <v>612</v>
      </c>
      <c r="H173" s="1">
        <v>3204</v>
      </c>
      <c r="I173" s="1"/>
      <c r="J173" s="1"/>
      <c r="K173" s="1"/>
      <c r="L173" s="1"/>
      <c r="M173" s="1"/>
      <c r="N173" s="1"/>
      <c r="O173" s="1"/>
      <c r="P173" s="1"/>
    </row>
    <row r="174" spans="2:16" ht="12.75">
      <c r="B174" t="s">
        <v>202</v>
      </c>
      <c r="C174" t="s">
        <v>214</v>
      </c>
      <c r="D174" t="s">
        <v>56</v>
      </c>
      <c r="E174" s="1">
        <v>720</v>
      </c>
      <c r="F174" s="1">
        <v>3960</v>
      </c>
      <c r="G174" s="1">
        <v>612</v>
      </c>
      <c r="H174" s="1">
        <v>3204</v>
      </c>
      <c r="I174" s="1"/>
      <c r="J174" s="1"/>
      <c r="K174" s="1"/>
      <c r="L174" s="1"/>
      <c r="M174" s="1"/>
      <c r="N174" s="1"/>
      <c r="O174" s="1"/>
      <c r="P174" s="1"/>
    </row>
    <row r="175" spans="2:16" ht="12.75">
      <c r="B175" t="s">
        <v>202</v>
      </c>
      <c r="C175" t="s">
        <v>215</v>
      </c>
      <c r="D175" t="s">
        <v>56</v>
      </c>
      <c r="E175" s="1">
        <v>720</v>
      </c>
      <c r="F175" s="1">
        <v>3960</v>
      </c>
      <c r="G175" s="1">
        <v>612</v>
      </c>
      <c r="H175" s="1">
        <v>3204</v>
      </c>
      <c r="I175" s="1"/>
      <c r="J175" s="1"/>
      <c r="K175" s="1"/>
      <c r="L175" s="1"/>
      <c r="M175" s="1"/>
      <c r="N175" s="1"/>
      <c r="O175" s="1"/>
      <c r="P175" s="1"/>
    </row>
    <row r="176" spans="2:16" ht="12.75">
      <c r="B176" t="s">
        <v>202</v>
      </c>
      <c r="C176" t="s">
        <v>216</v>
      </c>
      <c r="D176" t="s">
        <v>56</v>
      </c>
      <c r="E176" s="1">
        <v>720</v>
      </c>
      <c r="F176" s="1">
        <v>3960</v>
      </c>
      <c r="G176" s="1">
        <v>612</v>
      </c>
      <c r="H176" s="1">
        <v>3204</v>
      </c>
      <c r="I176" s="1"/>
      <c r="J176" s="1"/>
      <c r="K176" s="1"/>
      <c r="L176" s="1"/>
      <c r="M176" s="1"/>
      <c r="N176" s="1"/>
      <c r="O176" s="1"/>
      <c r="P176" s="1"/>
    </row>
    <row r="177" spans="2:16" ht="12.75">
      <c r="B177" t="s">
        <v>202</v>
      </c>
      <c r="C177" t="s">
        <v>217</v>
      </c>
      <c r="D177" t="s">
        <v>56</v>
      </c>
      <c r="E177" s="1">
        <v>720</v>
      </c>
      <c r="F177" s="1">
        <v>3960</v>
      </c>
      <c r="G177" s="1">
        <v>612</v>
      </c>
      <c r="H177" s="1">
        <v>3204</v>
      </c>
      <c r="I177" s="1"/>
      <c r="J177" s="1"/>
      <c r="K177" s="1"/>
      <c r="L177" s="1"/>
      <c r="M177" s="1"/>
      <c r="N177" s="1"/>
      <c r="O177" s="1"/>
      <c r="P177" s="1"/>
    </row>
    <row r="178" spans="2:16" ht="12.75">
      <c r="B178" t="s">
        <v>202</v>
      </c>
      <c r="C178" t="s">
        <v>218</v>
      </c>
      <c r="D178" t="s">
        <v>56</v>
      </c>
      <c r="E178" s="1">
        <v>720</v>
      </c>
      <c r="F178" s="1">
        <v>3960</v>
      </c>
      <c r="G178" s="1">
        <v>612</v>
      </c>
      <c r="H178" s="1">
        <v>3204</v>
      </c>
      <c r="I178" s="1"/>
      <c r="J178" s="1"/>
      <c r="K178" s="1"/>
      <c r="L178" s="1"/>
      <c r="M178" s="1"/>
      <c r="N178" s="1"/>
      <c r="O178" s="1"/>
      <c r="P178" s="1"/>
    </row>
    <row r="179" spans="2:16" ht="12.75">
      <c r="B179" t="s">
        <v>202</v>
      </c>
      <c r="C179" t="s">
        <v>219</v>
      </c>
      <c r="D179" t="s">
        <v>56</v>
      </c>
      <c r="E179" s="1">
        <v>720</v>
      </c>
      <c r="F179" s="1">
        <v>3960</v>
      </c>
      <c r="G179" s="1">
        <v>612</v>
      </c>
      <c r="H179" s="1">
        <v>3204</v>
      </c>
      <c r="I179" s="1"/>
      <c r="J179" s="1"/>
      <c r="K179" s="1"/>
      <c r="L179" s="1"/>
      <c r="M179" s="1"/>
      <c r="N179" s="1"/>
      <c r="O179" s="1"/>
      <c r="P179" s="1"/>
    </row>
    <row r="180" spans="2:16" ht="12.75">
      <c r="B180" t="s">
        <v>202</v>
      </c>
      <c r="C180" t="s">
        <v>220</v>
      </c>
      <c r="D180" t="s">
        <v>56</v>
      </c>
      <c r="E180" s="1">
        <v>720</v>
      </c>
      <c r="F180" s="1">
        <v>3960</v>
      </c>
      <c r="G180" s="1">
        <v>612</v>
      </c>
      <c r="H180" s="1">
        <v>3204</v>
      </c>
      <c r="I180" s="1"/>
      <c r="J180" s="1"/>
      <c r="K180" s="1"/>
      <c r="L180" s="1"/>
      <c r="M180" s="1"/>
      <c r="N180" s="1"/>
      <c r="O180" s="1"/>
      <c r="P180" s="1"/>
    </row>
    <row r="181" spans="2:16" ht="12.75">
      <c r="B181" t="s">
        <v>202</v>
      </c>
      <c r="C181" t="s">
        <v>221</v>
      </c>
      <c r="D181" t="s">
        <v>56</v>
      </c>
      <c r="E181" s="1">
        <v>720</v>
      </c>
      <c r="F181" s="1">
        <v>3960</v>
      </c>
      <c r="G181" s="1">
        <v>612</v>
      </c>
      <c r="H181" s="1">
        <v>3204</v>
      </c>
      <c r="I181" s="1"/>
      <c r="J181" s="1"/>
      <c r="K181" s="1"/>
      <c r="L181" s="1"/>
      <c r="M181" s="1"/>
      <c r="N181" s="1"/>
      <c r="O181" s="1"/>
      <c r="P181" s="1"/>
    </row>
    <row r="182" spans="1:16" ht="12.75">
      <c r="A182" t="s">
        <v>43</v>
      </c>
      <c r="B182" t="s">
        <v>202</v>
      </c>
      <c r="C182" t="s">
        <v>222</v>
      </c>
      <c r="D182" t="s">
        <v>56</v>
      </c>
      <c r="E182" s="1">
        <v>720</v>
      </c>
      <c r="F182" s="1">
        <v>3960</v>
      </c>
      <c r="G182" s="1">
        <v>612</v>
      </c>
      <c r="H182" s="1">
        <v>3204</v>
      </c>
      <c r="I182" s="1"/>
      <c r="J182" s="1"/>
      <c r="K182" s="1"/>
      <c r="L182" s="1"/>
      <c r="M182" s="1"/>
      <c r="N182" s="1"/>
      <c r="O182" s="1"/>
      <c r="P182" s="1"/>
    </row>
    <row r="183" spans="2:16" ht="12.75">
      <c r="B183" t="s">
        <v>202</v>
      </c>
      <c r="C183" t="s">
        <v>59</v>
      </c>
      <c r="D183" t="s">
        <v>60</v>
      </c>
      <c r="E183" s="1">
        <v>720</v>
      </c>
      <c r="F183" s="1">
        <v>3960</v>
      </c>
      <c r="G183" s="1">
        <v>612</v>
      </c>
      <c r="H183" s="1">
        <v>3204</v>
      </c>
      <c r="I183" s="1"/>
      <c r="J183" s="1"/>
      <c r="K183" s="1"/>
      <c r="L183" s="1"/>
      <c r="M183" s="1"/>
      <c r="N183" s="1"/>
      <c r="O183" s="1"/>
      <c r="P183" s="1"/>
    </row>
    <row r="184" spans="2:16" ht="12.75">
      <c r="B184" t="s">
        <v>202</v>
      </c>
      <c r="C184" t="s">
        <v>223</v>
      </c>
      <c r="D184" t="s">
        <v>60</v>
      </c>
      <c r="E184" s="1">
        <v>720</v>
      </c>
      <c r="F184" s="1">
        <v>3960</v>
      </c>
      <c r="G184" s="1">
        <v>612</v>
      </c>
      <c r="H184" s="1">
        <v>3204</v>
      </c>
      <c r="I184" s="1"/>
      <c r="J184" s="1"/>
      <c r="K184" s="1"/>
      <c r="L184" s="1"/>
      <c r="M184" s="1"/>
      <c r="N184" s="1"/>
      <c r="O184" s="1"/>
      <c r="P184" s="1"/>
    </row>
    <row r="185" spans="2:16" ht="12.75">
      <c r="B185" t="s">
        <v>202</v>
      </c>
      <c r="C185" t="s">
        <v>224</v>
      </c>
      <c r="D185" t="s">
        <v>60</v>
      </c>
      <c r="E185" s="1">
        <v>720</v>
      </c>
      <c r="F185" s="1">
        <v>3960</v>
      </c>
      <c r="G185" s="1">
        <v>612</v>
      </c>
      <c r="H185" s="1">
        <v>3204</v>
      </c>
      <c r="I185" s="1"/>
      <c r="J185" s="1"/>
      <c r="K185" s="1"/>
      <c r="L185" s="1"/>
      <c r="M185" s="1"/>
      <c r="N185" s="1"/>
      <c r="O185" s="1"/>
      <c r="P185" s="1"/>
    </row>
    <row r="186" spans="2:16" ht="12.75">
      <c r="B186" t="s">
        <v>202</v>
      </c>
      <c r="C186" t="s">
        <v>150</v>
      </c>
      <c r="D186" t="s">
        <v>60</v>
      </c>
      <c r="E186" s="1">
        <v>720</v>
      </c>
      <c r="F186" s="1">
        <v>3960</v>
      </c>
      <c r="G186" s="1">
        <v>612</v>
      </c>
      <c r="H186" s="1">
        <v>3204</v>
      </c>
      <c r="I186" s="1"/>
      <c r="J186" s="1"/>
      <c r="K186" s="1"/>
      <c r="L186" s="1"/>
      <c r="M186" s="1"/>
      <c r="N186" s="1"/>
      <c r="O186" s="1"/>
      <c r="P186" s="1"/>
    </row>
    <row r="187" spans="2:16" ht="12.75">
      <c r="B187" t="s">
        <v>202</v>
      </c>
      <c r="C187" t="s">
        <v>225</v>
      </c>
      <c r="D187" t="s">
        <v>60</v>
      </c>
      <c r="E187" s="1">
        <v>720</v>
      </c>
      <c r="F187" s="1">
        <v>3960</v>
      </c>
      <c r="G187" s="1">
        <v>612</v>
      </c>
      <c r="H187" s="1">
        <v>3204</v>
      </c>
      <c r="I187" s="1"/>
      <c r="J187" s="1"/>
      <c r="K187" s="1"/>
      <c r="L187" s="1"/>
      <c r="M187" s="1"/>
      <c r="N187" s="1"/>
      <c r="O187" s="1"/>
      <c r="P187" s="1"/>
    </row>
    <row r="188" spans="2:16" ht="12.75">
      <c r="B188" t="s">
        <v>202</v>
      </c>
      <c r="C188" t="s">
        <v>226</v>
      </c>
      <c r="D188" t="s">
        <v>60</v>
      </c>
      <c r="E188" s="1">
        <v>720</v>
      </c>
      <c r="F188" s="1">
        <v>3960</v>
      </c>
      <c r="G188" s="1">
        <v>612</v>
      </c>
      <c r="H188" s="1">
        <v>3204</v>
      </c>
      <c r="I188" s="1"/>
      <c r="J188" s="1"/>
      <c r="K188" s="1"/>
      <c r="L188" s="1"/>
      <c r="M188" s="1"/>
      <c r="N188" s="1"/>
      <c r="O188" s="1"/>
      <c r="P188" s="1"/>
    </row>
    <row r="189" spans="2:16" ht="12.75">
      <c r="B189" t="s">
        <v>202</v>
      </c>
      <c r="C189" t="s">
        <v>227</v>
      </c>
      <c r="D189" t="s">
        <v>60</v>
      </c>
      <c r="E189" s="1">
        <v>720</v>
      </c>
      <c r="F189" s="1">
        <v>3960</v>
      </c>
      <c r="G189" s="1">
        <v>612</v>
      </c>
      <c r="H189" s="1">
        <v>3204</v>
      </c>
      <c r="I189" s="1"/>
      <c r="J189" s="1"/>
      <c r="K189" s="1"/>
      <c r="L189" s="1"/>
      <c r="M189" s="1"/>
      <c r="N189" s="1"/>
      <c r="O189" s="1"/>
      <c r="P189" s="1"/>
    </row>
    <row r="190" spans="2:16" ht="12.75">
      <c r="B190" t="s">
        <v>202</v>
      </c>
      <c r="C190" t="s">
        <v>228</v>
      </c>
      <c r="D190" t="s">
        <v>60</v>
      </c>
      <c r="E190" s="1">
        <v>720</v>
      </c>
      <c r="F190" s="1">
        <v>3960</v>
      </c>
      <c r="G190" s="1">
        <v>612</v>
      </c>
      <c r="H190" s="1">
        <v>3204</v>
      </c>
      <c r="I190" s="1"/>
      <c r="J190" s="1"/>
      <c r="K190" s="1"/>
      <c r="L190" s="1"/>
      <c r="M190" s="1"/>
      <c r="N190" s="1"/>
      <c r="O190" s="1"/>
      <c r="P190" s="1"/>
    </row>
    <row r="191" spans="2:16" ht="12.75">
      <c r="B191" t="s">
        <v>202</v>
      </c>
      <c r="C191" t="s">
        <v>229</v>
      </c>
      <c r="D191" t="s">
        <v>66</v>
      </c>
      <c r="E191" s="1">
        <v>720</v>
      </c>
      <c r="F191" s="1">
        <v>3960</v>
      </c>
      <c r="G191" s="1">
        <v>612</v>
      </c>
      <c r="H191" s="1">
        <v>3204</v>
      </c>
      <c r="I191" s="1"/>
      <c r="J191" s="1"/>
      <c r="K191" s="1"/>
      <c r="L191" s="1"/>
      <c r="M191" s="1"/>
      <c r="N191" s="1"/>
      <c r="O191" s="1"/>
      <c r="P191" s="1"/>
    </row>
    <row r="192" spans="1:16" ht="12.75">
      <c r="A192" t="s">
        <v>43</v>
      </c>
      <c r="B192" t="s">
        <v>202</v>
      </c>
      <c r="C192" t="s">
        <v>230</v>
      </c>
      <c r="D192" t="s">
        <v>66</v>
      </c>
      <c r="E192" s="1">
        <v>720</v>
      </c>
      <c r="F192" s="1">
        <v>3960</v>
      </c>
      <c r="G192" s="1">
        <v>612</v>
      </c>
      <c r="H192" s="1">
        <v>3204</v>
      </c>
      <c r="I192" s="1"/>
      <c r="J192" s="1"/>
      <c r="K192" s="1"/>
      <c r="L192" s="1"/>
      <c r="M192" s="1"/>
      <c r="N192" s="1"/>
      <c r="O192" s="1"/>
      <c r="P192" s="1"/>
    </row>
    <row r="193" spans="2:16" ht="12.75">
      <c r="B193" t="s">
        <v>231</v>
      </c>
      <c r="C193" t="s">
        <v>232</v>
      </c>
      <c r="D193" s="4" t="s">
        <v>65</v>
      </c>
      <c r="E193" s="1">
        <v>2036</v>
      </c>
      <c r="F193" s="1">
        <v>4886</v>
      </c>
      <c r="G193" s="1">
        <v>2036</v>
      </c>
      <c r="H193" s="1">
        <v>4886</v>
      </c>
      <c r="I193" s="1">
        <v>3034</v>
      </c>
      <c r="J193" s="1">
        <v>6434</v>
      </c>
      <c r="K193" s="1">
        <v>5158</v>
      </c>
      <c r="L193" s="1">
        <v>10358</v>
      </c>
      <c r="M193" s="1"/>
      <c r="N193" s="1"/>
      <c r="O193" s="1"/>
      <c r="P193" s="1"/>
    </row>
    <row r="194" spans="2:18" ht="12.75">
      <c r="B194" t="s">
        <v>231</v>
      </c>
      <c r="C194" t="s">
        <v>233</v>
      </c>
      <c r="D194" t="s">
        <v>65</v>
      </c>
      <c r="E194" s="1">
        <v>2019</v>
      </c>
      <c r="F194" s="1">
        <v>4029</v>
      </c>
      <c r="G194" s="1">
        <v>2331</v>
      </c>
      <c r="H194" s="1">
        <v>2574</v>
      </c>
      <c r="I194" s="1"/>
      <c r="J194" s="1"/>
      <c r="K194" s="1"/>
      <c r="L194" s="1"/>
      <c r="M194" s="1"/>
      <c r="N194" s="1"/>
      <c r="O194" s="1"/>
      <c r="P194" s="1"/>
      <c r="Q194" s="1">
        <v>4394</v>
      </c>
      <c r="R194" s="1">
        <v>18044</v>
      </c>
    </row>
    <row r="195" spans="2:16" ht="12.75">
      <c r="B195" t="s">
        <v>231</v>
      </c>
      <c r="C195" t="s">
        <v>234</v>
      </c>
      <c r="D195" s="4" t="s">
        <v>46</v>
      </c>
      <c r="E195" s="1">
        <v>1798</v>
      </c>
      <c r="F195" s="1">
        <v>4088</v>
      </c>
      <c r="G195" s="1">
        <v>2134</v>
      </c>
      <c r="H195" s="1">
        <v>3964</v>
      </c>
      <c r="I195" s="1">
        <f>(900+760)/2</f>
        <v>830</v>
      </c>
      <c r="J195" s="1"/>
      <c r="K195" s="1">
        <v>5426</v>
      </c>
      <c r="L195" s="1">
        <v>10876</v>
      </c>
      <c r="M195" s="1">
        <v>4826</v>
      </c>
      <c r="N195" s="1">
        <v>9326</v>
      </c>
      <c r="O195" s="1"/>
      <c r="P195" s="1"/>
    </row>
    <row r="196" spans="2:16" ht="12.75">
      <c r="B196" t="s">
        <v>231</v>
      </c>
      <c r="C196" t="s">
        <v>235</v>
      </c>
      <c r="D196" s="4" t="s">
        <v>46</v>
      </c>
      <c r="E196" s="1">
        <v>2290</v>
      </c>
      <c r="F196" s="1">
        <v>6168</v>
      </c>
      <c r="G196" s="1">
        <v>2290</v>
      </c>
      <c r="H196" s="1">
        <v>6168</v>
      </c>
      <c r="I196" s="1">
        <v>2692</v>
      </c>
      <c r="J196" s="1">
        <v>6570</v>
      </c>
      <c r="K196" s="1"/>
      <c r="L196" s="1"/>
      <c r="M196" s="1"/>
      <c r="N196" s="1"/>
      <c r="O196" s="1"/>
      <c r="P196" s="1"/>
    </row>
    <row r="197" spans="2:16" ht="12.75">
      <c r="B197" t="s">
        <v>231</v>
      </c>
      <c r="C197" t="s">
        <v>236</v>
      </c>
      <c r="D197" t="s">
        <v>51</v>
      </c>
      <c r="E197" s="1">
        <v>1608</v>
      </c>
      <c r="F197" s="1">
        <v>3120</v>
      </c>
      <c r="G197" s="1">
        <v>1608</v>
      </c>
      <c r="H197" s="1">
        <v>3120</v>
      </c>
      <c r="I197" s="1">
        <v>2352</v>
      </c>
      <c r="J197" s="1">
        <v>7266</v>
      </c>
      <c r="K197" s="1"/>
      <c r="L197" s="1"/>
      <c r="M197" s="1"/>
      <c r="N197" s="1"/>
      <c r="O197" s="1"/>
      <c r="P197" s="1"/>
    </row>
    <row r="198" spans="2:16" ht="12.75">
      <c r="B198" t="s">
        <v>231</v>
      </c>
      <c r="C198" t="s">
        <v>237</v>
      </c>
      <c r="D198" t="s">
        <v>51</v>
      </c>
      <c r="E198" s="1">
        <v>1678</v>
      </c>
      <c r="F198" s="1">
        <v>3118</v>
      </c>
      <c r="G198" s="1">
        <v>1966</v>
      </c>
      <c r="H198" s="1">
        <v>4222</v>
      </c>
      <c r="I198" s="1"/>
      <c r="J198" s="1"/>
      <c r="K198" s="1"/>
      <c r="L198" s="1"/>
      <c r="M198" s="1"/>
      <c r="N198" s="1"/>
      <c r="O198" s="1"/>
      <c r="P198" s="1"/>
    </row>
    <row r="199" spans="2:16" ht="12.75">
      <c r="B199" t="s">
        <v>231</v>
      </c>
      <c r="C199" t="s">
        <v>238</v>
      </c>
      <c r="D199" t="s">
        <v>56</v>
      </c>
      <c r="E199" s="1">
        <v>2190</v>
      </c>
      <c r="F199" s="1">
        <v>3750</v>
      </c>
      <c r="G199" s="1">
        <v>1920</v>
      </c>
      <c r="H199" s="1">
        <v>3600</v>
      </c>
      <c r="I199" s="1"/>
      <c r="J199" s="1"/>
      <c r="K199" s="1"/>
      <c r="L199" s="1"/>
      <c r="M199" s="1"/>
      <c r="N199" s="1"/>
      <c r="O199" s="1"/>
      <c r="P199" s="1"/>
    </row>
    <row r="200" spans="2:15" ht="12.75">
      <c r="B200" t="s">
        <v>231</v>
      </c>
      <c r="C200" t="s">
        <v>239</v>
      </c>
      <c r="D200" t="s">
        <v>60</v>
      </c>
      <c r="E200" s="1">
        <v>2182</v>
      </c>
      <c r="F200" s="1">
        <v>3364</v>
      </c>
      <c r="G200" s="1">
        <v>2182</v>
      </c>
      <c r="H200" s="1">
        <v>3364</v>
      </c>
      <c r="I200" s="1"/>
      <c r="J200" s="1"/>
      <c r="K200" s="1"/>
      <c r="L200" s="1"/>
      <c r="M200" s="1"/>
      <c r="N200" s="1"/>
      <c r="O200" s="1"/>
    </row>
    <row r="201" spans="2:16" ht="12.75">
      <c r="B201" t="s">
        <v>231</v>
      </c>
      <c r="C201" t="s">
        <v>240</v>
      </c>
      <c r="D201" t="s">
        <v>60</v>
      </c>
      <c r="E201" s="1">
        <v>1578</v>
      </c>
      <c r="F201" s="1">
        <v>3238</v>
      </c>
      <c r="G201" s="1">
        <v>1368</v>
      </c>
      <c r="H201" s="1">
        <v>2592</v>
      </c>
      <c r="I201" s="1"/>
      <c r="J201" s="1"/>
      <c r="K201" s="1"/>
      <c r="L201" s="1"/>
      <c r="M201" s="1"/>
      <c r="N201" s="1"/>
      <c r="O201" s="1"/>
      <c r="P201" s="1"/>
    </row>
    <row r="202" spans="2:16" ht="12.75">
      <c r="B202" t="s">
        <v>231</v>
      </c>
      <c r="C202" t="s">
        <v>241</v>
      </c>
      <c r="D202" t="s">
        <v>60</v>
      </c>
      <c r="E202" s="1">
        <v>1200</v>
      </c>
      <c r="F202" s="1">
        <v>2140</v>
      </c>
      <c r="G202" s="1">
        <v>1420</v>
      </c>
      <c r="H202" s="1">
        <v>2290</v>
      </c>
      <c r="I202" s="1"/>
      <c r="J202" s="1"/>
      <c r="K202" s="1"/>
      <c r="L202" s="1"/>
      <c r="M202" s="1"/>
      <c r="N202" s="1"/>
      <c r="O202" s="1"/>
      <c r="P202" s="1"/>
    </row>
    <row r="203" spans="2:8" ht="12.75">
      <c r="B203" t="s">
        <v>231</v>
      </c>
      <c r="C203" t="s">
        <v>242</v>
      </c>
      <c r="D203" t="s">
        <v>60</v>
      </c>
      <c r="E203" s="1">
        <v>1726</v>
      </c>
      <c r="F203" s="1">
        <v>2476</v>
      </c>
      <c r="G203" s="1">
        <v>1816</v>
      </c>
      <c r="H203" s="1">
        <v>2026</v>
      </c>
    </row>
    <row r="204" spans="2:16" ht="12.75">
      <c r="B204" t="s">
        <v>231</v>
      </c>
      <c r="C204" t="s">
        <v>243</v>
      </c>
      <c r="D204" t="s">
        <v>60</v>
      </c>
      <c r="E204" s="1">
        <v>1800</v>
      </c>
      <c r="F204" s="1">
        <v>3100</v>
      </c>
      <c r="G204" s="1">
        <v>1900</v>
      </c>
      <c r="H204" s="1">
        <v>3200</v>
      </c>
      <c r="I204" s="1"/>
      <c r="J204" s="1"/>
      <c r="K204" s="1"/>
      <c r="L204" s="1"/>
      <c r="M204" s="1"/>
      <c r="N204" s="1"/>
      <c r="O204" s="1"/>
      <c r="P204" s="1"/>
    </row>
    <row r="205" spans="2:6" ht="12.75">
      <c r="B205" t="s">
        <v>231</v>
      </c>
      <c r="C205" t="s">
        <v>244</v>
      </c>
      <c r="D205" t="s">
        <v>66</v>
      </c>
      <c r="E205" s="1">
        <v>1565</v>
      </c>
      <c r="F205" s="1">
        <v>2615</v>
      </c>
    </row>
    <row r="206" spans="2:6" ht="12.75">
      <c r="B206" t="s">
        <v>231</v>
      </c>
      <c r="C206" t="s">
        <v>245</v>
      </c>
      <c r="D206" t="s">
        <v>66</v>
      </c>
      <c r="E206" s="1">
        <v>1248</v>
      </c>
      <c r="F206" s="1">
        <v>1968</v>
      </c>
    </row>
    <row r="207" spans="2:14" ht="12.75">
      <c r="B207" t="s">
        <v>246</v>
      </c>
      <c r="C207" t="s">
        <v>247</v>
      </c>
      <c r="D207" t="s">
        <v>65</v>
      </c>
      <c r="E207" s="1">
        <v>1160</v>
      </c>
      <c r="F207" s="1">
        <v>3140</v>
      </c>
      <c r="G207" s="1">
        <v>1220</v>
      </c>
      <c r="H207" s="1">
        <v>3340</v>
      </c>
      <c r="I207" s="1">
        <v>1220</v>
      </c>
      <c r="J207" s="1">
        <v>3340</v>
      </c>
      <c r="K207" s="1">
        <v>2390</v>
      </c>
      <c r="L207" s="1">
        <v>5090</v>
      </c>
      <c r="M207" s="1">
        <v>2090</v>
      </c>
      <c r="N207" s="1">
        <v>4790</v>
      </c>
    </row>
    <row r="208" spans="2:12" ht="12.75">
      <c r="B208" t="s">
        <v>246</v>
      </c>
      <c r="C208" t="s">
        <v>248</v>
      </c>
      <c r="D208" t="s">
        <v>56</v>
      </c>
      <c r="E208" s="1">
        <v>960</v>
      </c>
      <c r="F208" s="1">
        <v>2600</v>
      </c>
      <c r="G208" s="1">
        <v>1020</v>
      </c>
      <c r="H208" s="1">
        <v>2840</v>
      </c>
      <c r="K208" s="1">
        <v>2260</v>
      </c>
      <c r="L208" s="1">
        <v>4870</v>
      </c>
    </row>
    <row r="209" spans="2:8" ht="12.75">
      <c r="B209" t="s">
        <v>246</v>
      </c>
      <c r="C209" t="s">
        <v>249</v>
      </c>
      <c r="D209" t="s">
        <v>60</v>
      </c>
      <c r="E209" s="1">
        <v>880</v>
      </c>
      <c r="F209" s="1">
        <v>2390</v>
      </c>
      <c r="G209" s="1">
        <v>930</v>
      </c>
      <c r="H209" s="1">
        <v>2670</v>
      </c>
    </row>
    <row r="210" spans="2:6" ht="12.75">
      <c r="B210" t="s">
        <v>246</v>
      </c>
      <c r="C210" t="s">
        <v>250</v>
      </c>
      <c r="D210" t="s">
        <v>66</v>
      </c>
      <c r="E210" s="1">
        <v>840</v>
      </c>
      <c r="F210" s="1">
        <v>2300</v>
      </c>
    </row>
    <row r="211" spans="1:6" ht="12.75">
      <c r="A211" t="s">
        <v>43</v>
      </c>
      <c r="B211" t="s">
        <v>246</v>
      </c>
      <c r="C211" t="s">
        <v>251</v>
      </c>
      <c r="D211" t="s">
        <v>66</v>
      </c>
      <c r="E211" s="1">
        <v>840</v>
      </c>
      <c r="F211" s="1">
        <v>2300</v>
      </c>
    </row>
    <row r="212" spans="2:6" ht="12.75">
      <c r="B212" t="s">
        <v>246</v>
      </c>
      <c r="C212" t="s">
        <v>252</v>
      </c>
      <c r="D212" t="s">
        <v>66</v>
      </c>
      <c r="E212" s="1">
        <v>840</v>
      </c>
      <c r="F212" s="1">
        <v>2300</v>
      </c>
    </row>
    <row r="213" spans="2:6" ht="12.75">
      <c r="B213" t="s">
        <v>246</v>
      </c>
      <c r="C213" t="s">
        <v>253</v>
      </c>
      <c r="D213" t="s">
        <v>66</v>
      </c>
      <c r="E213" s="1">
        <v>840</v>
      </c>
      <c r="F213" s="1">
        <v>2300</v>
      </c>
    </row>
    <row r="214" spans="2:6" ht="12.75">
      <c r="B214" t="s">
        <v>246</v>
      </c>
      <c r="C214" t="s">
        <v>254</v>
      </c>
      <c r="D214" t="s">
        <v>66</v>
      </c>
      <c r="E214" s="1">
        <v>840</v>
      </c>
      <c r="F214" s="1">
        <v>2300</v>
      </c>
    </row>
    <row r="215" spans="2:6" ht="12.75">
      <c r="B215" t="s">
        <v>246</v>
      </c>
      <c r="C215" t="s">
        <v>255</v>
      </c>
      <c r="D215" t="s">
        <v>66</v>
      </c>
      <c r="E215" s="1">
        <v>840</v>
      </c>
      <c r="F215" s="1">
        <v>2300</v>
      </c>
    </row>
    <row r="216" spans="2:6" ht="12.75">
      <c r="B216" t="s">
        <v>246</v>
      </c>
      <c r="C216" t="s">
        <v>256</v>
      </c>
      <c r="D216" t="s">
        <v>66</v>
      </c>
      <c r="E216" s="1">
        <v>840</v>
      </c>
      <c r="F216" s="1">
        <v>2300</v>
      </c>
    </row>
    <row r="217" spans="5:16" ht="12.75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>
      <c r="B218" t="s">
        <v>181</v>
      </c>
      <c r="C218" t="s">
        <v>257</v>
      </c>
      <c r="D218" t="s">
        <v>67</v>
      </c>
      <c r="E218" s="1">
        <v>1020</v>
      </c>
      <c r="F218" s="1">
        <v>2210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2.75">
      <c r="B219" t="s">
        <v>181</v>
      </c>
      <c r="C219" t="s">
        <v>258</v>
      </c>
      <c r="D219" t="s">
        <v>67</v>
      </c>
      <c r="E219" s="1">
        <v>1020</v>
      </c>
      <c r="F219" s="1">
        <v>2210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2.75">
      <c r="B220" t="s">
        <v>181</v>
      </c>
      <c r="C220" t="s">
        <v>259</v>
      </c>
      <c r="D220" t="s">
        <v>67</v>
      </c>
      <c r="E220" s="1">
        <v>1020</v>
      </c>
      <c r="F220" s="1">
        <v>2210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2.75">
      <c r="B221" t="s">
        <v>181</v>
      </c>
      <c r="C221" t="s">
        <v>260</v>
      </c>
      <c r="D221" t="s">
        <v>67</v>
      </c>
      <c r="E221" s="1">
        <v>1020</v>
      </c>
      <c r="F221" s="1">
        <v>2210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2.75">
      <c r="B222" t="s">
        <v>181</v>
      </c>
      <c r="C222" t="s">
        <v>261</v>
      </c>
      <c r="D222" t="s">
        <v>67</v>
      </c>
      <c r="E222" s="1">
        <v>1040</v>
      </c>
      <c r="F222" s="1">
        <v>2230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2.75">
      <c r="B223" t="s">
        <v>114</v>
      </c>
      <c r="C223" t="s">
        <v>262</v>
      </c>
      <c r="D223" t="s">
        <v>67</v>
      </c>
      <c r="E223" s="1">
        <v>520</v>
      </c>
      <c r="F223" s="1">
        <v>1560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2.75">
      <c r="B224" t="s">
        <v>97</v>
      </c>
      <c r="C224" t="s">
        <v>263</v>
      </c>
      <c r="D224" t="s">
        <v>67</v>
      </c>
      <c r="E224" s="1">
        <v>906</v>
      </c>
      <c r="F224" s="1">
        <v>2460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2.75">
      <c r="B225" t="s">
        <v>97</v>
      </c>
      <c r="C225" t="s">
        <v>264</v>
      </c>
      <c r="D225" t="s">
        <v>67</v>
      </c>
      <c r="E225" s="1">
        <v>756</v>
      </c>
      <c r="F225" s="1">
        <v>2160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2.75">
      <c r="B226" t="s">
        <v>97</v>
      </c>
      <c r="C226" t="s">
        <v>265</v>
      </c>
      <c r="D226" t="s">
        <v>67</v>
      </c>
      <c r="E226" s="1">
        <v>810</v>
      </c>
      <c r="F226" s="1">
        <v>2268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2.75">
      <c r="B227" t="s">
        <v>97</v>
      </c>
      <c r="C227" t="s">
        <v>266</v>
      </c>
      <c r="D227" t="s">
        <v>67</v>
      </c>
      <c r="E227" s="1">
        <v>771</v>
      </c>
      <c r="F227" s="1">
        <v>2190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>
      <c r="B228" t="s">
        <v>97</v>
      </c>
      <c r="C228" t="s">
        <v>267</v>
      </c>
      <c r="D228" t="s">
        <v>67</v>
      </c>
      <c r="E228" s="1">
        <v>771</v>
      </c>
      <c r="F228" s="1">
        <v>2190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>
      <c r="B229" t="s">
        <v>97</v>
      </c>
      <c r="C229" t="s">
        <v>268</v>
      </c>
      <c r="D229" t="s">
        <v>67</v>
      </c>
      <c r="E229" s="1">
        <v>756</v>
      </c>
      <c r="F229" s="1">
        <v>2160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2.75">
      <c r="B230" t="s">
        <v>97</v>
      </c>
      <c r="C230" t="s">
        <v>269</v>
      </c>
      <c r="D230" t="s">
        <v>67</v>
      </c>
      <c r="E230" s="1">
        <v>861</v>
      </c>
      <c r="F230" s="1">
        <v>2370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2.75">
      <c r="B231" t="s">
        <v>97</v>
      </c>
      <c r="C231" t="s">
        <v>270</v>
      </c>
      <c r="D231" t="s">
        <v>67</v>
      </c>
      <c r="E231" s="1">
        <v>756</v>
      </c>
      <c r="F231" s="1">
        <v>2160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2.75">
      <c r="B232" t="s">
        <v>97</v>
      </c>
      <c r="C232" t="s">
        <v>271</v>
      </c>
      <c r="D232" t="s">
        <v>67</v>
      </c>
      <c r="E232" s="1">
        <v>756</v>
      </c>
      <c r="F232" s="1">
        <v>2160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6" ht="12.75">
      <c r="B233" t="s">
        <v>231</v>
      </c>
      <c r="C233" t="s">
        <v>272</v>
      </c>
      <c r="D233" s="4" t="s">
        <v>67</v>
      </c>
      <c r="E233" s="1">
        <v>1030</v>
      </c>
      <c r="F233" s="1">
        <v>2590</v>
      </c>
    </row>
    <row r="234" spans="2:16" ht="12.75">
      <c r="B234" t="s">
        <v>97</v>
      </c>
      <c r="C234" t="s">
        <v>273</v>
      </c>
      <c r="D234" t="s">
        <v>67</v>
      </c>
      <c r="E234" s="1">
        <v>840</v>
      </c>
      <c r="F234" s="1">
        <v>2328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2.75">
      <c r="B235" t="s">
        <v>97</v>
      </c>
      <c r="C235" t="s">
        <v>274</v>
      </c>
      <c r="D235" t="s">
        <v>67</v>
      </c>
      <c r="E235" s="1">
        <v>786</v>
      </c>
      <c r="F235" s="1">
        <v>2220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2.75">
      <c r="B236" t="s">
        <v>123</v>
      </c>
      <c r="C236" t="s">
        <v>275</v>
      </c>
      <c r="D236" t="s">
        <v>67</v>
      </c>
      <c r="E236" s="1">
        <v>650</v>
      </c>
      <c r="F236" s="1">
        <v>1830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2.75">
      <c r="B237" t="s">
        <v>123</v>
      </c>
      <c r="C237" t="s">
        <v>276</v>
      </c>
      <c r="D237" t="s">
        <v>67</v>
      </c>
      <c r="E237" s="1">
        <v>600</v>
      </c>
      <c r="F237" s="1">
        <v>1750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2.75">
      <c r="B238" t="s">
        <v>123</v>
      </c>
      <c r="C238" t="s">
        <v>277</v>
      </c>
      <c r="D238" t="s">
        <v>67</v>
      </c>
      <c r="E238" s="1">
        <v>590</v>
      </c>
      <c r="F238" s="1">
        <v>1470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2.75">
      <c r="B239" t="s">
        <v>123</v>
      </c>
      <c r="C239" t="s">
        <v>278</v>
      </c>
      <c r="D239" t="s">
        <v>67</v>
      </c>
      <c r="E239" s="1">
        <v>582</v>
      </c>
      <c r="F239" s="1">
        <v>1262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2.75">
      <c r="B240" t="s">
        <v>202</v>
      </c>
      <c r="C240" t="s">
        <v>279</v>
      </c>
      <c r="D240" t="s">
        <v>70</v>
      </c>
      <c r="E240" s="1">
        <v>120</v>
      </c>
      <c r="F240" s="1">
        <v>400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>
      <c r="A241" t="s">
        <v>43</v>
      </c>
      <c r="B241" t="s">
        <v>181</v>
      </c>
      <c r="C241" t="s">
        <v>280</v>
      </c>
      <c r="D241" t="s">
        <v>70</v>
      </c>
      <c r="E241" s="1">
        <f>175*3</f>
        <v>525</v>
      </c>
      <c r="F241" s="1">
        <f>346*3</f>
        <v>1038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2.75">
      <c r="B242" t="s">
        <v>181</v>
      </c>
      <c r="C242" t="s">
        <v>281</v>
      </c>
      <c r="D242" t="s">
        <v>70</v>
      </c>
      <c r="E242" s="1">
        <f>175*3</f>
        <v>525</v>
      </c>
      <c r="F242" s="1">
        <f>275*3</f>
        <v>825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2.75">
      <c r="B243" t="s">
        <v>181</v>
      </c>
      <c r="C243" t="s">
        <v>282</v>
      </c>
      <c r="D243" t="s">
        <v>70</v>
      </c>
      <c r="E243" s="1">
        <f>175*3</f>
        <v>525</v>
      </c>
      <c r="F243" s="1">
        <f>250*3</f>
        <v>750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2.75">
      <c r="B244" t="s">
        <v>181</v>
      </c>
      <c r="C244" t="s">
        <v>283</v>
      </c>
      <c r="D244" t="s">
        <v>70</v>
      </c>
      <c r="E244" s="1">
        <f>175*3</f>
        <v>525</v>
      </c>
      <c r="F244" s="1">
        <f>350*3</f>
        <v>1050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2.75">
      <c r="B245" t="s">
        <v>181</v>
      </c>
      <c r="C245" t="s">
        <v>284</v>
      </c>
      <c r="D245" t="s">
        <v>70</v>
      </c>
      <c r="E245" s="1">
        <f>180*3</f>
        <v>540</v>
      </c>
      <c r="F245" s="1">
        <f>288*3</f>
        <v>864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2.75">
      <c r="B246" t="s">
        <v>181</v>
      </c>
      <c r="C246" t="s">
        <v>285</v>
      </c>
      <c r="D246" t="s">
        <v>70</v>
      </c>
      <c r="E246" s="1">
        <f>175*3</f>
        <v>525</v>
      </c>
      <c r="F246" s="1">
        <f>350*3</f>
        <v>1050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2.75">
      <c r="B247" t="s">
        <v>202</v>
      </c>
      <c r="C247" t="s">
        <v>286</v>
      </c>
      <c r="D247" t="s">
        <v>70</v>
      </c>
      <c r="E247" s="1">
        <v>120</v>
      </c>
      <c r="F247" s="1">
        <v>400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2.75">
      <c r="B248" t="s">
        <v>181</v>
      </c>
      <c r="C248" t="s">
        <v>287</v>
      </c>
      <c r="D248" t="s">
        <v>70</v>
      </c>
      <c r="E248" s="1">
        <f>155*3</f>
        <v>465</v>
      </c>
      <c r="F248" s="1">
        <f>287.5*3</f>
        <v>862.5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2.75">
      <c r="B249" t="s">
        <v>181</v>
      </c>
      <c r="C249" t="s">
        <v>288</v>
      </c>
      <c r="D249" t="s">
        <v>70</v>
      </c>
      <c r="E249" s="1">
        <f>195*3</f>
        <v>585</v>
      </c>
      <c r="F249" s="1">
        <f>270*3</f>
        <v>810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2.75">
      <c r="B250" t="s">
        <v>181</v>
      </c>
      <c r="C250" t="s">
        <v>289</v>
      </c>
      <c r="D250" t="s">
        <v>70</v>
      </c>
      <c r="E250" s="1">
        <f>160*3</f>
        <v>480</v>
      </c>
      <c r="F250" s="1">
        <f>260*3</f>
        <v>780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2.75">
      <c r="B251" t="s">
        <v>202</v>
      </c>
      <c r="C251" t="s">
        <v>290</v>
      </c>
      <c r="D251" t="s">
        <v>70</v>
      </c>
      <c r="E251" s="1">
        <v>120</v>
      </c>
      <c r="F251" s="1">
        <v>400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2.75">
      <c r="B252" t="s">
        <v>181</v>
      </c>
      <c r="C252" t="s">
        <v>291</v>
      </c>
      <c r="D252" t="s">
        <v>70</v>
      </c>
      <c r="E252" s="1">
        <f>135*3</f>
        <v>405</v>
      </c>
      <c r="F252" s="1">
        <f>270*3</f>
        <v>810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2.75">
      <c r="B253" t="s">
        <v>202</v>
      </c>
      <c r="C253" t="s">
        <v>292</v>
      </c>
      <c r="D253" t="s">
        <v>70</v>
      </c>
      <c r="E253" s="1">
        <v>120</v>
      </c>
      <c r="F253" s="1">
        <v>400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2.75">
      <c r="B254" t="s">
        <v>181</v>
      </c>
      <c r="C254" t="s">
        <v>293</v>
      </c>
      <c r="D254" t="s">
        <v>70</v>
      </c>
      <c r="E254" s="1">
        <f>125*3</f>
        <v>375</v>
      </c>
      <c r="F254" s="1">
        <f>125*3</f>
        <v>375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2.75">
      <c r="B255" t="s">
        <v>181</v>
      </c>
      <c r="C255" t="s">
        <v>294</v>
      </c>
      <c r="D255" t="s">
        <v>70</v>
      </c>
      <c r="E255" s="1">
        <f>200*3</f>
        <v>600</v>
      </c>
      <c r="F255" s="1">
        <f>295*3</f>
        <v>885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2.75">
      <c r="B256" t="s">
        <v>202</v>
      </c>
      <c r="C256" t="s">
        <v>295</v>
      </c>
      <c r="D256" t="s">
        <v>70</v>
      </c>
      <c r="E256" s="1">
        <v>120</v>
      </c>
      <c r="F256" s="1">
        <v>400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2.75">
      <c r="B257" t="s">
        <v>202</v>
      </c>
      <c r="C257" t="s">
        <v>296</v>
      </c>
      <c r="D257" t="s">
        <v>70</v>
      </c>
      <c r="E257" s="1">
        <v>120</v>
      </c>
      <c r="F257" s="1">
        <v>400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2.75">
      <c r="B258" t="s">
        <v>181</v>
      </c>
      <c r="C258" t="s">
        <v>297</v>
      </c>
      <c r="D258" t="s">
        <v>70</v>
      </c>
      <c r="E258" s="1">
        <f>132*3</f>
        <v>396</v>
      </c>
      <c r="F258" s="1">
        <f>264*3</f>
        <v>792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2.75">
      <c r="B259" t="s">
        <v>202</v>
      </c>
      <c r="C259" t="s">
        <v>298</v>
      </c>
      <c r="D259" t="s">
        <v>70</v>
      </c>
      <c r="E259" s="1">
        <v>120</v>
      </c>
      <c r="F259" s="1">
        <v>400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2.75">
      <c r="B260" t="s">
        <v>202</v>
      </c>
      <c r="C260" t="s">
        <v>299</v>
      </c>
      <c r="D260" t="s">
        <v>70</v>
      </c>
      <c r="E260" s="1">
        <v>120</v>
      </c>
      <c r="F260" s="1">
        <v>400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2.75">
      <c r="B261" t="s">
        <v>202</v>
      </c>
      <c r="C261" t="s">
        <v>300</v>
      </c>
      <c r="D261" t="s">
        <v>70</v>
      </c>
      <c r="E261" s="1">
        <v>120</v>
      </c>
      <c r="F261" s="1">
        <v>400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2.75">
      <c r="B262" t="s">
        <v>181</v>
      </c>
      <c r="C262" t="s">
        <v>301</v>
      </c>
      <c r="D262" t="s">
        <v>70</v>
      </c>
      <c r="E262" s="1">
        <f>200*3</f>
        <v>600</v>
      </c>
      <c r="F262" s="1">
        <f>325*3</f>
        <v>975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2.75">
      <c r="B263" t="s">
        <v>202</v>
      </c>
      <c r="C263" t="s">
        <v>302</v>
      </c>
      <c r="D263" t="s">
        <v>70</v>
      </c>
      <c r="E263" s="1">
        <v>120</v>
      </c>
      <c r="F263" s="1">
        <v>400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2.75">
      <c r="B264" t="s">
        <v>181</v>
      </c>
      <c r="C264" t="s">
        <v>303</v>
      </c>
      <c r="D264" t="s">
        <v>70</v>
      </c>
      <c r="E264" s="1">
        <f>202.14*3</f>
        <v>606.42</v>
      </c>
      <c r="F264" s="1">
        <f>300*3</f>
        <v>900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6" ht="12.75">
      <c r="A265" t="s">
        <v>43</v>
      </c>
      <c r="B265" t="s">
        <v>246</v>
      </c>
      <c r="C265" t="s">
        <v>304</v>
      </c>
      <c r="D265" t="s">
        <v>70</v>
      </c>
      <c r="E265" s="1">
        <v>840</v>
      </c>
      <c r="F265" s="1">
        <v>2300</v>
      </c>
    </row>
    <row r="266" spans="2:6" ht="12.75">
      <c r="B266" t="s">
        <v>231</v>
      </c>
      <c r="C266" t="s">
        <v>305</v>
      </c>
      <c r="D266" t="s">
        <v>70</v>
      </c>
      <c r="E266" s="1">
        <v>799</v>
      </c>
      <c r="F266" s="1">
        <v>3465</v>
      </c>
    </row>
    <row r="267" spans="2:6" ht="12.75">
      <c r="B267" t="s">
        <v>231</v>
      </c>
      <c r="C267" t="s">
        <v>306</v>
      </c>
      <c r="D267" t="s">
        <v>70</v>
      </c>
      <c r="E267" s="1">
        <v>799</v>
      </c>
      <c r="F267" s="1">
        <v>3465</v>
      </c>
    </row>
    <row r="268" spans="2:6" ht="12.75">
      <c r="B268" t="s">
        <v>231</v>
      </c>
      <c r="C268" t="s">
        <v>307</v>
      </c>
      <c r="D268" t="s">
        <v>70</v>
      </c>
      <c r="E268" s="1">
        <v>799</v>
      </c>
      <c r="F268" s="1">
        <v>3465</v>
      </c>
    </row>
    <row r="269" spans="2:6" ht="12.75">
      <c r="B269" t="s">
        <v>231</v>
      </c>
      <c r="C269" t="s">
        <v>308</v>
      </c>
      <c r="D269" t="s">
        <v>70</v>
      </c>
      <c r="E269" s="1">
        <v>799</v>
      </c>
      <c r="F269" s="1">
        <v>3465</v>
      </c>
    </row>
    <row r="270" spans="2:6" ht="12.75">
      <c r="B270" t="s">
        <v>231</v>
      </c>
      <c r="C270" t="s">
        <v>309</v>
      </c>
      <c r="D270" t="s">
        <v>70</v>
      </c>
      <c r="E270" s="1">
        <v>799</v>
      </c>
      <c r="F270" s="1">
        <v>3465</v>
      </c>
    </row>
    <row r="271" spans="2:6" ht="12.75">
      <c r="B271" t="s">
        <v>246</v>
      </c>
      <c r="C271" t="s">
        <v>310</v>
      </c>
      <c r="D271" t="s">
        <v>70</v>
      </c>
      <c r="E271" s="1">
        <v>552</v>
      </c>
      <c r="F271" s="1">
        <v>1920</v>
      </c>
    </row>
    <row r="272" spans="2:6" ht="12.75">
      <c r="B272" t="s">
        <v>246</v>
      </c>
      <c r="C272" t="s">
        <v>311</v>
      </c>
      <c r="D272" t="s">
        <v>70</v>
      </c>
      <c r="E272" s="1">
        <v>552</v>
      </c>
      <c r="F272" s="1">
        <v>1920</v>
      </c>
    </row>
    <row r="273" spans="2:6" ht="12.75">
      <c r="B273" t="s">
        <v>231</v>
      </c>
      <c r="C273" t="s">
        <v>312</v>
      </c>
      <c r="D273" t="s">
        <v>70</v>
      </c>
      <c r="E273" s="1">
        <v>799</v>
      </c>
      <c r="F273" s="1">
        <v>3465</v>
      </c>
    </row>
    <row r="274" spans="2:6" ht="12.75">
      <c r="B274" t="s">
        <v>246</v>
      </c>
      <c r="C274" t="s">
        <v>313</v>
      </c>
      <c r="D274" t="s">
        <v>70</v>
      </c>
      <c r="E274" s="1">
        <v>552</v>
      </c>
      <c r="F274" s="1">
        <v>1920</v>
      </c>
    </row>
    <row r="275" spans="2:20" ht="12.75">
      <c r="B275" t="s">
        <v>169</v>
      </c>
      <c r="C275" t="s">
        <v>314</v>
      </c>
      <c r="D275" t="s">
        <v>70</v>
      </c>
      <c r="E275" s="1">
        <v>386</v>
      </c>
      <c r="F275" s="1">
        <v>1194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2:20" ht="12.75">
      <c r="B276" t="s">
        <v>169</v>
      </c>
      <c r="C276" t="s">
        <v>315</v>
      </c>
      <c r="D276" t="s">
        <v>70</v>
      </c>
      <c r="E276" s="1">
        <v>431</v>
      </c>
      <c r="F276" s="1">
        <v>1239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2:18" ht="12.75">
      <c r="B277" t="s">
        <v>169</v>
      </c>
      <c r="C277" t="s">
        <v>316</v>
      </c>
      <c r="D277" t="s">
        <v>70</v>
      </c>
      <c r="E277" s="1">
        <v>431</v>
      </c>
      <c r="F277" s="1">
        <v>1235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2:20" ht="12.75">
      <c r="B278" t="s">
        <v>169</v>
      </c>
      <c r="C278" t="s">
        <v>317</v>
      </c>
      <c r="D278" t="s">
        <v>70</v>
      </c>
      <c r="E278" s="1">
        <v>446</v>
      </c>
      <c r="F278" s="1">
        <v>1254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2:6" ht="12.75">
      <c r="B279" t="s">
        <v>231</v>
      </c>
      <c r="C279" t="s">
        <v>318</v>
      </c>
      <c r="D279" t="s">
        <v>70</v>
      </c>
      <c r="E279" s="1">
        <v>799</v>
      </c>
      <c r="F279" s="1">
        <v>3465</v>
      </c>
    </row>
    <row r="280" spans="2:6" ht="12.75">
      <c r="B280" t="s">
        <v>231</v>
      </c>
      <c r="C280" t="s">
        <v>319</v>
      </c>
      <c r="D280" t="s">
        <v>70</v>
      </c>
      <c r="E280" s="1">
        <v>799</v>
      </c>
      <c r="F280" s="1">
        <v>3465</v>
      </c>
    </row>
    <row r="281" spans="2:6" ht="12.75">
      <c r="B281" t="s">
        <v>231</v>
      </c>
      <c r="C281" t="s">
        <v>320</v>
      </c>
      <c r="D281" t="s">
        <v>70</v>
      </c>
      <c r="E281" s="1">
        <v>799</v>
      </c>
      <c r="F281" s="1">
        <v>3465</v>
      </c>
    </row>
    <row r="282" spans="2:16" ht="12.75">
      <c r="B282" t="s">
        <v>181</v>
      </c>
      <c r="C282" t="s">
        <v>321</v>
      </c>
      <c r="D282" t="s">
        <v>70</v>
      </c>
      <c r="E282" s="1">
        <f>250*3</f>
        <v>750</v>
      </c>
      <c r="F282" s="1">
        <f>500*3</f>
        <v>1500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6" ht="12.75">
      <c r="B283" t="s">
        <v>231</v>
      </c>
      <c r="C283" t="s">
        <v>322</v>
      </c>
      <c r="D283" t="s">
        <v>70</v>
      </c>
      <c r="E283" s="1">
        <v>799</v>
      </c>
      <c r="F283" s="1">
        <v>3465</v>
      </c>
    </row>
    <row r="284" spans="2:16" ht="12.75">
      <c r="B284" t="s">
        <v>202</v>
      </c>
      <c r="C284" t="s">
        <v>323</v>
      </c>
      <c r="D284" t="s">
        <v>70</v>
      </c>
      <c r="E284" s="1">
        <v>120</v>
      </c>
      <c r="F284" s="1">
        <v>400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2.75">
      <c r="B285" t="s">
        <v>193</v>
      </c>
      <c r="C285" t="s">
        <v>324</v>
      </c>
      <c r="D285" t="s">
        <v>70</v>
      </c>
      <c r="E285" s="1">
        <v>564</v>
      </c>
      <c r="F285" s="1">
        <v>2712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6" ht="12.75">
      <c r="B286" t="s">
        <v>231</v>
      </c>
      <c r="C286" t="s">
        <v>325</v>
      </c>
      <c r="D286" t="s">
        <v>70</v>
      </c>
      <c r="E286" s="1">
        <v>799</v>
      </c>
      <c r="F286" s="1">
        <v>3465</v>
      </c>
    </row>
    <row r="287" spans="2:6" ht="12.75">
      <c r="B287" t="s">
        <v>231</v>
      </c>
      <c r="C287" t="s">
        <v>326</v>
      </c>
      <c r="D287" t="s">
        <v>70</v>
      </c>
      <c r="E287" s="1">
        <v>799</v>
      </c>
      <c r="F287" s="1">
        <v>3465</v>
      </c>
    </row>
    <row r="288" spans="2:6" ht="12.75">
      <c r="B288" t="s">
        <v>231</v>
      </c>
      <c r="C288" t="s">
        <v>327</v>
      </c>
      <c r="D288" t="s">
        <v>70</v>
      </c>
      <c r="E288" s="1">
        <v>799</v>
      </c>
      <c r="F288" s="1">
        <v>3465</v>
      </c>
    </row>
    <row r="289" spans="2:6" ht="12.75">
      <c r="B289" t="s">
        <v>231</v>
      </c>
      <c r="C289" t="s">
        <v>328</v>
      </c>
      <c r="D289" t="s">
        <v>70</v>
      </c>
      <c r="E289" s="1">
        <v>799</v>
      </c>
      <c r="F289" s="1">
        <v>3465</v>
      </c>
    </row>
    <row r="290" spans="2:6" ht="12.75">
      <c r="B290" t="s">
        <v>231</v>
      </c>
      <c r="C290" t="s">
        <v>329</v>
      </c>
      <c r="D290" t="s">
        <v>70</v>
      </c>
      <c r="E290" s="1">
        <v>799</v>
      </c>
      <c r="F290" s="1">
        <v>3465</v>
      </c>
    </row>
    <row r="291" spans="2:6" ht="12.75">
      <c r="B291" t="s">
        <v>231</v>
      </c>
      <c r="C291" t="s">
        <v>330</v>
      </c>
      <c r="D291" t="s">
        <v>70</v>
      </c>
      <c r="E291" s="1">
        <v>799</v>
      </c>
      <c r="F291" s="1">
        <v>3465</v>
      </c>
    </row>
    <row r="292" spans="2:6" ht="12.75">
      <c r="B292" t="s">
        <v>231</v>
      </c>
      <c r="C292" t="s">
        <v>331</v>
      </c>
      <c r="D292" t="s">
        <v>70</v>
      </c>
      <c r="E292" s="1">
        <v>799</v>
      </c>
      <c r="F292" s="1">
        <v>3465</v>
      </c>
    </row>
    <row r="293" spans="2:6" ht="12.75">
      <c r="B293" t="s">
        <v>231</v>
      </c>
      <c r="C293" t="s">
        <v>332</v>
      </c>
      <c r="D293" t="s">
        <v>70</v>
      </c>
      <c r="E293" s="1">
        <v>799</v>
      </c>
      <c r="F293" s="1">
        <v>3465</v>
      </c>
    </row>
    <row r="294" spans="2:6" ht="12.75">
      <c r="B294" t="s">
        <v>231</v>
      </c>
      <c r="C294" t="s">
        <v>333</v>
      </c>
      <c r="D294" t="s">
        <v>70</v>
      </c>
      <c r="E294" s="1">
        <v>799</v>
      </c>
      <c r="F294" s="1">
        <v>3465</v>
      </c>
    </row>
    <row r="295" spans="2:6" ht="12.75">
      <c r="B295" t="s">
        <v>231</v>
      </c>
      <c r="C295" t="s">
        <v>334</v>
      </c>
      <c r="D295" t="s">
        <v>70</v>
      </c>
      <c r="E295" s="1">
        <v>799</v>
      </c>
      <c r="F295" s="1">
        <v>3465</v>
      </c>
    </row>
    <row r="296" spans="2:6" ht="12.75">
      <c r="B296" t="s">
        <v>231</v>
      </c>
      <c r="C296" t="s">
        <v>335</v>
      </c>
      <c r="D296" t="s">
        <v>70</v>
      </c>
      <c r="E296" s="1">
        <v>799</v>
      </c>
      <c r="F296" s="1">
        <v>3465</v>
      </c>
    </row>
    <row r="297" spans="2:16" ht="12.75">
      <c r="B297" t="s">
        <v>202</v>
      </c>
      <c r="C297" t="s">
        <v>336</v>
      </c>
      <c r="D297" t="s">
        <v>70</v>
      </c>
      <c r="E297" s="1">
        <v>120</v>
      </c>
      <c r="F297" s="1">
        <v>400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2.75">
      <c r="B298" t="s">
        <v>193</v>
      </c>
      <c r="C298" t="s">
        <v>337</v>
      </c>
      <c r="D298" t="s">
        <v>70</v>
      </c>
      <c r="E298" s="1">
        <v>564</v>
      </c>
      <c r="F298" s="1">
        <v>2712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2.75">
      <c r="B299" t="s">
        <v>193</v>
      </c>
      <c r="C299" t="s">
        <v>338</v>
      </c>
      <c r="D299" t="s">
        <v>70</v>
      </c>
      <c r="E299" s="1">
        <v>564</v>
      </c>
      <c r="F299" s="1">
        <v>2712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2.75">
      <c r="B300" t="s">
        <v>193</v>
      </c>
      <c r="C300" t="s">
        <v>339</v>
      </c>
      <c r="D300" t="s">
        <v>70</v>
      </c>
      <c r="E300" s="1">
        <v>564</v>
      </c>
      <c r="F300" s="1">
        <v>2712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2.75">
      <c r="B301" t="s">
        <v>202</v>
      </c>
      <c r="C301" t="s">
        <v>340</v>
      </c>
      <c r="D301" t="s">
        <v>70</v>
      </c>
      <c r="E301" s="1">
        <v>120</v>
      </c>
      <c r="F301" s="1">
        <v>400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2.75">
      <c r="B302" t="s">
        <v>202</v>
      </c>
      <c r="C302" t="s">
        <v>341</v>
      </c>
      <c r="D302" t="s">
        <v>70</v>
      </c>
      <c r="E302" s="1">
        <v>120</v>
      </c>
      <c r="F302" s="1">
        <v>400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2.75">
      <c r="B303" t="s">
        <v>202</v>
      </c>
      <c r="C303" t="s">
        <v>342</v>
      </c>
      <c r="D303" t="s">
        <v>70</v>
      </c>
      <c r="E303" s="1">
        <v>120</v>
      </c>
      <c r="F303" s="1">
        <v>400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2.75">
      <c r="B304" t="s">
        <v>202</v>
      </c>
      <c r="C304" t="s">
        <v>343</v>
      </c>
      <c r="D304" t="s">
        <v>70</v>
      </c>
      <c r="E304" s="1">
        <v>120</v>
      </c>
      <c r="F304" s="1">
        <v>400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2.75">
      <c r="B305" t="s">
        <v>202</v>
      </c>
      <c r="C305" t="s">
        <v>344</v>
      </c>
      <c r="D305" t="s">
        <v>70</v>
      </c>
      <c r="E305" s="1">
        <v>120</v>
      </c>
      <c r="F305" s="1">
        <v>400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2.75">
      <c r="B306" t="s">
        <v>202</v>
      </c>
      <c r="C306" t="s">
        <v>345</v>
      </c>
      <c r="D306" t="s">
        <v>70</v>
      </c>
      <c r="E306" s="1">
        <v>120</v>
      </c>
      <c r="F306" s="1">
        <v>400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2.75">
      <c r="B307" t="s">
        <v>202</v>
      </c>
      <c r="C307" t="s">
        <v>346</v>
      </c>
      <c r="D307" t="s">
        <v>70</v>
      </c>
      <c r="E307" s="1">
        <v>120</v>
      </c>
      <c r="F307" s="1">
        <v>400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2.75">
      <c r="B308" t="s">
        <v>202</v>
      </c>
      <c r="C308" t="s">
        <v>347</v>
      </c>
      <c r="D308" t="s">
        <v>70</v>
      </c>
      <c r="E308" s="1">
        <v>120</v>
      </c>
      <c r="F308" s="1">
        <v>400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2.75">
      <c r="B309" t="s">
        <v>202</v>
      </c>
      <c r="C309" t="s">
        <v>348</v>
      </c>
      <c r="D309" t="s">
        <v>70</v>
      </c>
      <c r="E309" s="1">
        <v>120</v>
      </c>
      <c r="F309" s="1">
        <v>400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2.75">
      <c r="B310" t="s">
        <v>202</v>
      </c>
      <c r="C310" t="s">
        <v>349</v>
      </c>
      <c r="D310" t="s">
        <v>70</v>
      </c>
      <c r="E310" s="1">
        <v>120</v>
      </c>
      <c r="F310" s="1">
        <v>400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2.75">
      <c r="B311" t="s">
        <v>202</v>
      </c>
      <c r="C311" t="s">
        <v>350</v>
      </c>
      <c r="D311" t="s">
        <v>70</v>
      </c>
      <c r="E311" s="1">
        <v>120</v>
      </c>
      <c r="F311" s="1">
        <v>400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2.75">
      <c r="B312" t="s">
        <v>202</v>
      </c>
      <c r="C312" t="s">
        <v>351</v>
      </c>
      <c r="D312" t="s">
        <v>70</v>
      </c>
      <c r="E312" s="1">
        <v>120</v>
      </c>
      <c r="F312" s="1">
        <v>400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2.75">
      <c r="B313" t="s">
        <v>202</v>
      </c>
      <c r="C313" t="s">
        <v>352</v>
      </c>
      <c r="D313" t="s">
        <v>70</v>
      </c>
      <c r="E313" s="1">
        <v>120</v>
      </c>
      <c r="F313" s="1">
        <v>400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2.75">
      <c r="B314" t="s">
        <v>202</v>
      </c>
      <c r="C314" t="s">
        <v>353</v>
      </c>
      <c r="D314" t="s">
        <v>70</v>
      </c>
      <c r="E314" s="1">
        <v>120</v>
      </c>
      <c r="F314" s="1">
        <v>400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2.75">
      <c r="B315" t="s">
        <v>202</v>
      </c>
      <c r="C315" t="s">
        <v>354</v>
      </c>
      <c r="D315" t="s">
        <v>70</v>
      </c>
      <c r="E315" s="1">
        <v>120</v>
      </c>
      <c r="F315" s="1">
        <v>400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2.75">
      <c r="B316" t="s">
        <v>202</v>
      </c>
      <c r="C316" t="s">
        <v>355</v>
      </c>
      <c r="D316" t="s">
        <v>70</v>
      </c>
      <c r="E316" s="1">
        <v>120</v>
      </c>
      <c r="F316" s="1">
        <v>400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2.75">
      <c r="B317" t="s">
        <v>202</v>
      </c>
      <c r="C317" t="s">
        <v>356</v>
      </c>
      <c r="D317" t="s">
        <v>70</v>
      </c>
      <c r="E317" s="1">
        <v>120</v>
      </c>
      <c r="F317" s="1">
        <v>400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2.75">
      <c r="B318" t="s">
        <v>202</v>
      </c>
      <c r="C318" t="s">
        <v>357</v>
      </c>
      <c r="D318" t="s">
        <v>70</v>
      </c>
      <c r="E318" s="1">
        <v>120</v>
      </c>
      <c r="F318" s="1">
        <v>400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2.75">
      <c r="B319" t="s">
        <v>202</v>
      </c>
      <c r="C319" t="s">
        <v>358</v>
      </c>
      <c r="D319" t="s">
        <v>70</v>
      </c>
      <c r="E319" s="1">
        <v>120</v>
      </c>
      <c r="F319" s="1">
        <v>400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2.75">
      <c r="B320" t="s">
        <v>202</v>
      </c>
      <c r="C320" t="s">
        <v>359</v>
      </c>
      <c r="D320" t="s">
        <v>70</v>
      </c>
      <c r="E320" s="1">
        <v>120</v>
      </c>
      <c r="F320" s="1">
        <v>400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2.75">
      <c r="B321" t="s">
        <v>202</v>
      </c>
      <c r="C321" t="s">
        <v>360</v>
      </c>
      <c r="D321" t="s">
        <v>70</v>
      </c>
      <c r="E321" s="1">
        <v>120</v>
      </c>
      <c r="F321" s="1">
        <v>400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2.75">
      <c r="B322" t="s">
        <v>202</v>
      </c>
      <c r="C322" t="s">
        <v>361</v>
      </c>
      <c r="D322" t="s">
        <v>70</v>
      </c>
      <c r="E322" s="1">
        <v>120</v>
      </c>
      <c r="F322" s="1">
        <v>400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2.75">
      <c r="B323" t="s">
        <v>202</v>
      </c>
      <c r="C323" t="s">
        <v>362</v>
      </c>
      <c r="D323" t="s">
        <v>70</v>
      </c>
      <c r="E323" s="1">
        <v>120</v>
      </c>
      <c r="F323" s="1">
        <v>400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2.75">
      <c r="B324" t="s">
        <v>202</v>
      </c>
      <c r="C324" t="s">
        <v>363</v>
      </c>
      <c r="D324" t="s">
        <v>70</v>
      </c>
      <c r="E324" s="1">
        <v>120</v>
      </c>
      <c r="F324" s="1">
        <v>400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8" ht="12.75">
      <c r="B325" t="s">
        <v>169</v>
      </c>
      <c r="C325" t="s">
        <v>364</v>
      </c>
      <c r="D325" t="s">
        <v>70</v>
      </c>
      <c r="E325" s="1">
        <v>446</v>
      </c>
      <c r="F325" s="1">
        <v>1254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2:16" ht="12.75">
      <c r="B326" t="s">
        <v>202</v>
      </c>
      <c r="C326" t="s">
        <v>365</v>
      </c>
      <c r="D326" t="s">
        <v>70</v>
      </c>
      <c r="E326" s="1">
        <v>120</v>
      </c>
      <c r="F326" s="1">
        <v>400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2.75">
      <c r="B327" t="s">
        <v>202</v>
      </c>
      <c r="C327" t="s">
        <v>366</v>
      </c>
      <c r="D327" t="s">
        <v>70</v>
      </c>
      <c r="E327" s="1">
        <v>120</v>
      </c>
      <c r="F327" s="1">
        <v>400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2.75">
      <c r="B328" t="s">
        <v>202</v>
      </c>
      <c r="C328" t="s">
        <v>367</v>
      </c>
      <c r="D328" t="s">
        <v>70</v>
      </c>
      <c r="E328" s="1">
        <v>120</v>
      </c>
      <c r="F328" s="1">
        <v>400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2.75">
      <c r="B329" t="s">
        <v>202</v>
      </c>
      <c r="C329" t="s">
        <v>368</v>
      </c>
      <c r="D329" t="s">
        <v>70</v>
      </c>
      <c r="E329" s="1">
        <v>120</v>
      </c>
      <c r="F329" s="1">
        <v>400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2.75">
      <c r="B330" t="s">
        <v>202</v>
      </c>
      <c r="C330" t="s">
        <v>369</v>
      </c>
      <c r="D330" t="s">
        <v>70</v>
      </c>
      <c r="E330" s="1">
        <v>120</v>
      </c>
      <c r="F330" s="1">
        <v>400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2.75">
      <c r="B331" t="s">
        <v>193</v>
      </c>
      <c r="C331" t="s">
        <v>370</v>
      </c>
      <c r="D331" t="s">
        <v>70</v>
      </c>
      <c r="E331" s="1">
        <v>564</v>
      </c>
      <c r="F331" s="1">
        <v>2712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2.75">
      <c r="B332" t="s">
        <v>193</v>
      </c>
      <c r="C332" t="s">
        <v>371</v>
      </c>
      <c r="D332" t="s">
        <v>70</v>
      </c>
      <c r="E332" s="1">
        <v>564</v>
      </c>
      <c r="F332" s="1">
        <v>2712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2.75">
      <c r="B333" t="s">
        <v>202</v>
      </c>
      <c r="C333" t="s">
        <v>372</v>
      </c>
      <c r="D333" t="s">
        <v>70</v>
      </c>
      <c r="E333" s="1">
        <v>120</v>
      </c>
      <c r="F333" s="1">
        <v>400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2.75">
      <c r="B334" t="s">
        <v>193</v>
      </c>
      <c r="C334" t="s">
        <v>373</v>
      </c>
      <c r="D334" t="s">
        <v>70</v>
      </c>
      <c r="E334" s="1">
        <v>564</v>
      </c>
      <c r="F334" s="1">
        <v>2712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2.75">
      <c r="B335" t="s">
        <v>193</v>
      </c>
      <c r="C335" t="s">
        <v>374</v>
      </c>
      <c r="D335" t="s">
        <v>70</v>
      </c>
      <c r="E335" s="1">
        <v>564</v>
      </c>
      <c r="F335" s="1">
        <v>2712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2.75">
      <c r="B336" t="s">
        <v>193</v>
      </c>
      <c r="C336" t="s">
        <v>375</v>
      </c>
      <c r="D336" t="s">
        <v>70</v>
      </c>
      <c r="E336" s="1">
        <v>564</v>
      </c>
      <c r="F336" s="1">
        <v>2712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2.75">
      <c r="B337" t="s">
        <v>193</v>
      </c>
      <c r="C337" t="s">
        <v>376</v>
      </c>
      <c r="D337" t="s">
        <v>70</v>
      </c>
      <c r="E337" s="1">
        <v>564</v>
      </c>
      <c r="F337" s="1">
        <v>2712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2.75">
      <c r="B338" t="s">
        <v>202</v>
      </c>
      <c r="C338" t="s">
        <v>377</v>
      </c>
      <c r="D338" t="s">
        <v>70</v>
      </c>
      <c r="E338" s="1">
        <v>120</v>
      </c>
      <c r="F338" s="1">
        <v>400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>
      <c r="A339" t="s">
        <v>43</v>
      </c>
      <c r="B339" t="s">
        <v>202</v>
      </c>
      <c r="C339" t="s">
        <v>378</v>
      </c>
      <c r="D339" t="s">
        <v>70</v>
      </c>
      <c r="E339" s="1">
        <v>120</v>
      </c>
      <c r="F339" s="1">
        <v>400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2.75">
      <c r="B340" t="s">
        <v>193</v>
      </c>
      <c r="C340" t="s">
        <v>379</v>
      </c>
      <c r="D340" t="s">
        <v>70</v>
      </c>
      <c r="E340" s="1">
        <v>564</v>
      </c>
      <c r="F340" s="1">
        <v>2712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2.75">
      <c r="B341" t="s">
        <v>193</v>
      </c>
      <c r="C341" t="s">
        <v>380</v>
      </c>
      <c r="D341" t="s">
        <v>70</v>
      </c>
      <c r="E341" s="1">
        <v>564</v>
      </c>
      <c r="F341" s="1">
        <v>2712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12.75">
      <c r="B342" t="s">
        <v>193</v>
      </c>
      <c r="C342" t="s">
        <v>381</v>
      </c>
      <c r="D342" t="s">
        <v>70</v>
      </c>
      <c r="E342" s="1">
        <v>564</v>
      </c>
      <c r="F342" s="1">
        <v>2712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2.75">
      <c r="B343" t="s">
        <v>193</v>
      </c>
      <c r="C343" t="s">
        <v>382</v>
      </c>
      <c r="D343" t="s">
        <v>70</v>
      </c>
      <c r="E343" s="1">
        <v>564</v>
      </c>
      <c r="F343" s="1">
        <v>2712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2.75">
      <c r="B344" t="s">
        <v>202</v>
      </c>
      <c r="C344" t="s">
        <v>383</v>
      </c>
      <c r="D344" t="s">
        <v>70</v>
      </c>
      <c r="E344" s="1">
        <v>120</v>
      </c>
      <c r="F344" s="1">
        <v>400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2.75">
      <c r="B345" t="s">
        <v>202</v>
      </c>
      <c r="C345" t="s">
        <v>384</v>
      </c>
      <c r="D345" t="s">
        <v>70</v>
      </c>
      <c r="E345" s="1">
        <v>120</v>
      </c>
      <c r="F345" s="1">
        <v>400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2.75">
      <c r="B346" t="s">
        <v>202</v>
      </c>
      <c r="C346" t="s">
        <v>385</v>
      </c>
      <c r="D346" t="s">
        <v>70</v>
      </c>
      <c r="E346" s="1">
        <v>120</v>
      </c>
      <c r="F346" s="1">
        <v>400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2.75">
      <c r="B347" t="s">
        <v>202</v>
      </c>
      <c r="C347" t="s">
        <v>386</v>
      </c>
      <c r="D347" t="s">
        <v>70</v>
      </c>
      <c r="E347" s="1">
        <v>120</v>
      </c>
      <c r="F347" s="1">
        <v>400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2.75">
      <c r="B348" t="s">
        <v>202</v>
      </c>
      <c r="C348" t="s">
        <v>387</v>
      </c>
      <c r="D348" t="s">
        <v>70</v>
      </c>
      <c r="E348" s="1">
        <v>120</v>
      </c>
      <c r="F348" s="1">
        <v>400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2.75">
      <c r="B349" t="s">
        <v>202</v>
      </c>
      <c r="C349" t="s">
        <v>388</v>
      </c>
      <c r="D349" t="s">
        <v>70</v>
      </c>
      <c r="E349" s="1">
        <v>120</v>
      </c>
      <c r="F349" s="1">
        <v>400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12.75">
      <c r="B350" t="s">
        <v>202</v>
      </c>
      <c r="C350" t="s">
        <v>389</v>
      </c>
      <c r="D350" t="s">
        <v>70</v>
      </c>
      <c r="E350" s="1">
        <v>120</v>
      </c>
      <c r="F350" s="1">
        <v>400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12.75">
      <c r="B351" t="s">
        <v>202</v>
      </c>
      <c r="C351" t="s">
        <v>390</v>
      </c>
      <c r="D351" t="s">
        <v>70</v>
      </c>
      <c r="E351" s="1">
        <v>120</v>
      </c>
      <c r="F351" s="1">
        <v>400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12.75">
      <c r="B352" t="s">
        <v>202</v>
      </c>
      <c r="C352" t="s">
        <v>391</v>
      </c>
      <c r="D352" t="s">
        <v>70</v>
      </c>
      <c r="E352" s="1">
        <v>120</v>
      </c>
      <c r="F352" s="1">
        <v>400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12.75">
      <c r="B353" t="s">
        <v>202</v>
      </c>
      <c r="C353" t="s">
        <v>392</v>
      </c>
      <c r="D353" t="s">
        <v>70</v>
      </c>
      <c r="E353" s="1">
        <v>120</v>
      </c>
      <c r="F353" s="1">
        <v>400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12.75">
      <c r="B354" t="s">
        <v>202</v>
      </c>
      <c r="C354" t="s">
        <v>393</v>
      </c>
      <c r="D354" t="s">
        <v>70</v>
      </c>
      <c r="E354" s="1">
        <v>120</v>
      </c>
      <c r="F354" s="1">
        <v>400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12.75">
      <c r="B355" t="s">
        <v>202</v>
      </c>
      <c r="C355" t="s">
        <v>394</v>
      </c>
      <c r="D355" t="s">
        <v>70</v>
      </c>
      <c r="E355" s="1">
        <v>120</v>
      </c>
      <c r="F355" s="1">
        <v>400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12.75">
      <c r="B356" t="s">
        <v>202</v>
      </c>
      <c r="C356" t="s">
        <v>395</v>
      </c>
      <c r="D356" t="s">
        <v>70</v>
      </c>
      <c r="E356" s="1">
        <v>120</v>
      </c>
      <c r="F356" s="1">
        <v>400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12.75">
      <c r="B357" t="s">
        <v>202</v>
      </c>
      <c r="C357" t="s">
        <v>396</v>
      </c>
      <c r="D357" t="s">
        <v>70</v>
      </c>
      <c r="E357" s="1">
        <v>120</v>
      </c>
      <c r="F357" s="1">
        <v>400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12.75">
      <c r="B358" t="s">
        <v>202</v>
      </c>
      <c r="C358" t="s">
        <v>397</v>
      </c>
      <c r="D358" t="s">
        <v>70</v>
      </c>
      <c r="E358" s="1">
        <v>120</v>
      </c>
      <c r="F358" s="1">
        <v>400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8" ht="12.75">
      <c r="B359" t="s">
        <v>169</v>
      </c>
      <c r="C359" t="s">
        <v>398</v>
      </c>
      <c r="D359" t="s">
        <v>70</v>
      </c>
      <c r="E359" s="1">
        <v>446</v>
      </c>
      <c r="F359" s="1">
        <v>1254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2:24" ht="12.75">
      <c r="B360" t="s">
        <v>155</v>
      </c>
      <c r="C360" t="s">
        <v>399</v>
      </c>
      <c r="D360" t="s">
        <v>70</v>
      </c>
      <c r="E360" s="1">
        <v>174</v>
      </c>
      <c r="F360" s="1">
        <v>786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U360" s="1"/>
      <c r="V360" s="1"/>
      <c r="W360" s="1"/>
      <c r="X360" s="1"/>
    </row>
    <row r="361" spans="2:24" ht="12.75">
      <c r="B361" t="s">
        <v>169</v>
      </c>
      <c r="C361" t="s">
        <v>400</v>
      </c>
      <c r="D361" t="s">
        <v>70</v>
      </c>
      <c r="E361" s="1">
        <v>453</v>
      </c>
      <c r="F361" s="1">
        <v>1262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U361" s="1"/>
      <c r="V361" s="1"/>
      <c r="W361" s="1"/>
      <c r="X361" s="1"/>
    </row>
    <row r="362" spans="2:24" ht="12.75">
      <c r="B362" t="s">
        <v>44</v>
      </c>
      <c r="C362" t="s">
        <v>401</v>
      </c>
      <c r="D362" t="s">
        <v>70</v>
      </c>
      <c r="E362" s="1">
        <v>450</v>
      </c>
      <c r="F362" s="1">
        <v>900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U362" s="1"/>
      <c r="V362" s="1"/>
      <c r="W362" s="1"/>
      <c r="X362" s="1"/>
    </row>
    <row r="363" spans="2:24" ht="12.75">
      <c r="B363" t="s">
        <v>137</v>
      </c>
      <c r="C363" t="s">
        <v>402</v>
      </c>
      <c r="D363" t="s">
        <v>70</v>
      </c>
      <c r="E363" s="1">
        <v>896</v>
      </c>
      <c r="F363" s="1">
        <v>3840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U363" s="1"/>
      <c r="V363" s="1"/>
      <c r="W363" s="1"/>
      <c r="X363" s="1"/>
    </row>
    <row r="364" spans="2:24" ht="12.75">
      <c r="B364" t="s">
        <v>137</v>
      </c>
      <c r="C364" t="s">
        <v>403</v>
      </c>
      <c r="D364" t="s">
        <v>70</v>
      </c>
      <c r="E364" s="1">
        <v>920</v>
      </c>
      <c r="F364" s="1">
        <v>2264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U364" s="1"/>
      <c r="V364" s="1"/>
      <c r="W364" s="1"/>
      <c r="X364" s="1"/>
    </row>
    <row r="365" spans="2:24" ht="12.75">
      <c r="B365" t="s">
        <v>137</v>
      </c>
      <c r="C365" t="s">
        <v>404</v>
      </c>
      <c r="D365" t="s">
        <v>70</v>
      </c>
      <c r="E365" s="1">
        <v>990</v>
      </c>
      <c r="F365" s="1">
        <v>4050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U365" s="1"/>
      <c r="V365" s="1"/>
      <c r="W365" s="1"/>
      <c r="X365" s="1"/>
    </row>
    <row r="366" spans="2:24" ht="12.75">
      <c r="B366" t="s">
        <v>137</v>
      </c>
      <c r="C366" t="s">
        <v>405</v>
      </c>
      <c r="D366" t="s">
        <v>70</v>
      </c>
      <c r="E366" s="1">
        <v>1050</v>
      </c>
      <c r="F366" s="1">
        <v>2700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U366" s="1"/>
      <c r="V366" s="1"/>
      <c r="W366" s="1"/>
      <c r="X366" s="1"/>
    </row>
    <row r="367" spans="2:24" ht="12.75">
      <c r="B367" t="s">
        <v>44</v>
      </c>
      <c r="C367" t="s">
        <v>406</v>
      </c>
      <c r="D367" t="s">
        <v>70</v>
      </c>
      <c r="E367" s="1">
        <v>450</v>
      </c>
      <c r="F367" s="1">
        <v>900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U367" s="1"/>
      <c r="V367" s="1"/>
      <c r="W367" s="1"/>
      <c r="X367" s="1"/>
    </row>
    <row r="368" spans="1:16" ht="12.75">
      <c r="A368" t="s">
        <v>43</v>
      </c>
      <c r="B368" t="s">
        <v>44</v>
      </c>
      <c r="C368" t="s">
        <v>407</v>
      </c>
      <c r="D368" t="s">
        <v>70</v>
      </c>
      <c r="E368" s="1">
        <v>450</v>
      </c>
      <c r="F368" s="1">
        <v>900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8" ht="12.75">
      <c r="B369" t="s">
        <v>169</v>
      </c>
      <c r="C369" t="s">
        <v>408</v>
      </c>
      <c r="D369" t="s">
        <v>70</v>
      </c>
      <c r="E369" s="1">
        <v>463</v>
      </c>
      <c r="F369" s="1">
        <v>1271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2:16" ht="12.75">
      <c r="B370" t="s">
        <v>44</v>
      </c>
      <c r="C370" t="s">
        <v>409</v>
      </c>
      <c r="D370" t="s">
        <v>70</v>
      </c>
      <c r="E370" s="1">
        <v>450</v>
      </c>
      <c r="F370" s="1">
        <v>900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12.75">
      <c r="B371" t="s">
        <v>137</v>
      </c>
      <c r="C371" t="s">
        <v>410</v>
      </c>
      <c r="D371" t="s">
        <v>70</v>
      </c>
      <c r="E371" s="1">
        <v>840</v>
      </c>
      <c r="F371" s="1">
        <v>2520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12.75">
      <c r="B372" t="s">
        <v>44</v>
      </c>
      <c r="C372" t="s">
        <v>411</v>
      </c>
      <c r="D372" t="s">
        <v>70</v>
      </c>
      <c r="E372" s="1">
        <v>450</v>
      </c>
      <c r="F372" s="1">
        <v>900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12.75">
      <c r="B373" t="s">
        <v>44</v>
      </c>
      <c r="C373" t="s">
        <v>412</v>
      </c>
      <c r="D373" t="s">
        <v>70</v>
      </c>
      <c r="E373" s="1">
        <v>450</v>
      </c>
      <c r="F373" s="1">
        <v>900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12.75">
      <c r="B374" t="s">
        <v>44</v>
      </c>
      <c r="C374" t="s">
        <v>413</v>
      </c>
      <c r="D374" t="s">
        <v>70</v>
      </c>
      <c r="E374" s="1">
        <v>450</v>
      </c>
      <c r="F374" s="1">
        <v>900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12.75">
      <c r="B375" t="s">
        <v>44</v>
      </c>
      <c r="C375" t="s">
        <v>414</v>
      </c>
      <c r="D375" t="s">
        <v>70</v>
      </c>
      <c r="E375" s="1">
        <v>450</v>
      </c>
      <c r="F375" s="1">
        <v>900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12.75">
      <c r="B376" t="s">
        <v>44</v>
      </c>
      <c r="C376" t="s">
        <v>415</v>
      </c>
      <c r="D376" t="s">
        <v>70</v>
      </c>
      <c r="E376" s="1">
        <v>450</v>
      </c>
      <c r="F376" s="1">
        <v>900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ht="12.75">
      <c r="B377" t="s">
        <v>44</v>
      </c>
      <c r="C377" t="s">
        <v>416</v>
      </c>
      <c r="D377" t="s">
        <v>70</v>
      </c>
      <c r="E377" s="1">
        <v>450</v>
      </c>
      <c r="F377" s="1">
        <v>900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ht="12.75">
      <c r="B378" t="s">
        <v>44</v>
      </c>
      <c r="C378" t="s">
        <v>417</v>
      </c>
      <c r="D378" t="s">
        <v>70</v>
      </c>
      <c r="E378" s="1">
        <v>450</v>
      </c>
      <c r="F378" s="1">
        <v>900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ht="12.75">
      <c r="B379" t="s">
        <v>137</v>
      </c>
      <c r="C379" t="s">
        <v>418</v>
      </c>
      <c r="D379" t="s">
        <v>70</v>
      </c>
      <c r="E379" s="1">
        <v>840</v>
      </c>
      <c r="F379" s="1">
        <v>3360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ht="12.75">
      <c r="B380" t="s">
        <v>137</v>
      </c>
      <c r="C380" t="s">
        <v>419</v>
      </c>
      <c r="D380" t="s">
        <v>70</v>
      </c>
      <c r="E380" s="1">
        <v>840</v>
      </c>
      <c r="F380" s="1">
        <v>3360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ht="12.75">
      <c r="B381" t="s">
        <v>77</v>
      </c>
      <c r="C381" t="s">
        <v>420</v>
      </c>
      <c r="D381" t="s">
        <v>70</v>
      </c>
      <c r="E381" s="1">
        <v>652</v>
      </c>
      <c r="F381" s="1">
        <v>1128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ht="12.75">
      <c r="B382" t="s">
        <v>137</v>
      </c>
      <c r="C382" t="s">
        <v>421</v>
      </c>
      <c r="D382" t="s">
        <v>70</v>
      </c>
      <c r="E382" s="1">
        <v>480</v>
      </c>
      <c r="F382" s="1">
        <v>2840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ht="12.75">
      <c r="B383" t="s">
        <v>149</v>
      </c>
      <c r="C383" t="s">
        <v>422</v>
      </c>
      <c r="D383" t="s">
        <v>70</v>
      </c>
      <c r="E383" s="1">
        <v>500</v>
      </c>
      <c r="F383" s="1">
        <v>1100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ht="12.75">
      <c r="B384" t="s">
        <v>149</v>
      </c>
      <c r="C384" t="s">
        <v>423</v>
      </c>
      <c r="D384" t="s">
        <v>70</v>
      </c>
      <c r="E384" s="1">
        <v>500</v>
      </c>
      <c r="F384" s="1">
        <v>1300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12.75">
      <c r="B385" t="s">
        <v>149</v>
      </c>
      <c r="C385" t="s">
        <v>424</v>
      </c>
      <c r="D385" t="s">
        <v>70</v>
      </c>
      <c r="E385" s="1">
        <v>500</v>
      </c>
      <c r="F385" s="1">
        <v>1160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12.75">
      <c r="B386" t="s">
        <v>149</v>
      </c>
      <c r="C386" t="s">
        <v>425</v>
      </c>
      <c r="D386" t="s">
        <v>70</v>
      </c>
      <c r="E386" s="1">
        <v>550</v>
      </c>
      <c r="F386" s="1">
        <v>1540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12.75">
      <c r="B387" t="s">
        <v>149</v>
      </c>
      <c r="C387" t="s">
        <v>426</v>
      </c>
      <c r="D387" t="s">
        <v>70</v>
      </c>
      <c r="E387" s="1">
        <v>550</v>
      </c>
      <c r="F387" s="1">
        <v>1190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12.75">
      <c r="B388" t="s">
        <v>149</v>
      </c>
      <c r="C388" t="s">
        <v>427</v>
      </c>
      <c r="D388" t="s">
        <v>70</v>
      </c>
      <c r="E388" s="1">
        <v>630</v>
      </c>
      <c r="F388" s="1">
        <v>1230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12.75">
      <c r="B389" t="s">
        <v>44</v>
      </c>
      <c r="C389" t="s">
        <v>428</v>
      </c>
      <c r="D389" t="s">
        <v>70</v>
      </c>
      <c r="E389" s="1">
        <v>450</v>
      </c>
      <c r="F389" s="1">
        <v>900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12.75">
      <c r="B390" t="s">
        <v>137</v>
      </c>
      <c r="C390" t="s">
        <v>429</v>
      </c>
      <c r="D390" t="s">
        <v>70</v>
      </c>
      <c r="E390" s="1">
        <v>690</v>
      </c>
      <c r="F390" s="1">
        <v>3240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12.75">
      <c r="B391" t="s">
        <v>137</v>
      </c>
      <c r="C391" t="s">
        <v>430</v>
      </c>
      <c r="D391" t="s">
        <v>70</v>
      </c>
      <c r="E391" s="1">
        <v>832</v>
      </c>
      <c r="F391" s="1">
        <v>2400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12.75">
      <c r="B392" t="s">
        <v>137</v>
      </c>
      <c r="C392" t="s">
        <v>431</v>
      </c>
      <c r="D392" t="s">
        <v>70</v>
      </c>
      <c r="E392" s="1">
        <v>690</v>
      </c>
      <c r="F392" s="1">
        <v>2760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12.75">
      <c r="B393" t="s">
        <v>137</v>
      </c>
      <c r="C393" t="s">
        <v>432</v>
      </c>
      <c r="D393" t="s">
        <v>70</v>
      </c>
      <c r="E393" s="1">
        <v>780</v>
      </c>
      <c r="F393" s="1">
        <v>3090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12.75">
      <c r="B394" t="s">
        <v>137</v>
      </c>
      <c r="C394" t="s">
        <v>433</v>
      </c>
      <c r="D394" t="s">
        <v>70</v>
      </c>
      <c r="E394" s="1">
        <v>780</v>
      </c>
      <c r="F394" s="1">
        <v>2940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12.75">
      <c r="B395" t="s">
        <v>137</v>
      </c>
      <c r="C395" t="s">
        <v>434</v>
      </c>
      <c r="D395" t="s">
        <v>70</v>
      </c>
      <c r="E395" s="1">
        <v>792</v>
      </c>
      <c r="F395" s="1">
        <v>2754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12.75">
      <c r="B396" t="s">
        <v>137</v>
      </c>
      <c r="C396" t="s">
        <v>435</v>
      </c>
      <c r="D396" t="s">
        <v>70</v>
      </c>
      <c r="E396" s="1">
        <v>792</v>
      </c>
      <c r="F396" s="1">
        <v>2754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12.75">
      <c r="B397" t="s">
        <v>137</v>
      </c>
      <c r="C397" t="s">
        <v>436</v>
      </c>
      <c r="D397" t="s">
        <v>70</v>
      </c>
      <c r="E397" s="1">
        <v>792</v>
      </c>
      <c r="F397" s="1">
        <v>2754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12.75">
      <c r="B398" t="s">
        <v>137</v>
      </c>
      <c r="C398" t="s">
        <v>437</v>
      </c>
      <c r="D398" t="s">
        <v>70</v>
      </c>
      <c r="E398" s="1">
        <v>810</v>
      </c>
      <c r="F398" s="1">
        <v>2430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12.75">
      <c r="B399" t="s">
        <v>44</v>
      </c>
      <c r="C399" t="s">
        <v>438</v>
      </c>
      <c r="D399" t="s">
        <v>70</v>
      </c>
      <c r="E399" s="1">
        <v>450</v>
      </c>
      <c r="F399" s="1">
        <v>900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12.75">
      <c r="B400" t="s">
        <v>77</v>
      </c>
      <c r="C400" t="s">
        <v>439</v>
      </c>
      <c r="D400" t="s">
        <v>70</v>
      </c>
      <c r="E400" s="1">
        <v>624</v>
      </c>
      <c r="F400" s="1">
        <v>960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>
      <c r="A401" t="s">
        <v>43</v>
      </c>
      <c r="B401" t="s">
        <v>77</v>
      </c>
      <c r="C401" t="s">
        <v>440</v>
      </c>
      <c r="D401" t="s">
        <v>70</v>
      </c>
      <c r="E401" s="1">
        <v>630</v>
      </c>
      <c r="F401" s="1">
        <v>900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12.75">
      <c r="B402" t="s">
        <v>87</v>
      </c>
      <c r="C402" t="s">
        <v>441</v>
      </c>
      <c r="D402" t="s">
        <v>70</v>
      </c>
      <c r="E402" s="1">
        <f>18.5*30</f>
        <v>555</v>
      </c>
      <c r="F402" s="1">
        <f>40.5*30</f>
        <v>1215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12.75">
      <c r="B403" t="s">
        <v>87</v>
      </c>
      <c r="C403" t="s">
        <v>442</v>
      </c>
      <c r="D403" t="s">
        <v>70</v>
      </c>
      <c r="E403" s="1">
        <f>18*30</f>
        <v>540</v>
      </c>
      <c r="F403" s="1">
        <f>38*30</f>
        <v>1140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12.75">
      <c r="B404" t="s">
        <v>97</v>
      </c>
      <c r="C404" t="s">
        <v>443</v>
      </c>
      <c r="D404" t="s">
        <v>70</v>
      </c>
      <c r="E404" s="1">
        <v>861</v>
      </c>
      <c r="F404" s="1">
        <v>2370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12.75">
      <c r="B405" t="s">
        <v>87</v>
      </c>
      <c r="C405" t="s">
        <v>444</v>
      </c>
      <c r="D405" t="s">
        <v>70</v>
      </c>
      <c r="E405" s="1">
        <f>16.55*30</f>
        <v>496.5</v>
      </c>
      <c r="F405" s="1">
        <f>36.55*30</f>
        <v>1096.5000000000002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12.75">
      <c r="B406" t="s">
        <v>87</v>
      </c>
      <c r="C406" t="s">
        <v>445</v>
      </c>
      <c r="D406" t="s">
        <v>70</v>
      </c>
      <c r="E406" s="1">
        <f>17*30</f>
        <v>510</v>
      </c>
      <c r="F406" s="1">
        <f>35*30</f>
        <v>1050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12.75">
      <c r="B407" t="s">
        <v>87</v>
      </c>
      <c r="C407" t="s">
        <v>446</v>
      </c>
      <c r="D407" t="s">
        <v>70</v>
      </c>
      <c r="E407" s="1">
        <f>17.15*30</f>
        <v>514.5000000000001</v>
      </c>
      <c r="F407" s="1">
        <f>36.25*30</f>
        <v>1087.5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12.75">
      <c r="B408" t="s">
        <v>87</v>
      </c>
      <c r="C408" t="s">
        <v>447</v>
      </c>
      <c r="D408" t="s">
        <v>70</v>
      </c>
      <c r="E408" s="1">
        <f>17.5*30</f>
        <v>525</v>
      </c>
      <c r="F408" s="1">
        <f>37.5*30</f>
        <v>1125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12.75">
      <c r="B409" t="s">
        <v>87</v>
      </c>
      <c r="C409" t="s">
        <v>448</v>
      </c>
      <c r="D409" t="s">
        <v>70</v>
      </c>
      <c r="E409" s="1">
        <f>18*30</f>
        <v>540</v>
      </c>
      <c r="F409" s="1">
        <f>36*30</f>
        <v>1080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ht="12.75">
      <c r="B410" t="s">
        <v>87</v>
      </c>
      <c r="C410" t="s">
        <v>449</v>
      </c>
      <c r="D410" t="s">
        <v>70</v>
      </c>
      <c r="E410" s="1">
        <f>18*30</f>
        <v>540</v>
      </c>
      <c r="F410" s="1">
        <f>39*30</f>
        <v>1170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ht="12.75">
      <c r="B411" t="s">
        <v>87</v>
      </c>
      <c r="C411" t="s">
        <v>450</v>
      </c>
      <c r="D411" t="s">
        <v>70</v>
      </c>
      <c r="E411" s="1">
        <f>18.1*30</f>
        <v>543</v>
      </c>
      <c r="F411" s="1">
        <f>37.1*30</f>
        <v>1113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ht="12.75">
      <c r="B412" t="s">
        <v>97</v>
      </c>
      <c r="C412" t="s">
        <v>451</v>
      </c>
      <c r="D412" t="s">
        <v>70</v>
      </c>
      <c r="E412" s="1">
        <v>756</v>
      </c>
      <c r="F412" s="1">
        <v>2160</v>
      </c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ht="12.75">
      <c r="B413" t="s">
        <v>87</v>
      </c>
      <c r="C413" t="s">
        <v>452</v>
      </c>
      <c r="D413" t="s">
        <v>70</v>
      </c>
      <c r="E413" s="1">
        <f>18.1*30</f>
        <v>543</v>
      </c>
      <c r="F413" s="1">
        <f>37.1*30</f>
        <v>1113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ht="12.75">
      <c r="B414" t="s">
        <v>87</v>
      </c>
      <c r="C414" t="s">
        <v>453</v>
      </c>
      <c r="D414" t="s">
        <v>70</v>
      </c>
      <c r="E414" s="1">
        <f>18.1*30</f>
        <v>543</v>
      </c>
      <c r="F414" s="1">
        <f>40.1*30</f>
        <v>1203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ht="12.75">
      <c r="B415" t="s">
        <v>87</v>
      </c>
      <c r="C415" t="s">
        <v>454</v>
      </c>
      <c r="D415" t="s">
        <v>70</v>
      </c>
      <c r="E415" s="1">
        <f>18.1*30</f>
        <v>543</v>
      </c>
      <c r="F415" s="1">
        <f>37.1*30</f>
        <v>1113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ht="12.75">
      <c r="B416" t="s">
        <v>87</v>
      </c>
      <c r="C416" t="s">
        <v>455</v>
      </c>
      <c r="D416" t="s">
        <v>70</v>
      </c>
      <c r="E416" s="1">
        <f>19*30</f>
        <v>570</v>
      </c>
      <c r="F416" s="1">
        <f>41*30</f>
        <v>1230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ht="12.75">
      <c r="B417" t="s">
        <v>87</v>
      </c>
      <c r="C417" t="s">
        <v>456</v>
      </c>
      <c r="D417" t="s">
        <v>70</v>
      </c>
      <c r="E417" s="1">
        <f>19*30</f>
        <v>570</v>
      </c>
      <c r="F417" s="1">
        <f>40*30</f>
        <v>1200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ht="12.75">
      <c r="B418" t="s">
        <v>87</v>
      </c>
      <c r="C418" t="s">
        <v>457</v>
      </c>
      <c r="D418" t="s">
        <v>70</v>
      </c>
      <c r="E418" s="1">
        <f>19*30</f>
        <v>570</v>
      </c>
      <c r="F418" s="1">
        <f>41*30</f>
        <v>1230</v>
      </c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ht="12.75">
      <c r="B419" t="s">
        <v>87</v>
      </c>
      <c r="C419" t="s">
        <v>458</v>
      </c>
      <c r="D419" t="s">
        <v>70</v>
      </c>
      <c r="E419" s="1">
        <f>19*30</f>
        <v>570</v>
      </c>
      <c r="F419" s="1">
        <f>41*30</f>
        <v>1230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ht="12.75">
      <c r="B420" t="s">
        <v>97</v>
      </c>
      <c r="C420" t="s">
        <v>459</v>
      </c>
      <c r="D420" t="s">
        <v>70</v>
      </c>
      <c r="E420" s="1">
        <v>760</v>
      </c>
      <c r="F420" s="1">
        <v>2168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ht="12.75">
      <c r="B421" t="s">
        <v>97</v>
      </c>
      <c r="C421" t="s">
        <v>460</v>
      </c>
      <c r="D421" t="s">
        <v>70</v>
      </c>
      <c r="E421" s="1">
        <v>756</v>
      </c>
      <c r="F421" s="1">
        <v>2160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ht="12.75">
      <c r="B422" t="s">
        <v>77</v>
      </c>
      <c r="C422" t="s">
        <v>461</v>
      </c>
      <c r="D422" t="s">
        <v>70</v>
      </c>
      <c r="E422" s="1">
        <v>624</v>
      </c>
      <c r="F422" s="1">
        <v>936</v>
      </c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ht="12.75">
      <c r="B423" t="s">
        <v>87</v>
      </c>
      <c r="C423" t="s">
        <v>462</v>
      </c>
      <c r="D423" t="s">
        <v>70</v>
      </c>
      <c r="E423" s="1">
        <f>19.75*30</f>
        <v>592.5</v>
      </c>
      <c r="F423" s="1">
        <f>39.5*30</f>
        <v>1185</v>
      </c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ht="12.75">
      <c r="B424" t="s">
        <v>77</v>
      </c>
      <c r="C424" t="s">
        <v>463</v>
      </c>
      <c r="D424" t="s">
        <v>70</v>
      </c>
      <c r="E424" s="1">
        <v>528</v>
      </c>
      <c r="F424" s="1">
        <v>672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ht="12.75">
      <c r="B425" t="s">
        <v>77</v>
      </c>
      <c r="C425" t="s">
        <v>464</v>
      </c>
      <c r="D425" t="s">
        <v>70</v>
      </c>
      <c r="E425" s="1">
        <v>504</v>
      </c>
      <c r="F425" s="1">
        <v>624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ht="12.75">
      <c r="B426" t="s">
        <v>77</v>
      </c>
      <c r="C426" t="s">
        <v>465</v>
      </c>
      <c r="D426" t="s">
        <v>70</v>
      </c>
      <c r="E426" s="1">
        <v>500</v>
      </c>
      <c r="F426" s="1">
        <v>636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ht="12.75">
      <c r="B427" t="s">
        <v>77</v>
      </c>
      <c r="C427" t="s">
        <v>466</v>
      </c>
      <c r="D427" t="s">
        <v>70</v>
      </c>
      <c r="E427" s="1">
        <v>480</v>
      </c>
      <c r="F427" s="1">
        <v>600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>
      <c r="A428" t="s">
        <v>43</v>
      </c>
      <c r="B428" t="s">
        <v>77</v>
      </c>
      <c r="C428" t="s">
        <v>467</v>
      </c>
      <c r="D428" t="s">
        <v>70</v>
      </c>
      <c r="E428" s="1">
        <v>464</v>
      </c>
      <c r="F428" s="1">
        <v>592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ht="12.75">
      <c r="B429" t="s">
        <v>77</v>
      </c>
      <c r="C429" t="s">
        <v>468</v>
      </c>
      <c r="D429" t="s">
        <v>70</v>
      </c>
      <c r="E429" s="1">
        <v>456</v>
      </c>
      <c r="F429" s="1">
        <v>600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ht="12.75">
      <c r="B430" t="s">
        <v>87</v>
      </c>
      <c r="C430" t="s">
        <v>469</v>
      </c>
      <c r="D430" t="s">
        <v>70</v>
      </c>
      <c r="E430" s="1">
        <f>19.8*30</f>
        <v>594</v>
      </c>
      <c r="F430" s="1">
        <f>43*30</f>
        <v>1290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ht="12.75">
      <c r="B431" t="s">
        <v>87</v>
      </c>
      <c r="C431" t="s">
        <v>470</v>
      </c>
      <c r="D431" t="s">
        <v>70</v>
      </c>
      <c r="E431" s="1">
        <f>19.75*30</f>
        <v>592.5</v>
      </c>
      <c r="F431" s="1">
        <f>42.5*30</f>
        <v>1275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ht="12.75">
      <c r="B432" t="s">
        <v>87</v>
      </c>
      <c r="C432" t="s">
        <v>471</v>
      </c>
      <c r="D432" t="s">
        <v>70</v>
      </c>
      <c r="E432" s="1">
        <f>19.05*30</f>
        <v>571.5</v>
      </c>
      <c r="F432" s="1">
        <f>40.95*30</f>
        <v>1228.5</v>
      </c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12.75">
      <c r="B433" t="s">
        <v>87</v>
      </c>
      <c r="C433" t="s">
        <v>472</v>
      </c>
      <c r="D433" t="s">
        <v>70</v>
      </c>
      <c r="E433" s="1">
        <f>19.75*30</f>
        <v>592.5</v>
      </c>
      <c r="F433" s="1">
        <f>39.5*30</f>
        <v>1185</v>
      </c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12.75">
      <c r="B434" t="s">
        <v>87</v>
      </c>
      <c r="C434" t="s">
        <v>473</v>
      </c>
      <c r="D434" t="s">
        <v>70</v>
      </c>
      <c r="E434" s="1">
        <f>19.75*30</f>
        <v>592.5</v>
      </c>
      <c r="F434" s="1">
        <f>41.5*30</f>
        <v>1245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12.75">
      <c r="B435" t="s">
        <v>87</v>
      </c>
      <c r="C435" t="s">
        <v>474</v>
      </c>
      <c r="D435" t="s">
        <v>70</v>
      </c>
      <c r="E435" s="1">
        <f>19.75*30</f>
        <v>592.5</v>
      </c>
      <c r="F435" s="1">
        <f>45.25*30</f>
        <v>1357.5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ht="12.75">
      <c r="B436" t="s">
        <v>87</v>
      </c>
      <c r="C436" t="s">
        <v>279</v>
      </c>
      <c r="D436" t="s">
        <v>70</v>
      </c>
      <c r="E436" s="1">
        <f>19.5*30</f>
        <v>585</v>
      </c>
      <c r="F436" s="1">
        <f>43.5*30</f>
        <v>1305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ht="12.75">
      <c r="B437" t="s">
        <v>87</v>
      </c>
      <c r="C437" t="s">
        <v>475</v>
      </c>
      <c r="D437" t="s">
        <v>70</v>
      </c>
      <c r="E437" s="1">
        <f>19.05*30</f>
        <v>571.5</v>
      </c>
      <c r="F437" s="1">
        <f>38.1*30</f>
        <v>1143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ht="12.75">
      <c r="B438" t="s">
        <v>87</v>
      </c>
      <c r="C438" t="s">
        <v>476</v>
      </c>
      <c r="D438" t="s">
        <v>70</v>
      </c>
      <c r="E438" s="1">
        <f>19.05*30</f>
        <v>571.5</v>
      </c>
      <c r="F438" s="1">
        <f>38.1*30</f>
        <v>1143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12.75">
      <c r="B439" t="s">
        <v>87</v>
      </c>
      <c r="C439" t="s">
        <v>477</v>
      </c>
      <c r="D439" t="s">
        <v>70</v>
      </c>
      <c r="E439" s="1">
        <f>19.05*30</f>
        <v>571.5</v>
      </c>
      <c r="F439" s="1">
        <f>38.1*30</f>
        <v>1143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ht="12.75">
      <c r="B440" t="s">
        <v>149</v>
      </c>
      <c r="C440" t="s">
        <v>478</v>
      </c>
      <c r="D440" t="s">
        <v>70</v>
      </c>
      <c r="E440" s="1">
        <v>480</v>
      </c>
      <c r="F440" s="1">
        <v>1080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ht="12.75">
      <c r="B441" t="s">
        <v>149</v>
      </c>
      <c r="C441" t="s">
        <v>479</v>
      </c>
      <c r="D441" t="s">
        <v>70</v>
      </c>
      <c r="E441" s="1">
        <v>470</v>
      </c>
      <c r="F441" s="1">
        <v>1112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ht="12.75">
      <c r="B442" t="s">
        <v>149</v>
      </c>
      <c r="C442" t="s">
        <v>480</v>
      </c>
      <c r="D442" t="s">
        <v>70</v>
      </c>
      <c r="E442" s="1">
        <v>470</v>
      </c>
      <c r="F442" s="1">
        <v>960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ht="12.75">
      <c r="B443" t="s">
        <v>149</v>
      </c>
      <c r="C443" t="s">
        <v>481</v>
      </c>
      <c r="D443" t="s">
        <v>70</v>
      </c>
      <c r="E443" s="1">
        <v>450</v>
      </c>
      <c r="F443" s="1">
        <v>960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6" ht="12.75">
      <c r="B444" t="s">
        <v>155</v>
      </c>
      <c r="C444" t="s">
        <v>482</v>
      </c>
      <c r="D444" t="s">
        <v>70</v>
      </c>
      <c r="E444" s="1">
        <v>168</v>
      </c>
      <c r="F444" s="1">
        <v>780</v>
      </c>
    </row>
    <row r="445" spans="2:16" ht="12.75">
      <c r="B445" t="s">
        <v>155</v>
      </c>
      <c r="C445" t="s">
        <v>483</v>
      </c>
      <c r="D445" t="s">
        <v>70</v>
      </c>
      <c r="E445" s="1">
        <v>168</v>
      </c>
      <c r="F445" s="1">
        <v>780</v>
      </c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ht="12.75">
      <c r="B446" t="s">
        <v>155</v>
      </c>
      <c r="C446" t="s">
        <v>484</v>
      </c>
      <c r="D446" t="s">
        <v>70</v>
      </c>
      <c r="E446" s="1">
        <v>168</v>
      </c>
      <c r="F446" s="1">
        <v>780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ht="12.75">
      <c r="B447" t="s">
        <v>155</v>
      </c>
      <c r="C447" t="s">
        <v>485</v>
      </c>
      <c r="D447" t="s">
        <v>70</v>
      </c>
      <c r="E447" s="1">
        <v>168</v>
      </c>
      <c r="F447" s="1">
        <v>780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6" ht="12.75">
      <c r="B448" t="s">
        <v>155</v>
      </c>
      <c r="C448" t="s">
        <v>486</v>
      </c>
      <c r="D448" t="s">
        <v>70</v>
      </c>
      <c r="E448" s="1">
        <v>168</v>
      </c>
      <c r="F448" s="1">
        <v>780</v>
      </c>
    </row>
    <row r="449" spans="2:16" ht="12.75">
      <c r="B449" t="s">
        <v>155</v>
      </c>
      <c r="C449" t="s">
        <v>487</v>
      </c>
      <c r="D449" t="s">
        <v>70</v>
      </c>
      <c r="E449" s="1">
        <v>168</v>
      </c>
      <c r="F449" s="1">
        <v>780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6" ht="12.75">
      <c r="B450" t="s">
        <v>155</v>
      </c>
      <c r="C450" t="s">
        <v>488</v>
      </c>
      <c r="D450" t="s">
        <v>70</v>
      </c>
      <c r="E450" s="1">
        <v>168</v>
      </c>
      <c r="F450" s="1">
        <v>780</v>
      </c>
    </row>
    <row r="451" spans="2:6" ht="12.75">
      <c r="B451" t="s">
        <v>155</v>
      </c>
      <c r="C451" t="s">
        <v>489</v>
      </c>
      <c r="D451" t="s">
        <v>70</v>
      </c>
      <c r="E451" s="1">
        <v>168</v>
      </c>
      <c r="F451" s="1">
        <v>780</v>
      </c>
    </row>
    <row r="452" spans="2:6" ht="12.75">
      <c r="B452" t="s">
        <v>155</v>
      </c>
      <c r="C452" t="s">
        <v>490</v>
      </c>
      <c r="D452" t="s">
        <v>70</v>
      </c>
      <c r="E452" s="1">
        <v>168.5</v>
      </c>
      <c r="F452" s="1">
        <v>780.5</v>
      </c>
    </row>
    <row r="453" spans="2:16" ht="12.75">
      <c r="B453" t="s">
        <v>155</v>
      </c>
      <c r="C453" t="s">
        <v>491</v>
      </c>
      <c r="D453" t="s">
        <v>70</v>
      </c>
      <c r="E453" s="1">
        <v>168</v>
      </c>
      <c r="F453" s="1">
        <v>780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6" ht="12.75">
      <c r="B454" t="s">
        <v>155</v>
      </c>
      <c r="C454" t="s">
        <v>492</v>
      </c>
      <c r="D454" t="s">
        <v>70</v>
      </c>
      <c r="E454" s="1">
        <v>165</v>
      </c>
      <c r="F454" s="1">
        <v>777</v>
      </c>
    </row>
    <row r="455" spans="2:16" ht="12.75">
      <c r="B455" t="s">
        <v>155</v>
      </c>
      <c r="C455" t="s">
        <v>493</v>
      </c>
      <c r="D455" t="s">
        <v>70</v>
      </c>
      <c r="E455" s="1">
        <v>169</v>
      </c>
      <c r="F455" s="1">
        <v>781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6" ht="12.75">
      <c r="B456" t="s">
        <v>155</v>
      </c>
      <c r="C456" t="s">
        <v>494</v>
      </c>
      <c r="D456" t="s">
        <v>70</v>
      </c>
      <c r="E456" s="1">
        <v>169.75</v>
      </c>
      <c r="F456" s="1">
        <v>781.65</v>
      </c>
    </row>
    <row r="457" spans="2:6" ht="12.75">
      <c r="B457" t="s">
        <v>155</v>
      </c>
      <c r="C457" t="s">
        <v>495</v>
      </c>
      <c r="D457" t="s">
        <v>70</v>
      </c>
      <c r="E457" s="1">
        <v>170.7</v>
      </c>
      <c r="F457" s="1">
        <v>782.7</v>
      </c>
    </row>
    <row r="458" spans="2:16" ht="12.75">
      <c r="B458" t="s">
        <v>155</v>
      </c>
      <c r="C458" t="s">
        <v>496</v>
      </c>
      <c r="D458" t="s">
        <v>70</v>
      </c>
      <c r="E458" s="1">
        <v>171</v>
      </c>
      <c r="F458" s="1">
        <v>783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ht="12.75">
      <c r="B459" t="s">
        <v>155</v>
      </c>
      <c r="C459" t="s">
        <v>497</v>
      </c>
      <c r="D459" t="s">
        <v>70</v>
      </c>
      <c r="E459" s="1">
        <v>171</v>
      </c>
      <c r="F459" s="1">
        <v>783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ht="12.75">
      <c r="B460" t="s">
        <v>155</v>
      </c>
      <c r="C460" t="s">
        <v>498</v>
      </c>
      <c r="D460" t="s">
        <v>70</v>
      </c>
      <c r="E460" s="1">
        <v>171</v>
      </c>
      <c r="F460" s="1">
        <v>783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ht="12.75">
      <c r="B461" t="s">
        <v>44</v>
      </c>
      <c r="C461" t="s">
        <v>499</v>
      </c>
      <c r="D461" t="s">
        <v>70</v>
      </c>
      <c r="E461" s="1">
        <v>450</v>
      </c>
      <c r="F461" s="1">
        <v>900</v>
      </c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ht="12.75">
      <c r="B462" t="s">
        <v>155</v>
      </c>
      <c r="C462" t="s">
        <v>500</v>
      </c>
      <c r="D462" t="s">
        <v>70</v>
      </c>
      <c r="E462" s="1">
        <v>167</v>
      </c>
      <c r="F462" s="1">
        <v>779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ht="12.75">
      <c r="B463" t="s">
        <v>155</v>
      </c>
      <c r="C463" t="s">
        <v>501</v>
      </c>
      <c r="D463" t="s">
        <v>70</v>
      </c>
      <c r="E463" s="1">
        <v>165</v>
      </c>
      <c r="F463" s="1">
        <v>777</v>
      </c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ht="12.75">
      <c r="B464" t="s">
        <v>155</v>
      </c>
      <c r="C464" t="s">
        <v>502</v>
      </c>
      <c r="D464" t="s">
        <v>70</v>
      </c>
      <c r="E464" s="1">
        <v>171</v>
      </c>
      <c r="F464" s="1">
        <v>783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20" ht="12.75">
      <c r="B465" t="s">
        <v>169</v>
      </c>
      <c r="C465" t="s">
        <v>503</v>
      </c>
      <c r="D465" t="s">
        <v>70</v>
      </c>
      <c r="E465" s="1">
        <v>639</v>
      </c>
      <c r="F465" s="1">
        <v>2145</v>
      </c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2:18" ht="12.75">
      <c r="B466" t="s">
        <v>169</v>
      </c>
      <c r="C466" t="s">
        <v>504</v>
      </c>
      <c r="D466" t="s">
        <v>70</v>
      </c>
      <c r="E466" s="1">
        <v>463</v>
      </c>
      <c r="F466" s="1">
        <v>1271</v>
      </c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2:18" ht="12.75">
      <c r="B467" t="s">
        <v>169</v>
      </c>
      <c r="C467" t="s">
        <v>505</v>
      </c>
      <c r="D467" t="s">
        <v>70</v>
      </c>
      <c r="E467" s="1">
        <v>478</v>
      </c>
      <c r="F467" s="1">
        <v>1286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2:20" ht="12.75">
      <c r="B468" t="s">
        <v>169</v>
      </c>
      <c r="C468" t="s">
        <v>506</v>
      </c>
      <c r="D468" t="s">
        <v>70</v>
      </c>
      <c r="E468" s="1">
        <v>478</v>
      </c>
      <c r="F468" s="1">
        <v>1286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2:20" ht="12.75">
      <c r="B469" t="s">
        <v>169</v>
      </c>
      <c r="C469" t="s">
        <v>507</v>
      </c>
      <c r="D469" t="s">
        <v>70</v>
      </c>
      <c r="E469" s="1">
        <v>491</v>
      </c>
      <c r="F469" s="1">
        <v>1299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2:16" ht="12.75">
      <c r="B470" t="s">
        <v>44</v>
      </c>
      <c r="C470" t="s">
        <v>508</v>
      </c>
      <c r="D470" t="s">
        <v>70</v>
      </c>
      <c r="E470" s="1">
        <v>450</v>
      </c>
      <c r="F470" s="1">
        <v>900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8" ht="12.75">
      <c r="B471" t="s">
        <v>169</v>
      </c>
      <c r="C471" t="s">
        <v>509</v>
      </c>
      <c r="D471" t="s">
        <v>70</v>
      </c>
      <c r="E471" s="1">
        <v>494</v>
      </c>
      <c r="F471" s="1">
        <v>1302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2:20" ht="12.75">
      <c r="B472" t="s">
        <v>169</v>
      </c>
      <c r="C472" t="s">
        <v>510</v>
      </c>
      <c r="D472" t="s">
        <v>70</v>
      </c>
      <c r="E472" s="1">
        <v>495</v>
      </c>
      <c r="F472" s="1">
        <v>1303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2:16" ht="12.75">
      <c r="B473" t="s">
        <v>44</v>
      </c>
      <c r="C473" t="s">
        <v>511</v>
      </c>
      <c r="D473" t="s">
        <v>70</v>
      </c>
      <c r="E473" s="1">
        <v>450</v>
      </c>
      <c r="F473" s="1">
        <v>900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20" ht="12.75">
      <c r="B474" t="s">
        <v>169</v>
      </c>
      <c r="C474" t="s">
        <v>512</v>
      </c>
      <c r="D474" t="s">
        <v>70</v>
      </c>
      <c r="E474" s="1">
        <v>647</v>
      </c>
      <c r="F474" s="1">
        <v>1153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2:16" ht="12.75">
      <c r="B475" t="s">
        <v>155</v>
      </c>
      <c r="C475" t="s">
        <v>513</v>
      </c>
      <c r="D475" t="s">
        <v>70</v>
      </c>
      <c r="E475" s="1">
        <v>165</v>
      </c>
      <c r="F475" s="1">
        <v>777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ht="12.75">
      <c r="B476" t="s">
        <v>155</v>
      </c>
      <c r="C476" t="s">
        <v>514</v>
      </c>
      <c r="D476" t="s">
        <v>70</v>
      </c>
      <c r="E476" s="1">
        <v>159</v>
      </c>
      <c r="F476" s="1">
        <v>771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ht="12.75">
      <c r="B477" t="s">
        <v>155</v>
      </c>
      <c r="C477" t="s">
        <v>515</v>
      </c>
      <c r="D477" t="s">
        <v>70</v>
      </c>
      <c r="E477" s="1">
        <v>159</v>
      </c>
      <c r="F477" s="1">
        <v>771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ht="12.75">
      <c r="B478" t="s">
        <v>155</v>
      </c>
      <c r="C478" t="s">
        <v>516</v>
      </c>
      <c r="D478" t="s">
        <v>70</v>
      </c>
      <c r="E478" s="1">
        <v>159</v>
      </c>
      <c r="F478" s="1">
        <v>771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ht="12.75">
      <c r="B479" t="s">
        <v>155</v>
      </c>
      <c r="C479" t="s">
        <v>517</v>
      </c>
      <c r="D479" t="s">
        <v>70</v>
      </c>
      <c r="E479" s="1">
        <v>162</v>
      </c>
      <c r="F479" s="1">
        <v>774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ht="12.75">
      <c r="B480" t="s">
        <v>155</v>
      </c>
      <c r="C480" t="s">
        <v>518</v>
      </c>
      <c r="D480" t="s">
        <v>70</v>
      </c>
      <c r="E480" s="1">
        <v>162</v>
      </c>
      <c r="F480" s="1">
        <v>774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ht="12.75">
      <c r="B481" t="s">
        <v>155</v>
      </c>
      <c r="C481" t="s">
        <v>519</v>
      </c>
      <c r="D481" t="s">
        <v>70</v>
      </c>
      <c r="E481" s="1">
        <v>162</v>
      </c>
      <c r="F481" s="1">
        <v>774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6" ht="12.75">
      <c r="B482" t="s">
        <v>155</v>
      </c>
      <c r="C482" t="s">
        <v>520</v>
      </c>
      <c r="D482" t="s">
        <v>70</v>
      </c>
      <c r="E482" s="1">
        <v>162</v>
      </c>
      <c r="F482" s="1">
        <v>774</v>
      </c>
    </row>
    <row r="483" spans="2:6" ht="12.75">
      <c r="B483" t="s">
        <v>155</v>
      </c>
      <c r="C483" t="s">
        <v>521</v>
      </c>
      <c r="D483" t="s">
        <v>70</v>
      </c>
      <c r="E483" s="1">
        <v>171</v>
      </c>
      <c r="F483" s="1">
        <v>783</v>
      </c>
    </row>
    <row r="484" spans="2:16" ht="12.75">
      <c r="B484" t="s">
        <v>87</v>
      </c>
      <c r="C484" t="s">
        <v>522</v>
      </c>
      <c r="D484" t="s">
        <v>70</v>
      </c>
      <c r="E484" s="1">
        <f>19*30</f>
        <v>570</v>
      </c>
      <c r="F484" s="1">
        <f>38*30</f>
        <v>1140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ht="12.75">
      <c r="B485" t="s">
        <v>149</v>
      </c>
      <c r="C485" t="s">
        <v>523</v>
      </c>
      <c r="D485" t="s">
        <v>70</v>
      </c>
      <c r="E485" s="1">
        <v>450</v>
      </c>
      <c r="F485" s="1">
        <v>960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ht="12.75">
      <c r="B486" t="s">
        <v>155</v>
      </c>
      <c r="C486" t="s">
        <v>524</v>
      </c>
      <c r="D486" t="s">
        <v>70</v>
      </c>
      <c r="E486" s="1">
        <v>180</v>
      </c>
      <c r="F486" s="1">
        <v>792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ht="12.75">
      <c r="B487" t="s">
        <v>155</v>
      </c>
      <c r="C487" t="s">
        <v>525</v>
      </c>
      <c r="D487" t="s">
        <v>70</v>
      </c>
      <c r="E487" s="1">
        <v>180</v>
      </c>
      <c r="F487" s="1">
        <v>792</v>
      </c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ht="12.75">
      <c r="B488" t="s">
        <v>44</v>
      </c>
      <c r="C488" t="s">
        <v>526</v>
      </c>
      <c r="D488" t="s">
        <v>70</v>
      </c>
      <c r="E488" s="1">
        <v>450</v>
      </c>
      <c r="F488" s="1">
        <v>900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ht="12.75">
      <c r="B489" t="s">
        <v>44</v>
      </c>
      <c r="C489" t="s">
        <v>527</v>
      </c>
      <c r="D489" t="s">
        <v>70</v>
      </c>
      <c r="E489" s="1">
        <v>450</v>
      </c>
      <c r="F489" s="1">
        <v>900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ht="12.75">
      <c r="B490" t="s">
        <v>44</v>
      </c>
      <c r="C490" t="s">
        <v>528</v>
      </c>
      <c r="D490" t="s">
        <v>70</v>
      </c>
      <c r="E490" s="1">
        <v>450</v>
      </c>
      <c r="F490" s="1">
        <v>900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ht="12.75">
      <c r="B491" t="s">
        <v>44</v>
      </c>
      <c r="C491" t="s">
        <v>126</v>
      </c>
      <c r="D491" t="s">
        <v>70</v>
      </c>
      <c r="E491" s="1">
        <v>450</v>
      </c>
      <c r="F491" s="1">
        <v>900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ht="12.75">
      <c r="B492" t="s">
        <v>155</v>
      </c>
      <c r="C492" t="s">
        <v>529</v>
      </c>
      <c r="D492" t="s">
        <v>70</v>
      </c>
      <c r="E492" s="1">
        <v>180</v>
      </c>
      <c r="F492" s="1">
        <v>792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ht="12.75">
      <c r="B493" t="s">
        <v>155</v>
      </c>
      <c r="C493" t="s">
        <v>530</v>
      </c>
      <c r="D493" t="s">
        <v>70</v>
      </c>
      <c r="E493" s="1">
        <v>180</v>
      </c>
      <c r="F493" s="1">
        <v>792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6" ht="12.75">
      <c r="B494" t="s">
        <v>155</v>
      </c>
      <c r="C494" t="s">
        <v>531</v>
      </c>
      <c r="D494" t="s">
        <v>70</v>
      </c>
      <c r="E494" s="1">
        <v>181</v>
      </c>
      <c r="F494" s="1">
        <v>793</v>
      </c>
    </row>
    <row r="495" spans="2:16" ht="12.75">
      <c r="B495" t="s">
        <v>155</v>
      </c>
      <c r="C495" t="s">
        <v>532</v>
      </c>
      <c r="D495" t="s">
        <v>70</v>
      </c>
      <c r="E495" s="1">
        <v>180</v>
      </c>
      <c r="F495" s="1">
        <v>792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ht="12.75">
      <c r="B496" t="s">
        <v>155</v>
      </c>
      <c r="C496" t="s">
        <v>533</v>
      </c>
      <c r="D496" t="s">
        <v>70</v>
      </c>
      <c r="E496" s="1">
        <v>178.5</v>
      </c>
      <c r="F496" s="1">
        <v>790.5</v>
      </c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ht="12.75">
      <c r="B497" t="s">
        <v>155</v>
      </c>
      <c r="C497" t="s">
        <v>534</v>
      </c>
      <c r="D497" t="s">
        <v>70</v>
      </c>
      <c r="E497" s="1">
        <v>181</v>
      </c>
      <c r="F497" s="1">
        <v>793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6" ht="12.75">
      <c r="B498" t="s">
        <v>155</v>
      </c>
      <c r="C498" t="s">
        <v>535</v>
      </c>
      <c r="D498" t="s">
        <v>70</v>
      </c>
      <c r="E498" s="1">
        <v>181</v>
      </c>
      <c r="F498" s="1">
        <v>793</v>
      </c>
    </row>
    <row r="499" spans="2:16" ht="12.75">
      <c r="B499" t="s">
        <v>44</v>
      </c>
      <c r="C499" t="s">
        <v>536</v>
      </c>
      <c r="D499" t="s">
        <v>70</v>
      </c>
      <c r="E499" s="1">
        <v>450</v>
      </c>
      <c r="F499" s="1">
        <v>900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ht="12.75">
      <c r="B500" t="s">
        <v>149</v>
      </c>
      <c r="C500" t="s">
        <v>537</v>
      </c>
      <c r="D500" t="s">
        <v>70</v>
      </c>
      <c r="E500" s="1">
        <v>400</v>
      </c>
      <c r="F500" s="1">
        <v>800</v>
      </c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ht="12.75">
      <c r="B501" t="s">
        <v>149</v>
      </c>
      <c r="C501" t="s">
        <v>538</v>
      </c>
      <c r="D501" t="s">
        <v>70</v>
      </c>
      <c r="E501" s="1">
        <v>430</v>
      </c>
      <c r="F501" s="1">
        <v>830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ht="12.75">
      <c r="B502" t="s">
        <v>149</v>
      </c>
      <c r="C502" t="s">
        <v>539</v>
      </c>
      <c r="D502" t="s">
        <v>70</v>
      </c>
      <c r="E502" s="1">
        <v>440</v>
      </c>
      <c r="F502" s="1">
        <v>1000</v>
      </c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ht="12.75">
      <c r="B503" t="s">
        <v>149</v>
      </c>
      <c r="C503" t="s">
        <v>540</v>
      </c>
      <c r="D503" t="s">
        <v>70</v>
      </c>
      <c r="E503" s="1">
        <v>440</v>
      </c>
      <c r="F503" s="1">
        <v>1140</v>
      </c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6" ht="12.75">
      <c r="B504" t="s">
        <v>155</v>
      </c>
      <c r="C504" t="s">
        <v>541</v>
      </c>
      <c r="D504" t="s">
        <v>70</v>
      </c>
      <c r="E504" s="1">
        <v>179</v>
      </c>
      <c r="F504" s="1">
        <v>791</v>
      </c>
    </row>
    <row r="505" spans="2:16" ht="12.75">
      <c r="B505" t="s">
        <v>155</v>
      </c>
      <c r="C505" t="s">
        <v>542</v>
      </c>
      <c r="D505" t="s">
        <v>70</v>
      </c>
      <c r="E505" s="1">
        <v>177</v>
      </c>
      <c r="F505" s="1">
        <v>789</v>
      </c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ht="12.75">
      <c r="B506" t="s">
        <v>155</v>
      </c>
      <c r="C506" t="s">
        <v>543</v>
      </c>
      <c r="D506" t="s">
        <v>70</v>
      </c>
      <c r="E506" s="1">
        <v>171</v>
      </c>
      <c r="F506" s="1">
        <v>783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6" ht="12.75">
      <c r="B507" t="s">
        <v>155</v>
      </c>
      <c r="C507" t="s">
        <v>544</v>
      </c>
      <c r="D507" t="s">
        <v>70</v>
      </c>
      <c r="E507" s="1">
        <v>177</v>
      </c>
      <c r="F507" s="1">
        <v>789</v>
      </c>
    </row>
    <row r="508" spans="2:6" ht="12.75">
      <c r="B508" t="s">
        <v>155</v>
      </c>
      <c r="C508" t="s">
        <v>545</v>
      </c>
      <c r="D508" t="s">
        <v>70</v>
      </c>
      <c r="E508" s="1">
        <v>171</v>
      </c>
      <c r="F508" s="1">
        <v>783</v>
      </c>
    </row>
    <row r="509" spans="2:6" ht="12.75">
      <c r="B509" t="s">
        <v>155</v>
      </c>
      <c r="C509" t="s">
        <v>546</v>
      </c>
      <c r="D509" t="s">
        <v>70</v>
      </c>
      <c r="E509" s="1">
        <v>171</v>
      </c>
      <c r="F509" s="1">
        <v>783</v>
      </c>
    </row>
    <row r="510" spans="2:6" ht="12.75">
      <c r="B510" t="s">
        <v>155</v>
      </c>
      <c r="C510" t="s">
        <v>547</v>
      </c>
      <c r="D510" t="s">
        <v>70</v>
      </c>
      <c r="E510" s="1">
        <v>172</v>
      </c>
      <c r="F510" s="1">
        <v>784</v>
      </c>
    </row>
    <row r="511" spans="2:16" ht="12.75">
      <c r="B511" t="s">
        <v>155</v>
      </c>
      <c r="C511" t="s">
        <v>548</v>
      </c>
      <c r="D511" t="s">
        <v>70</v>
      </c>
      <c r="E511" s="1">
        <v>173</v>
      </c>
      <c r="F511" s="1">
        <v>785</v>
      </c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ht="12.75">
      <c r="B512" t="s">
        <v>155</v>
      </c>
      <c r="C512" t="s">
        <v>549</v>
      </c>
      <c r="D512" t="s">
        <v>70</v>
      </c>
      <c r="E512" s="1">
        <v>174</v>
      </c>
      <c r="F512" s="1">
        <v>786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ht="12.75">
      <c r="B513" t="s">
        <v>155</v>
      </c>
      <c r="C513" t="s">
        <v>550</v>
      </c>
      <c r="D513" t="s">
        <v>70</v>
      </c>
      <c r="E513" s="1">
        <v>174</v>
      </c>
      <c r="F513" s="1">
        <v>786</v>
      </c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6" ht="12.75">
      <c r="B514" t="s">
        <v>155</v>
      </c>
      <c r="C514" t="s">
        <v>551</v>
      </c>
      <c r="D514" t="s">
        <v>70</v>
      </c>
      <c r="E514" s="1">
        <v>174</v>
      </c>
      <c r="F514" s="1">
        <v>786</v>
      </c>
    </row>
    <row r="515" spans="2:16" ht="12.75">
      <c r="B515" t="s">
        <v>155</v>
      </c>
      <c r="C515" t="s">
        <v>552</v>
      </c>
      <c r="D515" t="s">
        <v>70</v>
      </c>
      <c r="E515" s="1">
        <v>174</v>
      </c>
      <c r="F515" s="1">
        <v>786</v>
      </c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6" ht="12.75">
      <c r="B516" t="s">
        <v>155</v>
      </c>
      <c r="C516" t="s">
        <v>553</v>
      </c>
      <c r="D516" t="s">
        <v>70</v>
      </c>
      <c r="E516" s="1">
        <v>174</v>
      </c>
      <c r="F516" s="1">
        <v>786</v>
      </c>
    </row>
    <row r="517" spans="2:6" ht="12.75">
      <c r="B517" t="s">
        <v>155</v>
      </c>
      <c r="C517" t="s">
        <v>554</v>
      </c>
      <c r="D517" t="s">
        <v>70</v>
      </c>
      <c r="E517" s="1">
        <v>177</v>
      </c>
      <c r="F517" s="1">
        <v>789</v>
      </c>
    </row>
    <row r="518" spans="2:16" ht="12.75">
      <c r="B518" t="s">
        <v>155</v>
      </c>
      <c r="C518" t="s">
        <v>555</v>
      </c>
      <c r="D518" t="s">
        <v>70</v>
      </c>
      <c r="E518" s="1">
        <v>177</v>
      </c>
      <c r="F518" s="1">
        <v>789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ht="12.75">
      <c r="B519" t="s">
        <v>155</v>
      </c>
      <c r="C519" t="s">
        <v>556</v>
      </c>
      <c r="D519" t="s">
        <v>70</v>
      </c>
      <c r="E519" s="1">
        <v>175</v>
      </c>
      <c r="F519" s="1">
        <v>787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ht="12.75">
      <c r="B520" t="s">
        <v>155</v>
      </c>
      <c r="C520" t="s">
        <v>557</v>
      </c>
      <c r="D520" t="s">
        <v>70</v>
      </c>
      <c r="E520" s="1">
        <v>175</v>
      </c>
      <c r="F520" s="1">
        <v>787.5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ht="12.75">
      <c r="B521" t="s">
        <v>155</v>
      </c>
      <c r="C521" t="s">
        <v>558</v>
      </c>
      <c r="D521" t="s">
        <v>70</v>
      </c>
      <c r="E521" s="1">
        <v>177</v>
      </c>
      <c r="F521" s="1">
        <v>789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6" ht="12.75">
      <c r="B522" t="s">
        <v>155</v>
      </c>
      <c r="C522" t="s">
        <v>559</v>
      </c>
      <c r="D522" t="s">
        <v>70</v>
      </c>
      <c r="E522" s="1">
        <v>175.65</v>
      </c>
      <c r="F522" s="1">
        <v>787.65</v>
      </c>
    </row>
    <row r="523" spans="2:16" ht="12.75">
      <c r="B523" t="s">
        <v>202</v>
      </c>
      <c r="C523" t="s">
        <v>560</v>
      </c>
      <c r="D523" t="s">
        <v>72</v>
      </c>
      <c r="E523" s="1">
        <v>240</v>
      </c>
      <c r="F523" s="1">
        <v>2400</v>
      </c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6" ht="12.75">
      <c r="B524" t="s">
        <v>231</v>
      </c>
      <c r="C524" t="s">
        <v>373</v>
      </c>
      <c r="D524" t="s">
        <v>72</v>
      </c>
      <c r="E524" s="1">
        <v>799</v>
      </c>
      <c r="F524" s="1">
        <v>3465</v>
      </c>
    </row>
    <row r="525" spans="2:6" ht="12.75">
      <c r="B525" t="s">
        <v>231</v>
      </c>
      <c r="C525" t="s">
        <v>561</v>
      </c>
      <c r="D525" s="4" t="s">
        <v>72</v>
      </c>
      <c r="E525" s="1">
        <v>799</v>
      </c>
      <c r="F525" s="1">
        <v>3465</v>
      </c>
    </row>
    <row r="526" spans="2:6" ht="12.75">
      <c r="B526" t="s">
        <v>44</v>
      </c>
      <c r="C526" t="s">
        <v>562</v>
      </c>
      <c r="D526" t="s">
        <v>74</v>
      </c>
      <c r="E526" s="1">
        <v>450</v>
      </c>
      <c r="F526" s="1">
        <v>900</v>
      </c>
    </row>
    <row r="527" spans="2:16" ht="12.75">
      <c r="B527" t="s">
        <v>114</v>
      </c>
      <c r="C527" t="s">
        <v>563</v>
      </c>
      <c r="D527" t="s">
        <v>74</v>
      </c>
      <c r="E527" s="1">
        <v>212</v>
      </c>
      <c r="F527" s="1">
        <v>760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2.75">
      <c r="A528" t="s">
        <v>43</v>
      </c>
      <c r="B528" t="s">
        <v>97</v>
      </c>
      <c r="C528" t="s">
        <v>564</v>
      </c>
      <c r="D528" t="s">
        <v>74</v>
      </c>
      <c r="E528" s="1">
        <v>291</v>
      </c>
      <c r="F528" s="1">
        <v>477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ht="12.75">
      <c r="B529" t="s">
        <v>97</v>
      </c>
      <c r="C529" t="s">
        <v>565</v>
      </c>
      <c r="D529" t="s">
        <v>74</v>
      </c>
      <c r="E529" s="1">
        <v>276</v>
      </c>
      <c r="F529" s="1">
        <v>276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ht="12.75">
      <c r="B530" t="s">
        <v>97</v>
      </c>
      <c r="C530" t="s">
        <v>566</v>
      </c>
      <c r="D530" t="s">
        <v>74</v>
      </c>
      <c r="E530" s="1">
        <v>291</v>
      </c>
      <c r="F530" s="1">
        <v>477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ht="12.75">
      <c r="B531" t="s">
        <v>97</v>
      </c>
      <c r="C531" t="s">
        <v>567</v>
      </c>
      <c r="D531" t="s">
        <v>74</v>
      </c>
      <c r="E531" s="1">
        <v>291</v>
      </c>
      <c r="F531" s="1">
        <v>477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ht="12.75">
      <c r="B532" t="s">
        <v>97</v>
      </c>
      <c r="C532" t="s">
        <v>568</v>
      </c>
      <c r="D532" t="s">
        <v>74</v>
      </c>
      <c r="E532" s="1">
        <v>291</v>
      </c>
      <c r="F532" s="1">
        <v>477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ht="12.75">
      <c r="B533" t="s">
        <v>97</v>
      </c>
      <c r="C533" t="s">
        <v>569</v>
      </c>
      <c r="D533" t="s">
        <v>74</v>
      </c>
      <c r="E533" s="1">
        <v>291</v>
      </c>
      <c r="F533" s="1">
        <v>477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ht="12.75">
      <c r="B534" t="s">
        <v>97</v>
      </c>
      <c r="C534" t="s">
        <v>570</v>
      </c>
      <c r="D534" t="s">
        <v>74</v>
      </c>
      <c r="E534" s="1">
        <v>279</v>
      </c>
      <c r="F534" s="1">
        <v>465</v>
      </c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ht="12.75">
      <c r="B535" t="s">
        <v>97</v>
      </c>
      <c r="C535" t="s">
        <v>571</v>
      </c>
      <c r="D535" t="s">
        <v>74</v>
      </c>
      <c r="E535" s="1">
        <v>276</v>
      </c>
      <c r="F535" s="1">
        <v>462</v>
      </c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ht="12.75">
      <c r="B536" t="s">
        <v>97</v>
      </c>
      <c r="C536" t="s">
        <v>572</v>
      </c>
      <c r="D536" t="s">
        <v>74</v>
      </c>
      <c r="E536" s="1">
        <v>270</v>
      </c>
      <c r="F536" s="1">
        <v>456</v>
      </c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ht="12.75">
      <c r="B537" t="s">
        <v>97</v>
      </c>
      <c r="C537" t="s">
        <v>573</v>
      </c>
      <c r="D537" t="s">
        <v>74</v>
      </c>
      <c r="E537" s="1">
        <v>270</v>
      </c>
      <c r="F537" s="1">
        <v>456</v>
      </c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ht="12.75">
      <c r="B538" t="s">
        <v>97</v>
      </c>
      <c r="C538" t="s">
        <v>574</v>
      </c>
      <c r="D538" t="s">
        <v>74</v>
      </c>
      <c r="E538" s="1">
        <v>291</v>
      </c>
      <c r="F538" s="1">
        <v>477</v>
      </c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ht="12.75">
      <c r="B539" t="s">
        <v>97</v>
      </c>
      <c r="C539" t="s">
        <v>575</v>
      </c>
      <c r="D539" t="s">
        <v>74</v>
      </c>
      <c r="E539" s="1">
        <v>269</v>
      </c>
      <c r="F539" s="1">
        <v>455</v>
      </c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ht="12.75">
      <c r="B540" t="s">
        <v>97</v>
      </c>
      <c r="C540" t="s">
        <v>576</v>
      </c>
      <c r="D540" t="s">
        <v>74</v>
      </c>
      <c r="E540" s="1">
        <v>255</v>
      </c>
      <c r="F540" s="1">
        <v>441</v>
      </c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12.75">
      <c r="B541" t="s">
        <v>97</v>
      </c>
      <c r="C541" t="s">
        <v>577</v>
      </c>
      <c r="D541" t="s">
        <v>74</v>
      </c>
      <c r="E541" s="1">
        <v>246</v>
      </c>
      <c r="F541" s="1">
        <v>432</v>
      </c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12.75">
      <c r="B542" t="s">
        <v>97</v>
      </c>
      <c r="C542" t="s">
        <v>578</v>
      </c>
      <c r="D542" t="s">
        <v>74</v>
      </c>
      <c r="E542" s="1">
        <v>195</v>
      </c>
      <c r="F542" s="1">
        <v>195</v>
      </c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12.75">
      <c r="B543" t="s">
        <v>97</v>
      </c>
      <c r="C543" t="s">
        <v>579</v>
      </c>
      <c r="D543" t="s">
        <v>74</v>
      </c>
      <c r="E543" s="1">
        <v>36</v>
      </c>
      <c r="F543" s="1">
        <v>336</v>
      </c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ht="12.75">
      <c r="B544" t="s">
        <v>97</v>
      </c>
      <c r="C544" t="s">
        <v>580</v>
      </c>
      <c r="D544" t="s">
        <v>74</v>
      </c>
      <c r="E544" s="1">
        <v>0</v>
      </c>
      <c r="F544" s="1">
        <v>300</v>
      </c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ht="12.75">
      <c r="B545" t="s">
        <v>97</v>
      </c>
      <c r="C545" t="s">
        <v>581</v>
      </c>
      <c r="D545" t="s">
        <v>74</v>
      </c>
      <c r="E545" s="1">
        <v>291</v>
      </c>
      <c r="F545" s="1">
        <v>477</v>
      </c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ht="12.75">
      <c r="B546" t="s">
        <v>97</v>
      </c>
      <c r="C546" t="s">
        <v>582</v>
      </c>
      <c r="D546" t="s">
        <v>74</v>
      </c>
      <c r="E546" s="1">
        <v>291</v>
      </c>
      <c r="F546" s="1">
        <v>477</v>
      </c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12.75">
      <c r="B547" t="s">
        <v>97</v>
      </c>
      <c r="C547" t="s">
        <v>583</v>
      </c>
      <c r="D547" t="s">
        <v>74</v>
      </c>
      <c r="E547" s="1">
        <v>291</v>
      </c>
      <c r="F547" s="1">
        <v>477</v>
      </c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ht="12.75">
      <c r="B548" t="s">
        <v>97</v>
      </c>
      <c r="C548" t="s">
        <v>584</v>
      </c>
      <c r="D548" t="s">
        <v>74</v>
      </c>
      <c r="E548" s="1">
        <v>366</v>
      </c>
      <c r="F548" s="1">
        <v>732</v>
      </c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ht="12.75">
      <c r="B549" t="s">
        <v>97</v>
      </c>
      <c r="C549" t="s">
        <v>585</v>
      </c>
      <c r="D549" t="s">
        <v>74</v>
      </c>
      <c r="E549" s="1">
        <v>551</v>
      </c>
      <c r="F549" s="1">
        <v>737</v>
      </c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ht="12.75">
      <c r="B550" t="s">
        <v>97</v>
      </c>
      <c r="C550" t="s">
        <v>586</v>
      </c>
      <c r="D550" t="s">
        <v>74</v>
      </c>
      <c r="E550" s="1">
        <v>439</v>
      </c>
      <c r="F550" s="1">
        <v>625</v>
      </c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ht="12.75">
      <c r="B551" t="s">
        <v>97</v>
      </c>
      <c r="C551" t="s">
        <v>587</v>
      </c>
      <c r="D551" t="s">
        <v>74</v>
      </c>
      <c r="E551" s="1">
        <v>297</v>
      </c>
      <c r="F551" s="1">
        <v>483</v>
      </c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ht="12.75">
      <c r="B552" t="s">
        <v>97</v>
      </c>
      <c r="C552" t="s">
        <v>588</v>
      </c>
      <c r="D552" t="s">
        <v>74</v>
      </c>
      <c r="E552" s="1">
        <v>351</v>
      </c>
      <c r="F552" s="1">
        <v>537</v>
      </c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ht="12.75">
      <c r="B553" t="s">
        <v>97</v>
      </c>
      <c r="C553" t="s">
        <v>589</v>
      </c>
      <c r="D553" t="s">
        <v>74</v>
      </c>
      <c r="E553" s="1">
        <v>345</v>
      </c>
      <c r="F553" s="1">
        <v>531</v>
      </c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ht="12.75">
      <c r="B554" t="s">
        <v>97</v>
      </c>
      <c r="C554" t="s">
        <v>590</v>
      </c>
      <c r="D554" t="s">
        <v>74</v>
      </c>
      <c r="E554" s="1">
        <v>334</v>
      </c>
      <c r="F554" s="1">
        <v>520</v>
      </c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ht="12.75">
      <c r="B555" t="s">
        <v>97</v>
      </c>
      <c r="C555" t="s">
        <v>591</v>
      </c>
      <c r="D555" t="s">
        <v>74</v>
      </c>
      <c r="E555" s="1">
        <v>495</v>
      </c>
      <c r="F555" s="1">
        <v>681</v>
      </c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ht="12.75">
      <c r="B556" t="s">
        <v>97</v>
      </c>
      <c r="C556" t="s">
        <v>592</v>
      </c>
      <c r="D556" t="s">
        <v>74</v>
      </c>
      <c r="E556" s="1">
        <v>330</v>
      </c>
      <c r="F556" s="1">
        <v>513</v>
      </c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ht="12.75">
      <c r="B557" t="s">
        <v>97</v>
      </c>
      <c r="C557" t="s">
        <v>593</v>
      </c>
      <c r="D557" t="s">
        <v>74</v>
      </c>
      <c r="E557" s="1">
        <v>312</v>
      </c>
      <c r="F557" s="1">
        <v>498</v>
      </c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12.75">
      <c r="B558" t="s">
        <v>97</v>
      </c>
      <c r="C558" t="s">
        <v>594</v>
      </c>
      <c r="D558" t="s">
        <v>74</v>
      </c>
      <c r="E558" s="1">
        <v>311</v>
      </c>
      <c r="F558" s="1">
        <v>497</v>
      </c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ht="12.75">
      <c r="B559" t="s">
        <v>193</v>
      </c>
      <c r="C559" t="s">
        <v>595</v>
      </c>
      <c r="D559" t="s">
        <v>74</v>
      </c>
      <c r="E559" s="1">
        <v>135</v>
      </c>
      <c r="F559" s="1">
        <v>2280</v>
      </c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12.75">
      <c r="B560" t="s">
        <v>97</v>
      </c>
      <c r="C560" t="s">
        <v>596</v>
      </c>
      <c r="D560" t="s">
        <v>74</v>
      </c>
      <c r="E560" s="1">
        <v>487</v>
      </c>
      <c r="F560" s="1">
        <v>487</v>
      </c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4" ht="12.75">
      <c r="B561" t="s">
        <v>193</v>
      </c>
      <c r="C561" t="s">
        <v>597</v>
      </c>
      <c r="D561" t="s">
        <v>68</v>
      </c>
      <c r="E561" s="1"/>
      <c r="F561" s="1"/>
      <c r="G561" s="1"/>
      <c r="H561" s="1"/>
      <c r="I561" s="1"/>
      <c r="J561" s="1"/>
      <c r="K561" s="1">
        <v>4860</v>
      </c>
      <c r="L561" s="1">
        <v>7644</v>
      </c>
      <c r="M561" s="1">
        <v>3348</v>
      </c>
      <c r="N561" s="1">
        <v>6132</v>
      </c>
    </row>
    <row r="562" spans="2:18" ht="12.75">
      <c r="B562" t="s">
        <v>193</v>
      </c>
      <c r="C562" t="s">
        <v>598</v>
      </c>
      <c r="D562" t="s">
        <v>68</v>
      </c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>
        <v>2286</v>
      </c>
      <c r="R562" s="1">
        <v>4440</v>
      </c>
    </row>
    <row r="563" spans="2:12" ht="12.75">
      <c r="B563" t="s">
        <v>246</v>
      </c>
      <c r="C563" t="s">
        <v>599</v>
      </c>
      <c r="D563" t="s">
        <v>68</v>
      </c>
      <c r="K563" s="1">
        <v>2192</v>
      </c>
      <c r="L563" s="1">
        <v>4812</v>
      </c>
    </row>
    <row r="564" spans="2:20" ht="12.75">
      <c r="B564" t="s">
        <v>137</v>
      </c>
      <c r="C564" t="s">
        <v>600</v>
      </c>
      <c r="D564" t="s">
        <v>68</v>
      </c>
      <c r="E564" s="1">
        <v>1591</v>
      </c>
      <c r="F564" s="1">
        <v>4297</v>
      </c>
      <c r="G564" s="1">
        <v>2051</v>
      </c>
      <c r="H564" s="1">
        <v>4345</v>
      </c>
      <c r="I564" s="1">
        <v>3269</v>
      </c>
      <c r="J564" s="1">
        <v>5875</v>
      </c>
      <c r="K564" s="1">
        <v>5520</v>
      </c>
      <c r="L564" s="1">
        <v>10766</v>
      </c>
      <c r="M564" s="1">
        <v>3269</v>
      </c>
      <c r="N564" s="1">
        <v>10436</v>
      </c>
      <c r="O564" s="1"/>
      <c r="P564" s="1"/>
      <c r="S564" s="1">
        <v>2419</v>
      </c>
      <c r="T564" s="1">
        <v>5261</v>
      </c>
    </row>
    <row r="565" spans="2:20" ht="12.75">
      <c r="B565" t="s">
        <v>169</v>
      </c>
      <c r="C565" t="s">
        <v>601</v>
      </c>
      <c r="D565" t="s">
        <v>68</v>
      </c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>
        <v>2625</v>
      </c>
      <c r="T565" s="1">
        <v>5533</v>
      </c>
    </row>
    <row r="566" spans="2:19" ht="12.75">
      <c r="B566" t="s">
        <v>155</v>
      </c>
      <c r="C566" t="s">
        <v>602</v>
      </c>
      <c r="D566" t="s">
        <v>68</v>
      </c>
      <c r="E566" s="1">
        <v>1050</v>
      </c>
      <c r="F566" s="1">
        <v>3609</v>
      </c>
      <c r="G566" s="1">
        <v>1050</v>
      </c>
      <c r="H566" s="1">
        <v>3609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6" ht="12.75">
      <c r="A567" t="s">
        <v>43</v>
      </c>
      <c r="B567" t="s">
        <v>181</v>
      </c>
      <c r="C567" t="s">
        <v>603</v>
      </c>
      <c r="D567" t="s">
        <v>68</v>
      </c>
      <c r="E567" s="1">
        <v>1266</v>
      </c>
      <c r="F567" s="1">
        <v>2532</v>
      </c>
      <c r="G567" s="1">
        <v>1266</v>
      </c>
      <c r="H567" s="1">
        <v>1266</v>
      </c>
      <c r="I567" s="1"/>
      <c r="J567" s="1"/>
      <c r="K567" s="1">
        <v>3000</v>
      </c>
      <c r="L567" s="1">
        <v>6000</v>
      </c>
      <c r="M567" s="1">
        <v>2150</v>
      </c>
      <c r="N567" s="1">
        <v>4300</v>
      </c>
      <c r="O567" s="1"/>
      <c r="P567" s="1"/>
    </row>
    <row r="568" spans="2:16" ht="12.75">
      <c r="B568" t="s">
        <v>193</v>
      </c>
      <c r="C568" t="s">
        <v>604</v>
      </c>
      <c r="D568" t="s">
        <v>68</v>
      </c>
      <c r="E568" s="1">
        <v>1013</v>
      </c>
      <c r="F568" s="1">
        <v>3167</v>
      </c>
      <c r="G568" s="1">
        <v>1250</v>
      </c>
      <c r="H568" s="1">
        <v>3404</v>
      </c>
      <c r="I568" s="1"/>
      <c r="J568" s="1"/>
      <c r="K568" s="1"/>
      <c r="L568" s="1"/>
      <c r="M568" s="1"/>
      <c r="N568" s="1"/>
      <c r="O568" s="1"/>
      <c r="P568" s="1"/>
    </row>
    <row r="569" spans="2:20" ht="12.75">
      <c r="B569" t="s">
        <v>149</v>
      </c>
      <c r="C569" t="s">
        <v>605</v>
      </c>
      <c r="D569" t="s">
        <v>68</v>
      </c>
      <c r="E569" s="1"/>
      <c r="F569" s="1"/>
      <c r="G569" s="1"/>
      <c r="H569" s="1"/>
      <c r="I569" s="1"/>
      <c r="J569" s="1"/>
      <c r="K569" s="1">
        <v>5000</v>
      </c>
      <c r="L569" s="1">
        <v>11000</v>
      </c>
      <c r="M569" s="1">
        <v>4000</v>
      </c>
      <c r="N569" s="1">
        <v>10000</v>
      </c>
      <c r="O569" s="1"/>
      <c r="P569" s="1"/>
      <c r="S569" s="1">
        <v>1295</v>
      </c>
      <c r="T569" s="1">
        <v>2477</v>
      </c>
    </row>
    <row r="570" spans="2:16" ht="12.75">
      <c r="B570" t="s">
        <v>202</v>
      </c>
      <c r="C570" t="s">
        <v>606</v>
      </c>
      <c r="D570" t="s">
        <v>68</v>
      </c>
      <c r="E570" s="1">
        <v>720</v>
      </c>
      <c r="F570" s="1">
        <v>3960</v>
      </c>
      <c r="G570" s="1">
        <v>612</v>
      </c>
      <c r="H570" s="1">
        <v>3204</v>
      </c>
      <c r="I570" s="1"/>
      <c r="J570" s="1"/>
      <c r="K570" s="1">
        <v>1543</v>
      </c>
      <c r="L570" s="1">
        <v>5200</v>
      </c>
      <c r="M570" s="1"/>
      <c r="N570" s="1"/>
      <c r="O570" s="1"/>
      <c r="P570" s="1"/>
    </row>
    <row r="571" spans="2:16" ht="12.75">
      <c r="B571" t="s">
        <v>123</v>
      </c>
      <c r="C571" t="s">
        <v>607</v>
      </c>
      <c r="D571" t="s">
        <v>68</v>
      </c>
      <c r="E571" s="1"/>
      <c r="F571" s="1"/>
      <c r="G571" s="1"/>
      <c r="H571" s="1"/>
      <c r="I571" s="1">
        <v>1782</v>
      </c>
      <c r="J571" s="1">
        <v>3952</v>
      </c>
      <c r="K571" s="1"/>
      <c r="L571" s="1"/>
      <c r="M571" s="1"/>
      <c r="N571" s="1"/>
      <c r="O571" s="1"/>
      <c r="P571" s="1"/>
    </row>
    <row r="572" spans="2:16" ht="12.75">
      <c r="B572" t="s">
        <v>123</v>
      </c>
      <c r="C572" t="s">
        <v>608</v>
      </c>
      <c r="D572" t="s">
        <v>68</v>
      </c>
      <c r="E572" s="1"/>
      <c r="F572" s="1"/>
      <c r="G572" s="1"/>
      <c r="H572" s="1"/>
      <c r="I572" s="1"/>
      <c r="J572" s="1"/>
      <c r="K572" s="1">
        <v>2700</v>
      </c>
      <c r="L572" s="1">
        <v>8300</v>
      </c>
      <c r="M572" s="1">
        <v>2700</v>
      </c>
      <c r="N572" s="1">
        <v>8300</v>
      </c>
      <c r="O572" s="1"/>
      <c r="P572" s="1"/>
    </row>
    <row r="573" spans="2:19" ht="12.75">
      <c r="B573" t="s">
        <v>202</v>
      </c>
      <c r="C573" t="s">
        <v>609</v>
      </c>
      <c r="D573" t="s">
        <v>68</v>
      </c>
      <c r="E573" s="1">
        <v>720</v>
      </c>
      <c r="F573" s="1">
        <v>3960</v>
      </c>
      <c r="G573" s="1">
        <v>612</v>
      </c>
      <c r="H573" s="1">
        <v>3204</v>
      </c>
      <c r="I573" s="1"/>
      <c r="J573" s="1"/>
      <c r="K573" s="1">
        <v>1543</v>
      </c>
      <c r="L573" s="1">
        <v>5200</v>
      </c>
      <c r="M573" s="1"/>
      <c r="N573" s="1"/>
      <c r="O573" s="1"/>
      <c r="P573" s="1"/>
      <c r="R573" s="1"/>
      <c r="S573" s="1"/>
    </row>
    <row r="574" spans="2:16" ht="12.75">
      <c r="B574" t="s">
        <v>202</v>
      </c>
      <c r="C574" t="s">
        <v>610</v>
      </c>
      <c r="D574" t="s">
        <v>68</v>
      </c>
      <c r="E574" s="1">
        <v>720</v>
      </c>
      <c r="F574" s="1">
        <v>3960</v>
      </c>
      <c r="G574" s="1">
        <v>612</v>
      </c>
      <c r="H574" s="1">
        <v>3204</v>
      </c>
      <c r="I574" s="1"/>
      <c r="J574" s="1"/>
      <c r="K574" s="1">
        <v>1543</v>
      </c>
      <c r="L574" s="1">
        <v>5200</v>
      </c>
      <c r="M574" s="1"/>
      <c r="N574" s="1"/>
      <c r="O574" s="1"/>
      <c r="P574" s="1"/>
    </row>
    <row r="575" spans="2:16" ht="12.75">
      <c r="B575" t="s">
        <v>202</v>
      </c>
      <c r="C575" t="s">
        <v>611</v>
      </c>
      <c r="D575" t="s">
        <v>68</v>
      </c>
      <c r="E575" s="1">
        <v>720</v>
      </c>
      <c r="F575" s="1">
        <v>3960</v>
      </c>
      <c r="G575" s="1">
        <v>612</v>
      </c>
      <c r="H575" s="1">
        <v>3204</v>
      </c>
      <c r="I575" s="1"/>
      <c r="J575" s="1"/>
      <c r="K575" s="1">
        <v>1543</v>
      </c>
      <c r="L575" s="1">
        <v>5200</v>
      </c>
      <c r="M575" s="1">
        <v>1224</v>
      </c>
      <c r="N575" s="1">
        <v>3924</v>
      </c>
      <c r="O575" s="1"/>
      <c r="P575" s="1"/>
    </row>
    <row r="576" spans="2:16" ht="12.75">
      <c r="B576" t="s">
        <v>202</v>
      </c>
      <c r="C576" t="s">
        <v>612</v>
      </c>
      <c r="D576" t="s">
        <v>68</v>
      </c>
      <c r="E576" s="1">
        <v>720</v>
      </c>
      <c r="F576" s="1">
        <v>3960</v>
      </c>
      <c r="G576" s="1">
        <v>612</v>
      </c>
      <c r="H576" s="1">
        <v>3204</v>
      </c>
      <c r="I576" s="1"/>
      <c r="J576" s="1"/>
      <c r="K576" s="1">
        <v>1543</v>
      </c>
      <c r="L576" s="1">
        <v>5200</v>
      </c>
      <c r="M576" s="1">
        <v>1224</v>
      </c>
      <c r="N576" s="1">
        <v>3924</v>
      </c>
      <c r="O576" s="1"/>
      <c r="P576" s="1"/>
    </row>
    <row r="577" spans="2:16" ht="12.75">
      <c r="B577" t="s">
        <v>77</v>
      </c>
      <c r="C577" t="s">
        <v>613</v>
      </c>
      <c r="D577" t="s">
        <v>68</v>
      </c>
      <c r="E577" s="1"/>
      <c r="F577" s="1"/>
      <c r="G577" s="1"/>
      <c r="H577" s="1"/>
      <c r="I577" s="1"/>
      <c r="J577" s="1"/>
      <c r="K577" s="1">
        <v>3850</v>
      </c>
      <c r="L577" s="1">
        <v>7350</v>
      </c>
      <c r="M577" s="1"/>
      <c r="N577" s="1"/>
      <c r="O577" s="1"/>
      <c r="P577" s="1"/>
    </row>
    <row r="578" spans="2:16" ht="12.75">
      <c r="B578" t="s">
        <v>97</v>
      </c>
      <c r="C578" t="s">
        <v>614</v>
      </c>
      <c r="D578" t="s">
        <v>68</v>
      </c>
      <c r="E578" s="1">
        <v>1080</v>
      </c>
      <c r="F578" s="1">
        <v>3120</v>
      </c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ht="12.75">
      <c r="B579" t="s">
        <v>202</v>
      </c>
      <c r="C579" t="s">
        <v>615</v>
      </c>
      <c r="D579" t="s">
        <v>68</v>
      </c>
      <c r="E579" s="1">
        <v>720</v>
      </c>
      <c r="F579" s="1">
        <v>3960</v>
      </c>
      <c r="G579" s="1">
        <v>612</v>
      </c>
      <c r="H579" s="1">
        <v>3204</v>
      </c>
      <c r="I579" s="1"/>
      <c r="J579" s="1"/>
      <c r="K579" s="1">
        <v>1543</v>
      </c>
      <c r="L579" s="1">
        <v>5200</v>
      </c>
      <c r="M579" s="1"/>
      <c r="N579" s="1"/>
      <c r="O579" s="1"/>
      <c r="P579" s="1"/>
    </row>
    <row r="580" spans="2:6" ht="12.75">
      <c r="B580" t="s">
        <v>231</v>
      </c>
      <c r="C580" t="s">
        <v>616</v>
      </c>
      <c r="D580" t="s">
        <v>68</v>
      </c>
      <c r="E580" s="1">
        <v>6385</v>
      </c>
      <c r="F580" s="1">
        <v>8835</v>
      </c>
    </row>
    <row r="581" spans="2:16" ht="12.75">
      <c r="B581" t="s">
        <v>97</v>
      </c>
      <c r="C581" t="s">
        <v>617</v>
      </c>
      <c r="D581" t="s">
        <v>68</v>
      </c>
      <c r="E581" s="1">
        <v>1443</v>
      </c>
      <c r="F581" s="1">
        <v>4158</v>
      </c>
      <c r="G581" s="1"/>
      <c r="H581" s="1"/>
      <c r="I581" s="1"/>
      <c r="J581" s="1"/>
      <c r="K581" s="1">
        <v>3225</v>
      </c>
      <c r="L581" s="1">
        <v>9504</v>
      </c>
      <c r="M581" s="1">
        <v>3225</v>
      </c>
      <c r="N581" s="1">
        <v>9504</v>
      </c>
      <c r="O581" s="1"/>
      <c r="P581" s="1"/>
    </row>
    <row r="582" spans="2:8" ht="12.75">
      <c r="B582" t="s">
        <v>246</v>
      </c>
      <c r="C582" t="s">
        <v>618</v>
      </c>
      <c r="D582" t="s">
        <v>68</v>
      </c>
      <c r="G582" s="1">
        <v>720</v>
      </c>
      <c r="H582" s="1">
        <v>2470</v>
      </c>
    </row>
    <row r="586" spans="2:9" ht="12.75">
      <c r="B586" s="6" t="s">
        <v>3</v>
      </c>
      <c r="C586" s="6" t="s">
        <v>3</v>
      </c>
      <c r="D586" s="6" t="s">
        <v>3</v>
      </c>
      <c r="E586" s="6" t="s">
        <v>3</v>
      </c>
      <c r="F586" s="6" t="s">
        <v>3</v>
      </c>
      <c r="G586" s="6" t="s">
        <v>3</v>
      </c>
      <c r="H586" s="6" t="s">
        <v>3</v>
      </c>
      <c r="I586" s="6" t="s">
        <v>3</v>
      </c>
    </row>
    <row r="592" ht="12.75">
      <c r="AO592" s="7" t="s">
        <v>3</v>
      </c>
    </row>
    <row r="593" spans="9:41" ht="12.75">
      <c r="I593" t="s">
        <v>619</v>
      </c>
      <c r="V593" s="7" t="s">
        <v>3</v>
      </c>
      <c r="AD593" t="s">
        <v>620</v>
      </c>
      <c r="AO593" s="7" t="s">
        <v>3</v>
      </c>
    </row>
    <row r="594" spans="22:41" ht="12.75">
      <c r="V594" s="7" t="s">
        <v>3</v>
      </c>
      <c r="AO594" s="7" t="s">
        <v>3</v>
      </c>
    </row>
    <row r="595" spans="7:41" ht="12.75">
      <c r="G595" t="s">
        <v>621</v>
      </c>
      <c r="V595" s="7" t="s">
        <v>3</v>
      </c>
      <c r="AB595" t="s">
        <v>622</v>
      </c>
      <c r="AO595" s="7" t="s">
        <v>3</v>
      </c>
    </row>
    <row r="596" spans="6:41" ht="12.75">
      <c r="F596" t="s">
        <v>623</v>
      </c>
      <c r="V596" s="7" t="s">
        <v>3</v>
      </c>
      <c r="AA596" t="s">
        <v>623</v>
      </c>
      <c r="AO596" s="7" t="s">
        <v>3</v>
      </c>
    </row>
    <row r="597" spans="7:41" ht="12.75">
      <c r="G597" t="s">
        <v>624</v>
      </c>
      <c r="V597" s="7" t="s">
        <v>3</v>
      </c>
      <c r="AB597" t="s">
        <v>624</v>
      </c>
      <c r="AO597" s="7" t="s">
        <v>3</v>
      </c>
    </row>
    <row r="598" spans="8:41" ht="12.75">
      <c r="H598" t="s">
        <v>625</v>
      </c>
      <c r="V598" s="7" t="s">
        <v>3</v>
      </c>
      <c r="AC598" t="s">
        <v>626</v>
      </c>
      <c r="AO598" s="7" t="s">
        <v>3</v>
      </c>
    </row>
    <row r="599" spans="22:41" ht="12.75">
      <c r="V599" s="7" t="s">
        <v>3</v>
      </c>
      <c r="AO599" s="7" t="s">
        <v>3</v>
      </c>
    </row>
    <row r="600" spans="22:41" ht="12.75">
      <c r="V600" s="7" t="s">
        <v>3</v>
      </c>
      <c r="AO600" s="7" t="s">
        <v>3</v>
      </c>
    </row>
    <row r="601" spans="22:41" ht="12.75">
      <c r="V601" s="7" t="s">
        <v>3</v>
      </c>
      <c r="AO601" s="7" t="s">
        <v>3</v>
      </c>
    </row>
    <row r="602" spans="3:41" ht="12.75">
      <c r="C602" t="s">
        <v>627</v>
      </c>
      <c r="E602" t="s">
        <v>628</v>
      </c>
      <c r="G602" t="s">
        <v>629</v>
      </c>
      <c r="I602" t="s">
        <v>630</v>
      </c>
      <c r="K602" t="s">
        <v>630</v>
      </c>
      <c r="M602" t="s">
        <v>38</v>
      </c>
      <c r="O602" t="s">
        <v>631</v>
      </c>
      <c r="V602" s="7" t="s">
        <v>3</v>
      </c>
      <c r="X602" t="s">
        <v>629</v>
      </c>
      <c r="Z602" t="s">
        <v>629</v>
      </c>
      <c r="AB602" t="s">
        <v>629</v>
      </c>
      <c r="AD602" t="s">
        <v>630</v>
      </c>
      <c r="AF602" t="s">
        <v>630</v>
      </c>
      <c r="AH602" t="s">
        <v>38</v>
      </c>
      <c r="AJ602" t="s">
        <v>631</v>
      </c>
      <c r="AO602" s="7" t="s">
        <v>3</v>
      </c>
    </row>
    <row r="603" spans="4:42" ht="12.75">
      <c r="D603" t="s">
        <v>632</v>
      </c>
      <c r="F603" t="s">
        <v>633</v>
      </c>
      <c r="H603" t="s">
        <v>634</v>
      </c>
      <c r="J603" t="s">
        <v>632</v>
      </c>
      <c r="L603" t="s">
        <v>633</v>
      </c>
      <c r="V603" s="7" t="s">
        <v>3</v>
      </c>
      <c r="Y603" t="s">
        <v>632</v>
      </c>
      <c r="AA603" t="s">
        <v>633</v>
      </c>
      <c r="AC603" t="s">
        <v>634</v>
      </c>
      <c r="AE603" t="s">
        <v>632</v>
      </c>
      <c r="AG603" t="s">
        <v>633</v>
      </c>
      <c r="AO603" s="7" t="s">
        <v>3</v>
      </c>
      <c r="AP603" t="s">
        <v>635</v>
      </c>
    </row>
    <row r="604" spans="3:41" ht="12.75">
      <c r="C604" s="7" t="s">
        <v>48</v>
      </c>
      <c r="D604" s="7" t="s">
        <v>49</v>
      </c>
      <c r="E604" s="7" t="s">
        <v>48</v>
      </c>
      <c r="F604" s="7" t="s">
        <v>49</v>
      </c>
      <c r="G604" s="7" t="s">
        <v>48</v>
      </c>
      <c r="H604" s="7" t="s">
        <v>49</v>
      </c>
      <c r="I604" s="7" t="s">
        <v>48</v>
      </c>
      <c r="J604" s="7" t="s">
        <v>49</v>
      </c>
      <c r="K604" s="7" t="s">
        <v>48</v>
      </c>
      <c r="L604" s="7" t="s">
        <v>49</v>
      </c>
      <c r="M604" s="7" t="s">
        <v>48</v>
      </c>
      <c r="N604" s="7" t="s">
        <v>49</v>
      </c>
      <c r="O604" s="7" t="s">
        <v>48</v>
      </c>
      <c r="P604" s="7" t="s">
        <v>49</v>
      </c>
      <c r="V604" s="7" t="s">
        <v>3</v>
      </c>
      <c r="X604" s="7" t="s">
        <v>48</v>
      </c>
      <c r="Y604" s="7" t="s">
        <v>49</v>
      </c>
      <c r="Z604" s="7" t="s">
        <v>48</v>
      </c>
      <c r="AA604" s="7" t="s">
        <v>49</v>
      </c>
      <c r="AB604" s="7" t="s">
        <v>48</v>
      </c>
      <c r="AC604" s="7" t="s">
        <v>49</v>
      </c>
      <c r="AD604" s="7" t="s">
        <v>48</v>
      </c>
      <c r="AE604" s="7" t="s">
        <v>49</v>
      </c>
      <c r="AF604" s="7" t="s">
        <v>48</v>
      </c>
      <c r="AG604" s="7" t="s">
        <v>49</v>
      </c>
      <c r="AH604" s="7" t="s">
        <v>48</v>
      </c>
      <c r="AI604" s="7" t="s">
        <v>49</v>
      </c>
      <c r="AJ604" s="7" t="s">
        <v>48</v>
      </c>
      <c r="AK604" s="7" t="s">
        <v>49</v>
      </c>
      <c r="AO604" s="7" t="s">
        <v>3</v>
      </c>
    </row>
    <row r="605" spans="22:55" ht="12.75">
      <c r="V605" s="7" t="s">
        <v>3</v>
      </c>
      <c r="AO605" s="7" t="s">
        <v>3</v>
      </c>
      <c r="AP605" s="8" t="s">
        <v>17</v>
      </c>
      <c r="AQ605" s="8" t="s">
        <v>19</v>
      </c>
      <c r="AR605" s="8" t="s">
        <v>17</v>
      </c>
      <c r="AS605" s="8" t="s">
        <v>19</v>
      </c>
      <c r="AT605" s="8" t="s">
        <v>17</v>
      </c>
      <c r="AU605" s="8" t="s">
        <v>19</v>
      </c>
      <c r="AV605" s="8" t="s">
        <v>17</v>
      </c>
      <c r="AW605" s="8" t="s">
        <v>19</v>
      </c>
      <c r="AX605" s="8" t="s">
        <v>17</v>
      </c>
      <c r="AY605" s="8" t="s">
        <v>19</v>
      </c>
      <c r="AZ605" s="8" t="s">
        <v>17</v>
      </c>
      <c r="BA605" s="8" t="s">
        <v>19</v>
      </c>
      <c r="BB605" s="8" t="s">
        <v>17</v>
      </c>
      <c r="BC605" s="8" t="s">
        <v>19</v>
      </c>
    </row>
    <row r="606" spans="22:55" ht="12.75">
      <c r="V606" s="7" t="s">
        <v>3</v>
      </c>
      <c r="W606" t="s">
        <v>636</v>
      </c>
      <c r="X606" s="1" t="e">
        <f>DAVERAGE($B$21:$T$582,4,AP605:AQ606)</f>
        <v>#DIV/0!</v>
      </c>
      <c r="Y606" s="1" t="e">
        <f>DAVERAGE($B$21:$T$582,5,AP605:AQ606)</f>
        <v>#DIV/0!</v>
      </c>
      <c r="Z606" s="1">
        <f>DAVERAGE($B$21:$T$582,4,AR605:AS606)</f>
        <v>1117</v>
      </c>
      <c r="AA606" s="1">
        <f>DAVERAGE($B$21:$T$582,5,AR605:AS606)</f>
        <v>2231</v>
      </c>
      <c r="AB606" s="1">
        <f>DAVERAGE($B$21:$T$582,4,AT605:AU606)</f>
        <v>1377.6666666666667</v>
      </c>
      <c r="AC606" s="1">
        <f>DAVERAGE($B$21:$T$582,5,AT605:AU606)</f>
        <v>2456</v>
      </c>
      <c r="AD606" s="1">
        <f>DAVERAGE($B$21:$T$582,4,AV605:AW606)</f>
        <v>890</v>
      </c>
      <c r="AE606" s="1">
        <f>DAVERAGE($B$21:$T$582,5,AV605:AW606)</f>
        <v>1411</v>
      </c>
      <c r="AF606" s="1">
        <f>DAVERAGE($B$21:$T$582,4,AX605:AY606)</f>
        <v>1007.625</v>
      </c>
      <c r="AG606" s="1">
        <f>DAVERAGE($B$21:$T$582,5,AX605:AY606)</f>
        <v>1510.75</v>
      </c>
      <c r="AH606" s="1">
        <f>DAVERAGE($B$21:$T$582,4,AZ605:BA606)</f>
        <v>900</v>
      </c>
      <c r="AI606" s="1">
        <f>DAVERAGE($B$21:$T$582,5,AZ605:BA606)</f>
        <v>1800</v>
      </c>
      <c r="AJ606" s="1" t="e">
        <f>DAVERAGE($B$21:$T$582,4,BB605:BC606)</f>
        <v>#DIV/0!</v>
      </c>
      <c r="AK606" s="1" t="e">
        <f>DAVERAGE($B$21:$T$582,5,BB605:BC606)</f>
        <v>#DIV/0!</v>
      </c>
      <c r="AO606" s="7" t="s">
        <v>3</v>
      </c>
      <c r="AP606" t="s">
        <v>44</v>
      </c>
      <c r="AQ606" t="s">
        <v>65</v>
      </c>
      <c r="AR606" t="s">
        <v>44</v>
      </c>
      <c r="AS606" t="s">
        <v>46</v>
      </c>
      <c r="AT606" t="s">
        <v>44</v>
      </c>
      <c r="AU606" t="s">
        <v>51</v>
      </c>
      <c r="AV606" t="s">
        <v>44</v>
      </c>
      <c r="AW606" t="s">
        <v>56</v>
      </c>
      <c r="AX606" t="s">
        <v>44</v>
      </c>
      <c r="AY606" t="s">
        <v>60</v>
      </c>
      <c r="AZ606" t="s">
        <v>44</v>
      </c>
      <c r="BA606" t="s">
        <v>66</v>
      </c>
      <c r="BB606" t="s">
        <v>44</v>
      </c>
      <c r="BC606" t="s">
        <v>68</v>
      </c>
    </row>
    <row r="607" spans="2:55" ht="12.75">
      <c r="B607" t="s">
        <v>636</v>
      </c>
      <c r="C607" s="1"/>
      <c r="D607" s="1"/>
      <c r="E607" s="1">
        <f>(980+1254)/2</f>
        <v>1117</v>
      </c>
      <c r="F607" s="1">
        <f>(F23+F24)/2</f>
        <v>2776</v>
      </c>
      <c r="G607" s="1">
        <v>1404</v>
      </c>
      <c r="H607" s="1">
        <v>2505</v>
      </c>
      <c r="I607" s="1">
        <f>(980+800)/2</f>
        <v>890</v>
      </c>
      <c r="J607" s="1">
        <f>(1772+1050)/2</f>
        <v>1411</v>
      </c>
      <c r="K607" s="1">
        <f>(1035+1000)/2</f>
        <v>1017.5</v>
      </c>
      <c r="L607" s="1">
        <f>(1553+1400)/2</f>
        <v>1476.5</v>
      </c>
      <c r="M607" s="1">
        <v>900</v>
      </c>
      <c r="N607" s="1">
        <v>1800</v>
      </c>
      <c r="O607" s="1"/>
      <c r="P607" s="1"/>
      <c r="V607" s="7" t="s">
        <v>3</v>
      </c>
      <c r="W607" t="s">
        <v>637</v>
      </c>
      <c r="X607" s="1">
        <f>DAVERAGE($B$21:$T$582,4,AP607:AQ608)</f>
        <v>930</v>
      </c>
      <c r="Y607" s="1">
        <f>DAVERAGE($B$21:$T$582,5,AP607:AQ608)</f>
        <v>2190</v>
      </c>
      <c r="Z607" s="1" t="e">
        <f>DAVERAGE($B$21:$T$582,4,AR607:AS608)</f>
        <v>#DIV/0!</v>
      </c>
      <c r="AA607" s="1" t="e">
        <f>DAVERAGE($B$21:$T$582,5,AR607:AS608)</f>
        <v>#DIV/0!</v>
      </c>
      <c r="AB607" s="1" t="e">
        <f>DAVERAGE($B$21:$T$582,4,AT607:AU608)</f>
        <v>#DIV/0!</v>
      </c>
      <c r="AC607" s="1" t="e">
        <f>DAVERAGE($B$21:$T$582,5,AT607:AU608)</f>
        <v>#DIV/0!</v>
      </c>
      <c r="AD607" s="1">
        <f>DAVERAGE($B$21:$T$582,4,AV607:AW608)</f>
        <v>845</v>
      </c>
      <c r="AE607" s="1">
        <f>DAVERAGE($B$21:$T$582,5,AV607:AW608)</f>
        <v>1975</v>
      </c>
      <c r="AF607" s="1">
        <f>DAVERAGE($B$21:$T$582,4,AX607:AY608)</f>
        <v>827.5</v>
      </c>
      <c r="AG607" s="1">
        <f>DAVERAGE($B$21:$T$582,5,AX607:AY608)</f>
        <v>1567.5</v>
      </c>
      <c r="AH607" s="1">
        <f>DAVERAGE($B$21:$T$582,4,AZ607:BA608)</f>
        <v>815</v>
      </c>
      <c r="AI607" s="1">
        <f>DAVERAGE($B$21:$T$582,5,AZ607:BA608)</f>
        <v>1945</v>
      </c>
      <c r="AJ607" s="1" t="e">
        <f>DAVERAGE($B$21:$T$582,4,BB607:BC608)</f>
        <v>#DIV/0!</v>
      </c>
      <c r="AK607" s="1" t="e">
        <f>DAVERAGE($B$21:$T$582,5,BB607:BC608)</f>
        <v>#DIV/0!</v>
      </c>
      <c r="AO607" s="7" t="s">
        <v>3</v>
      </c>
      <c r="AP607" s="8" t="s">
        <v>17</v>
      </c>
      <c r="AQ607" s="8" t="s">
        <v>19</v>
      </c>
      <c r="AR607" s="8" t="s">
        <v>17</v>
      </c>
      <c r="AS607" s="8" t="s">
        <v>19</v>
      </c>
      <c r="AT607" s="8" t="s">
        <v>17</v>
      </c>
      <c r="AU607" s="8" t="s">
        <v>19</v>
      </c>
      <c r="AV607" s="8" t="s">
        <v>17</v>
      </c>
      <c r="AW607" s="8" t="s">
        <v>19</v>
      </c>
      <c r="AX607" s="8" t="s">
        <v>17</v>
      </c>
      <c r="AY607" s="8" t="s">
        <v>19</v>
      </c>
      <c r="AZ607" s="8" t="s">
        <v>17</v>
      </c>
      <c r="BA607" s="8" t="s">
        <v>19</v>
      </c>
      <c r="BB607" s="8" t="s">
        <v>17</v>
      </c>
      <c r="BC607" s="8" t="s">
        <v>19</v>
      </c>
    </row>
    <row r="608" spans="2:55" ht="12.75">
      <c r="B608" t="s">
        <v>637</v>
      </c>
      <c r="C608" s="1">
        <v>930</v>
      </c>
      <c r="D608" s="1">
        <v>2190</v>
      </c>
      <c r="E608" s="1"/>
      <c r="F608" s="1"/>
      <c r="G608" s="1"/>
      <c r="H608" s="1"/>
      <c r="I608" s="1">
        <f>(900+790)/2</f>
        <v>845</v>
      </c>
      <c r="J608" s="1">
        <f>(2160+1790)/2</f>
        <v>1975</v>
      </c>
      <c r="K608" s="1">
        <f>(830+820)/2</f>
        <v>825</v>
      </c>
      <c r="L608" s="1">
        <f>(1660+1600)/2</f>
        <v>1630</v>
      </c>
      <c r="M608" s="1">
        <f>(850+780)/2</f>
        <v>815</v>
      </c>
      <c r="N608" s="1">
        <f>(1850+2040)/2</f>
        <v>1945</v>
      </c>
      <c r="O608" s="1"/>
      <c r="P608" s="1"/>
      <c r="V608" s="7" t="s">
        <v>3</v>
      </c>
      <c r="W608" t="s">
        <v>638</v>
      </c>
      <c r="X608" s="1">
        <f>DAVERAGE($B$21:$T$582,4,AP609:AQ610)</f>
        <v>775</v>
      </c>
      <c r="Y608" s="1">
        <f>DAVERAGE($B$21:$T$582,5,AP609:AQ610)</f>
        <v>2725</v>
      </c>
      <c r="Z608" s="1">
        <f>DAVERAGE($B$21:$T$582,4,AR609:AS610)</f>
        <v>775</v>
      </c>
      <c r="AA608" s="1">
        <f>DAVERAGE($B$21:$T$582,5,AR609:AS610)</f>
        <v>2725</v>
      </c>
      <c r="AB608" s="1">
        <f>DAVERAGE($B$21:$T$582,4,AT609:AU610)</f>
        <v>775</v>
      </c>
      <c r="AC608" s="1">
        <f>DAVERAGE($B$21:$T$582,5,AT609:AU610)</f>
        <v>2725</v>
      </c>
      <c r="AD608" s="1">
        <f>DAVERAGE($B$21:$T$582,4,AV609:AW610)</f>
        <v>775</v>
      </c>
      <c r="AE608" s="1">
        <f>DAVERAGE($B$21:$T$582,5,AV609:AW610)</f>
        <v>2725</v>
      </c>
      <c r="AF608" s="1">
        <f>DAVERAGE($B$21:$T$582,4,AX609:AY610)</f>
        <v>775</v>
      </c>
      <c r="AG608" s="1">
        <f>DAVERAGE($B$21:$T$582,5,AX609:AY610)</f>
        <v>2725</v>
      </c>
      <c r="AH608" s="1" t="e">
        <f>DAVERAGE($B$21:$T$582,4,AZ609:BA610)</f>
        <v>#DIV/0!</v>
      </c>
      <c r="AI608" s="1" t="e">
        <f>DAVERAGE($B$21:$T$582,5,AZ609:BA610)</f>
        <v>#DIV/0!</v>
      </c>
      <c r="AJ608" s="1" t="e">
        <f>DAVERAGE($B$21:$T$582,4,BB609:BC610)</f>
        <v>#DIV/0!</v>
      </c>
      <c r="AK608" s="1" t="e">
        <f>DAVERAGE($B$21:$T$582,5,BB609:BC610)</f>
        <v>#DIV/0!</v>
      </c>
      <c r="AO608" s="7" t="s">
        <v>3</v>
      </c>
      <c r="AP608" t="s">
        <v>77</v>
      </c>
      <c r="AQ608" t="s">
        <v>65</v>
      </c>
      <c r="AR608" t="s">
        <v>77</v>
      </c>
      <c r="AS608" t="s">
        <v>46</v>
      </c>
      <c r="AT608" t="s">
        <v>77</v>
      </c>
      <c r="AU608" t="s">
        <v>51</v>
      </c>
      <c r="AV608" t="s">
        <v>77</v>
      </c>
      <c r="AW608" t="s">
        <v>56</v>
      </c>
      <c r="AX608" t="s">
        <v>77</v>
      </c>
      <c r="AY608" t="s">
        <v>60</v>
      </c>
      <c r="AZ608" t="s">
        <v>77</v>
      </c>
      <c r="BA608" t="s">
        <v>66</v>
      </c>
      <c r="BB608" t="s">
        <v>77</v>
      </c>
      <c r="BC608" t="s">
        <v>68</v>
      </c>
    </row>
    <row r="609" spans="2:55" ht="12.75">
      <c r="B609" t="s">
        <v>638</v>
      </c>
      <c r="C609" s="1">
        <v>775</v>
      </c>
      <c r="D609" s="1">
        <v>2725</v>
      </c>
      <c r="E609" s="1">
        <v>775</v>
      </c>
      <c r="F609" s="1">
        <v>2725</v>
      </c>
      <c r="G609" s="1">
        <v>775</v>
      </c>
      <c r="H609" s="1">
        <v>2725</v>
      </c>
      <c r="I609" s="1">
        <v>775</v>
      </c>
      <c r="J609" s="1">
        <v>2725</v>
      </c>
      <c r="K609" s="1">
        <v>775</v>
      </c>
      <c r="L609" s="1">
        <v>2725</v>
      </c>
      <c r="M609" s="1"/>
      <c r="N609" s="1"/>
      <c r="O609" s="1"/>
      <c r="P609" s="1"/>
      <c r="V609" s="7" t="s">
        <v>3</v>
      </c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O609" s="7" t="s">
        <v>3</v>
      </c>
      <c r="AP609" s="8" t="s">
        <v>17</v>
      </c>
      <c r="AQ609" s="8" t="s">
        <v>19</v>
      </c>
      <c r="AR609" s="8" t="s">
        <v>17</v>
      </c>
      <c r="AS609" s="8" t="s">
        <v>19</v>
      </c>
      <c r="AT609" s="8" t="s">
        <v>17</v>
      </c>
      <c r="AU609" s="8" t="s">
        <v>19</v>
      </c>
      <c r="AV609" s="8" t="s">
        <v>17</v>
      </c>
      <c r="AW609" s="8" t="s">
        <v>19</v>
      </c>
      <c r="AX609" s="8" t="s">
        <v>17</v>
      </c>
      <c r="AY609" s="8" t="s">
        <v>19</v>
      </c>
      <c r="AZ609" s="8" t="s">
        <v>17</v>
      </c>
      <c r="BA609" s="8" t="s">
        <v>19</v>
      </c>
      <c r="BB609" s="8" t="s">
        <v>17</v>
      </c>
      <c r="BC609" s="8" t="s">
        <v>19</v>
      </c>
    </row>
    <row r="610" spans="3:55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V610" s="7" t="s">
        <v>3</v>
      </c>
      <c r="W610" t="s">
        <v>639</v>
      </c>
      <c r="X610" s="1">
        <f>DAVERAGE($B$21:$T$582,4,AP611:AQ612)</f>
        <v>1554</v>
      </c>
      <c r="Y610" s="1">
        <f>DAVERAGE($B$21:$T$582,5,AP611:AQ612)</f>
        <v>4380</v>
      </c>
      <c r="Z610" s="1">
        <f>DAVERAGE($B$21:$T$582,4,AR611:AS612)</f>
        <v>1453.5</v>
      </c>
      <c r="AA610" s="1">
        <f>DAVERAGE($B$21:$T$582,5,AR611:AS612)</f>
        <v>4723.5</v>
      </c>
      <c r="AB610" s="1" t="e">
        <f>DAVERAGE($B$21:$T$582,4,AT611:AU612)</f>
        <v>#DIV/0!</v>
      </c>
      <c r="AC610" s="1" t="e">
        <f>DAVERAGE($B$21:$T$582,5,AT611:AU612)</f>
        <v>#DIV/0!</v>
      </c>
      <c r="AD610" s="1" t="e">
        <f>DAVERAGE($B$21:$T$582,4,AV611:AW612)</f>
        <v>#DIV/0!</v>
      </c>
      <c r="AE610" s="1" t="e">
        <f>DAVERAGE($B$21:$T$582,5,AV611:AW612)</f>
        <v>#DIV/0!</v>
      </c>
      <c r="AF610" s="1">
        <f>DAVERAGE($B$21:$T$582,4,AX611:AY612)</f>
        <v>1174.75</v>
      </c>
      <c r="AG610" s="1">
        <f>DAVERAGE($B$21:$T$582,5,AX611:AY612)</f>
        <v>3309.5</v>
      </c>
      <c r="AH610" s="1">
        <f>DAVERAGE($B$21:$T$582,4,AZ611:BA612)</f>
        <v>1044</v>
      </c>
      <c r="AI610" s="1">
        <f>DAVERAGE($B$21:$T$582,5,AZ611:BA612)</f>
        <v>3048</v>
      </c>
      <c r="AJ610" s="1">
        <f>DAVERAGE($B$21:$T$582,4,BB611:BC612)</f>
        <v>1261.5</v>
      </c>
      <c r="AK610" s="1">
        <f>DAVERAGE($B$21:$T$582,5,BB611:BC612)</f>
        <v>3639</v>
      </c>
      <c r="AO610" s="7" t="s">
        <v>3</v>
      </c>
      <c r="AP610" t="s">
        <v>87</v>
      </c>
      <c r="AQ610" t="s">
        <v>65</v>
      </c>
      <c r="AR610" t="s">
        <v>87</v>
      </c>
      <c r="AS610" t="s">
        <v>46</v>
      </c>
      <c r="AT610" t="s">
        <v>87</v>
      </c>
      <c r="AU610" t="s">
        <v>51</v>
      </c>
      <c r="AV610" t="s">
        <v>87</v>
      </c>
      <c r="AW610" t="s">
        <v>56</v>
      </c>
      <c r="AX610" t="s">
        <v>87</v>
      </c>
      <c r="AY610" t="s">
        <v>60</v>
      </c>
      <c r="AZ610" t="s">
        <v>87</v>
      </c>
      <c r="BA610" t="s">
        <v>66</v>
      </c>
      <c r="BB610" t="s">
        <v>87</v>
      </c>
      <c r="BC610" t="s">
        <v>68</v>
      </c>
    </row>
    <row r="611" spans="2:55" ht="12.75">
      <c r="B611" t="s">
        <v>639</v>
      </c>
      <c r="C611" s="1">
        <v>1554</v>
      </c>
      <c r="D611" s="1">
        <v>4380</v>
      </c>
      <c r="E611" s="1">
        <f>(1587+1320)/2</f>
        <v>1453.5</v>
      </c>
      <c r="F611" s="1">
        <f>(5007+4440)/2</f>
        <v>4723.5</v>
      </c>
      <c r="G611" s="1"/>
      <c r="H611" s="1"/>
      <c r="I611" s="1"/>
      <c r="J611" s="1"/>
      <c r="K611" s="1">
        <f>(1200+1176)/2</f>
        <v>1188</v>
      </c>
      <c r="L611" s="1">
        <f>(3312+3360)/2</f>
        <v>3336</v>
      </c>
      <c r="M611" s="1">
        <v>1044</v>
      </c>
      <c r="N611" s="1">
        <v>3048</v>
      </c>
      <c r="O611" s="1">
        <f>(1443+1080)/2</f>
        <v>1261.5</v>
      </c>
      <c r="P611" s="1">
        <f>(4158+3120)/2</f>
        <v>3639</v>
      </c>
      <c r="V611" s="7" t="s">
        <v>3</v>
      </c>
      <c r="W611" t="s">
        <v>640</v>
      </c>
      <c r="X611" s="1">
        <f>DAVERAGE($B$21:$T$582,4,AP613:AQ614)</f>
        <v>1228</v>
      </c>
      <c r="Y611" s="1">
        <f>DAVERAGE($B$21:$T$582,5,AP613:AQ614)</f>
        <v>3518</v>
      </c>
      <c r="Z611" s="1">
        <f>DAVERAGE($B$21:$T$582,4,AR613:AS614)</f>
        <v>1244</v>
      </c>
      <c r="AA611" s="1">
        <f>DAVERAGE($B$21:$T$582,5,AR613:AS614)</f>
        <v>3534</v>
      </c>
      <c r="AB611" s="1" t="e">
        <f>DAVERAGE($B$21:$T$582,4,AT613:AU614)</f>
        <v>#DIV/0!</v>
      </c>
      <c r="AC611" s="1" t="e">
        <f>DAVERAGE($B$21:$T$582,5,AT613:AU614)</f>
        <v>#DIV/0!</v>
      </c>
      <c r="AD611" s="1">
        <f>DAVERAGE($B$21:$T$582,4,AV613:AW614)</f>
        <v>950.6666666666666</v>
      </c>
      <c r="AE611" s="1">
        <f>DAVERAGE($B$21:$T$582,5,AV613:AW614)</f>
        <v>2720.6666666666665</v>
      </c>
      <c r="AF611" s="1">
        <f>DAVERAGE($B$21:$T$582,4,AX613:AY614)</f>
        <v>969.3333333333334</v>
      </c>
      <c r="AG611" s="1">
        <f>DAVERAGE($B$21:$T$582,5,AX613:AY614)</f>
        <v>2739.3333333333335</v>
      </c>
      <c r="AH611" s="1" t="e">
        <f>DAVERAGE($B$21:$T$582,4,AZ613:BA614)</f>
        <v>#DIV/0!</v>
      </c>
      <c r="AI611" s="1" t="e">
        <f>DAVERAGE($B$21:$T$582,5,AZ613:BA614)</f>
        <v>#DIV/0!</v>
      </c>
      <c r="AJ611" s="1" t="e">
        <f>DAVERAGE($B$21:$T$582,4,BB613:BC614)</f>
        <v>#DIV/0!</v>
      </c>
      <c r="AK611" s="1" t="e">
        <f>DAVERAGE($B$21:$T$582,5,BB613:BC614)</f>
        <v>#DIV/0!</v>
      </c>
      <c r="AO611" s="7" t="s">
        <v>3</v>
      </c>
      <c r="AP611" s="8" t="s">
        <v>17</v>
      </c>
      <c r="AQ611" s="8" t="s">
        <v>19</v>
      </c>
      <c r="AR611" s="8" t="s">
        <v>17</v>
      </c>
      <c r="AS611" s="8" t="s">
        <v>19</v>
      </c>
      <c r="AT611" s="8" t="s">
        <v>17</v>
      </c>
      <c r="AU611" s="8" t="s">
        <v>19</v>
      </c>
      <c r="AV611" s="8" t="s">
        <v>17</v>
      </c>
      <c r="AW611" s="8" t="s">
        <v>19</v>
      </c>
      <c r="AX611" s="8" t="s">
        <v>17</v>
      </c>
      <c r="AY611" s="8" t="s">
        <v>19</v>
      </c>
      <c r="AZ611" s="8" t="s">
        <v>17</v>
      </c>
      <c r="BA611" s="8" t="s">
        <v>19</v>
      </c>
      <c r="BB611" s="8" t="s">
        <v>17</v>
      </c>
      <c r="BC611" s="8" t="s">
        <v>19</v>
      </c>
    </row>
    <row r="612" spans="2:55" ht="12.75">
      <c r="B612" t="s">
        <v>640</v>
      </c>
      <c r="C612" s="1">
        <v>1228</v>
      </c>
      <c r="D612" s="1">
        <v>3518</v>
      </c>
      <c r="E612" s="1">
        <v>1244</v>
      </c>
      <c r="F612" s="1">
        <v>3534</v>
      </c>
      <c r="G612" s="1"/>
      <c r="H612" s="1"/>
      <c r="I612" s="1">
        <f>(954+944)/2</f>
        <v>949</v>
      </c>
      <c r="J612" s="1">
        <f>(2724+2714)/2</f>
        <v>2719</v>
      </c>
      <c r="K612" s="1">
        <v>974</v>
      </c>
      <c r="L612" s="1">
        <v>2744</v>
      </c>
      <c r="M612" s="1"/>
      <c r="N612" s="1"/>
      <c r="O612" s="1"/>
      <c r="P612" s="1"/>
      <c r="V612" s="7" t="s">
        <v>3</v>
      </c>
      <c r="W612" t="s">
        <v>641</v>
      </c>
      <c r="X612" s="1">
        <f>DAVERAGE($B$21:$T$582,4,AP615:AQ616)</f>
        <v>1274</v>
      </c>
      <c r="Y612" s="1">
        <f>DAVERAGE($B$21:$T$582,5,AP615:AQ616)</f>
        <v>3274</v>
      </c>
      <c r="Z612" s="1" t="e">
        <f>DAVERAGE($B$21:$T$582,4,AR615:AS616)</f>
        <v>#DIV/0!</v>
      </c>
      <c r="AA612" s="1" t="e">
        <f>DAVERAGE($B$21:$T$582,5,AR615:AS616)</f>
        <v>#DIV/0!</v>
      </c>
      <c r="AB612" s="1">
        <f>DAVERAGE($B$21:$T$582,4,AT615:AU616)</f>
        <v>1056.6</v>
      </c>
      <c r="AC612" s="1">
        <f>DAVERAGE($B$21:$T$582,5,AT615:AU616)</f>
        <v>2095.6</v>
      </c>
      <c r="AD612" s="1" t="e">
        <f>DAVERAGE($B$21:$T$582,4,AV615:AW616)</f>
        <v>#DIV/0!</v>
      </c>
      <c r="AE612" s="1" t="e">
        <f>DAVERAGE($B$21:$T$582,5,AV615:AW616)</f>
        <v>#DIV/0!</v>
      </c>
      <c r="AF612" s="1">
        <f>DAVERAGE($B$21:$T$582,4,AX615:AY616)</f>
        <v>954.8571428571429</v>
      </c>
      <c r="AG612" s="1">
        <f>DAVERAGE($B$21:$T$582,5,AX615:AY616)</f>
        <v>1827.7142857142858</v>
      </c>
      <c r="AH612" s="1" t="e">
        <f>DAVERAGE($B$21:$T$582,4,AZ615:BA616)</f>
        <v>#DIV/0!</v>
      </c>
      <c r="AI612" s="1" t="e">
        <f>DAVERAGE($B$21:$T$582,5,AZ615:BA616)</f>
        <v>#DIV/0!</v>
      </c>
      <c r="AJ612" s="1" t="e">
        <f>DAVERAGE($B$21:$T$582,4,BB615:BC616)</f>
        <v>#DIV/0!</v>
      </c>
      <c r="AK612" s="1" t="e">
        <f>DAVERAGE($B$21:$T$582,5,BB615:BC616)</f>
        <v>#DIV/0!</v>
      </c>
      <c r="AO612" s="7" t="s">
        <v>3</v>
      </c>
      <c r="AP612" t="s">
        <v>97</v>
      </c>
      <c r="AQ612" t="s">
        <v>65</v>
      </c>
      <c r="AR612" t="s">
        <v>97</v>
      </c>
      <c r="AS612" t="s">
        <v>46</v>
      </c>
      <c r="AT612" t="s">
        <v>97</v>
      </c>
      <c r="AU612" t="s">
        <v>51</v>
      </c>
      <c r="AV612" t="s">
        <v>97</v>
      </c>
      <c r="AW612" t="s">
        <v>56</v>
      </c>
      <c r="AX612" t="s">
        <v>97</v>
      </c>
      <c r="AY612" t="s">
        <v>60</v>
      </c>
      <c r="AZ612" t="s">
        <v>97</v>
      </c>
      <c r="BA612" t="s">
        <v>66</v>
      </c>
      <c r="BB612" t="s">
        <v>97</v>
      </c>
      <c r="BC612" t="s">
        <v>68</v>
      </c>
    </row>
    <row r="613" spans="2:55" ht="12.75">
      <c r="B613" t="s">
        <v>641</v>
      </c>
      <c r="C613" s="1">
        <v>1274</v>
      </c>
      <c r="D613" s="1">
        <v>3274</v>
      </c>
      <c r="E613" s="1"/>
      <c r="F613" s="1"/>
      <c r="G613" s="1">
        <v>1086</v>
      </c>
      <c r="H613" s="1">
        <v>1966</v>
      </c>
      <c r="I613" s="1"/>
      <c r="J613" s="1"/>
      <c r="K613" s="1">
        <v>990</v>
      </c>
      <c r="L613" s="1">
        <v>1894</v>
      </c>
      <c r="M613" s="1"/>
      <c r="N613" s="1"/>
      <c r="O613" s="1"/>
      <c r="P613" s="1"/>
      <c r="V613" s="7" t="s">
        <v>3</v>
      </c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O613" s="7" t="s">
        <v>3</v>
      </c>
      <c r="AP613" s="8" t="s">
        <v>17</v>
      </c>
      <c r="AQ613" s="8" t="s">
        <v>19</v>
      </c>
      <c r="AR613" s="8" t="s">
        <v>17</v>
      </c>
      <c r="AS613" s="8" t="s">
        <v>19</v>
      </c>
      <c r="AT613" s="8" t="s">
        <v>17</v>
      </c>
      <c r="AU613" s="8" t="s">
        <v>19</v>
      </c>
      <c r="AV613" s="8" t="s">
        <v>17</v>
      </c>
      <c r="AW613" s="8" t="s">
        <v>19</v>
      </c>
      <c r="AX613" s="8" t="s">
        <v>17</v>
      </c>
      <c r="AY613" s="8" t="s">
        <v>19</v>
      </c>
      <c r="AZ613" s="8" t="s">
        <v>17</v>
      </c>
      <c r="BA613" s="8" t="s">
        <v>19</v>
      </c>
      <c r="BB613" s="8" t="s">
        <v>17</v>
      </c>
      <c r="BC613" s="8" t="s">
        <v>19</v>
      </c>
    </row>
    <row r="614" spans="22:55" ht="12.75">
      <c r="V614" s="7" t="s">
        <v>3</v>
      </c>
      <c r="W614" t="s">
        <v>642</v>
      </c>
      <c r="X614" s="1">
        <f>DAVERAGE($B$21:$T$582,4,AP617:AQ618)</f>
        <v>1496</v>
      </c>
      <c r="Y614" s="1">
        <f>DAVERAGE($B$21:$T$582,5,AP617:AQ618)</f>
        <v>4202</v>
      </c>
      <c r="Z614" s="1" t="e">
        <f>DAVERAGE($B$21:$T$582,4,AR617:AS618)</f>
        <v>#DIV/0!</v>
      </c>
      <c r="AA614" s="1" t="e">
        <f>DAVERAGE($B$21:$T$582,5,AR617:AS618)</f>
        <v>#DIV/0!</v>
      </c>
      <c r="AB614" s="1">
        <f>DAVERAGE($B$21:$T$582,4,AT617:AU618)</f>
        <v>1508</v>
      </c>
      <c r="AC614" s="1">
        <f>DAVERAGE($B$21:$T$582,5,AT617:AU618)</f>
        <v>3585</v>
      </c>
      <c r="AD614" s="1" t="e">
        <f>DAVERAGE($B$21:$T$582,4,AV617:AW618)</f>
        <v>#DIV/0!</v>
      </c>
      <c r="AE614" s="1" t="e">
        <f>DAVERAGE($B$21:$T$582,5,AV617:AW618)</f>
        <v>#DIV/0!</v>
      </c>
      <c r="AF614" s="1">
        <f>DAVERAGE($B$21:$T$582,4,AX617:AY618)</f>
        <v>1503.7142857142858</v>
      </c>
      <c r="AG614" s="1">
        <f>DAVERAGE($B$21:$T$582,5,AX617:AY618)</f>
        <v>2935.714285714286</v>
      </c>
      <c r="AH614" s="1">
        <f>DAVERAGE($B$21:$T$582,4,AZ617:BA618)</f>
        <v>1850</v>
      </c>
      <c r="AI614" s="1">
        <f>DAVERAGE($B$21:$T$582,5,AZ617:BA618)</f>
        <v>2850</v>
      </c>
      <c r="AJ614" s="1">
        <f>DAVERAGE($B$21:$T$582,4,BB617:BC618)</f>
        <v>1591</v>
      </c>
      <c r="AK614" s="1">
        <f>DAVERAGE($B$21:$T$582,5,BB617:BC618)</f>
        <v>4297</v>
      </c>
      <c r="AO614" s="7" t="s">
        <v>3</v>
      </c>
      <c r="AP614" t="s">
        <v>114</v>
      </c>
      <c r="AQ614" t="s">
        <v>65</v>
      </c>
      <c r="AR614" t="s">
        <v>114</v>
      </c>
      <c r="AS614" t="s">
        <v>46</v>
      </c>
      <c r="AT614" t="s">
        <v>114</v>
      </c>
      <c r="AU614" t="s">
        <v>51</v>
      </c>
      <c r="AV614" t="s">
        <v>114</v>
      </c>
      <c r="AW614" t="s">
        <v>56</v>
      </c>
      <c r="AX614" t="s">
        <v>114</v>
      </c>
      <c r="AY614" t="s">
        <v>60</v>
      </c>
      <c r="AZ614" t="s">
        <v>114</v>
      </c>
      <c r="BA614" t="s">
        <v>66</v>
      </c>
      <c r="BB614" t="s">
        <v>114</v>
      </c>
      <c r="BC614" t="s">
        <v>68</v>
      </c>
    </row>
    <row r="615" spans="2:55" ht="12.75">
      <c r="B615" t="s">
        <v>642</v>
      </c>
      <c r="C615" s="1">
        <v>1496</v>
      </c>
      <c r="D615" s="1">
        <v>4202</v>
      </c>
      <c r="E615" s="1"/>
      <c r="F615" s="1"/>
      <c r="G615" s="1">
        <f>(1515+1498)/2</f>
        <v>1506.5</v>
      </c>
      <c r="H615" s="1">
        <f>(4224+2946)/2</f>
        <v>3585</v>
      </c>
      <c r="I615" s="1"/>
      <c r="J615" s="1"/>
      <c r="K615" s="1">
        <v>1490</v>
      </c>
      <c r="L615" s="1">
        <v>2780</v>
      </c>
      <c r="M615" s="1">
        <v>1850</v>
      </c>
      <c r="N615" s="1">
        <v>2850</v>
      </c>
      <c r="O615" s="1">
        <v>1591</v>
      </c>
      <c r="P615" s="1">
        <v>4297</v>
      </c>
      <c r="V615" s="7" t="s">
        <v>3</v>
      </c>
      <c r="W615" t="s">
        <v>643</v>
      </c>
      <c r="X615" s="1" t="e">
        <f>DAVERAGE($B$21:$T$582,4,AP619:AQ620)</f>
        <v>#DIV/0!</v>
      </c>
      <c r="Y615" s="1" t="e">
        <f>DAVERAGE($B$21:$T$582,5,AP619:AQ620)</f>
        <v>#DIV/0!</v>
      </c>
      <c r="Z615" s="1">
        <f>DAVERAGE($B$21:$T$582,4,AR619:AS620)</f>
        <v>1470</v>
      </c>
      <c r="AA615" s="1">
        <f>DAVERAGE($B$21:$T$582,5,AR619:AS620)</f>
        <v>2652</v>
      </c>
      <c r="AB615" s="1">
        <f>DAVERAGE($B$21:$T$582,4,AT619:AU620)</f>
        <v>1086</v>
      </c>
      <c r="AC615" s="1">
        <f>DAVERAGE($B$21:$T$582,5,AT619:AU620)</f>
        <v>2268</v>
      </c>
      <c r="AD615" s="1" t="e">
        <f>DAVERAGE($B$21:$T$582,4,AV619:AW620)</f>
        <v>#DIV/0!</v>
      </c>
      <c r="AE615" s="1" t="e">
        <f>DAVERAGE($B$21:$T$582,5,AV619:AW620)</f>
        <v>#DIV/0!</v>
      </c>
      <c r="AF615" s="1">
        <f>DAVERAGE($B$21:$T$582,4,AX619:AY620)</f>
        <v>1108.3333333333333</v>
      </c>
      <c r="AG615" s="1">
        <f>DAVERAGE($B$21:$T$582,5,AX619:AY620)</f>
        <v>2290.3333333333335</v>
      </c>
      <c r="AH615" s="1" t="e">
        <f>DAVERAGE($B$21:$T$582,4,AZ619:BA620)</f>
        <v>#DIV/0!</v>
      </c>
      <c r="AI615" s="1" t="e">
        <f>DAVERAGE($B$21:$T$582,5,AZ619:BA620)</f>
        <v>#DIV/0!</v>
      </c>
      <c r="AJ615" s="1" t="e">
        <f>DAVERAGE($B$21:$T$582,4,BB619:BC620)</f>
        <v>#DIV/0!</v>
      </c>
      <c r="AK615" s="1" t="e">
        <f>DAVERAGE($B$21:$T$582,5,BB619:BC620)</f>
        <v>#DIV/0!</v>
      </c>
      <c r="AO615" s="7" t="s">
        <v>3</v>
      </c>
      <c r="AP615" s="8" t="s">
        <v>17</v>
      </c>
      <c r="AQ615" s="8" t="s">
        <v>19</v>
      </c>
      <c r="AR615" s="8" t="s">
        <v>17</v>
      </c>
      <c r="AS615" s="8" t="s">
        <v>19</v>
      </c>
      <c r="AT615" s="8" t="s">
        <v>17</v>
      </c>
      <c r="AU615" s="8" t="s">
        <v>19</v>
      </c>
      <c r="AV615" s="8" t="s">
        <v>17</v>
      </c>
      <c r="AW615" s="8" t="s">
        <v>19</v>
      </c>
      <c r="AX615" s="8" t="s">
        <v>17</v>
      </c>
      <c r="AY615" s="8" t="s">
        <v>19</v>
      </c>
      <c r="AZ615" s="8" t="s">
        <v>17</v>
      </c>
      <c r="BA615" s="8" t="s">
        <v>19</v>
      </c>
      <c r="BB615" s="8" t="s">
        <v>17</v>
      </c>
      <c r="BC615" s="8" t="s">
        <v>19</v>
      </c>
    </row>
    <row r="616" spans="2:55" ht="12.75">
      <c r="B616" t="s">
        <v>643</v>
      </c>
      <c r="C616" s="1"/>
      <c r="D616" s="1"/>
      <c r="E616" s="1">
        <v>1492</v>
      </c>
      <c r="F616" s="1">
        <v>2674</v>
      </c>
      <c r="G616" s="1">
        <f>(1172+1000)/2</f>
        <v>1086</v>
      </c>
      <c r="H616" s="1">
        <f>(2354+2182)/2</f>
        <v>2268</v>
      </c>
      <c r="I616" s="1"/>
      <c r="J616" s="1"/>
      <c r="K616" s="1">
        <v>1100</v>
      </c>
      <c r="L616" s="1">
        <v>2282</v>
      </c>
      <c r="M616" s="1"/>
      <c r="N616" s="1"/>
      <c r="O616" s="1"/>
      <c r="P616" s="1"/>
      <c r="V616" s="7" t="s">
        <v>3</v>
      </c>
      <c r="W616" t="s">
        <v>644</v>
      </c>
      <c r="X616" s="1">
        <f>DAVERAGE($B$21:$T$582,4,AP621:AQ622)</f>
        <v>802</v>
      </c>
      <c r="Y616" s="1">
        <f>DAVERAGE($B$21:$T$582,5,AP621:AQ622)</f>
        <v>3722</v>
      </c>
      <c r="Z616" s="1">
        <f>DAVERAGE($B$21:$T$582,4,AR621:AS622)</f>
        <v>888</v>
      </c>
      <c r="AA616" s="1">
        <f>DAVERAGE($B$21:$T$582,5,AR621:AS622)</f>
        <v>3808</v>
      </c>
      <c r="AB616" s="1">
        <f>DAVERAGE($B$21:$T$582,4,AT621:AU622)</f>
        <v>764</v>
      </c>
      <c r="AC616" s="1">
        <f>DAVERAGE($B$21:$T$582,5,AT621:AU622)</f>
        <v>3610</v>
      </c>
      <c r="AD616" s="1">
        <f>DAVERAGE($B$21:$T$582,4,AV621:AW622)</f>
        <v>774.8</v>
      </c>
      <c r="AE616" s="1">
        <f>DAVERAGE($B$21:$T$582,5,AV621:AW622)</f>
        <v>3620.8</v>
      </c>
      <c r="AF616" s="1">
        <f>DAVERAGE($B$21:$T$582,4,AX621:AY622)</f>
        <v>745.6666666666666</v>
      </c>
      <c r="AG616" s="1">
        <f>DAVERAGE($B$21:$T$582,5,AX621:AY622)</f>
        <v>3477</v>
      </c>
      <c r="AH616" s="1">
        <f>DAVERAGE($B$21:$T$582,4,AZ621:BA622)</f>
        <v>732.3333333333334</v>
      </c>
      <c r="AI616" s="1">
        <f>DAVERAGE($B$21:$T$582,5,AZ621:BA622)</f>
        <v>3234.3333333333335</v>
      </c>
      <c r="AJ616" s="1">
        <f>DAVERAGE($B$21:$T$582,4,BB621:BC622)</f>
        <v>1050</v>
      </c>
      <c r="AK616" s="1">
        <f>DAVERAGE($B$21:$T$582,5,BB621:BC622)</f>
        <v>3609</v>
      </c>
      <c r="AO616" s="7" t="s">
        <v>3</v>
      </c>
      <c r="AP616" t="s">
        <v>123</v>
      </c>
      <c r="AQ616" t="s">
        <v>65</v>
      </c>
      <c r="AR616" t="s">
        <v>123</v>
      </c>
      <c r="AS616" t="s">
        <v>46</v>
      </c>
      <c r="AT616" t="s">
        <v>123</v>
      </c>
      <c r="AU616" t="s">
        <v>51</v>
      </c>
      <c r="AV616" t="s">
        <v>123</v>
      </c>
      <c r="AW616" t="s">
        <v>56</v>
      </c>
      <c r="AX616" t="s">
        <v>123</v>
      </c>
      <c r="AY616" t="s">
        <v>60</v>
      </c>
      <c r="AZ616" t="s">
        <v>123</v>
      </c>
      <c r="BA616" t="s">
        <v>66</v>
      </c>
      <c r="BB616" t="s">
        <v>123</v>
      </c>
      <c r="BC616" t="s">
        <v>68</v>
      </c>
    </row>
    <row r="617" spans="2:55" ht="12.75">
      <c r="B617" t="s">
        <v>644</v>
      </c>
      <c r="C617" s="1">
        <f>(794+810)/2</f>
        <v>802</v>
      </c>
      <c r="D617" s="1">
        <f>(3714+3730)/2</f>
        <v>3722</v>
      </c>
      <c r="E617" s="1">
        <v>888</v>
      </c>
      <c r="F617" s="1">
        <v>3808</v>
      </c>
      <c r="G617" s="1">
        <v>764</v>
      </c>
      <c r="H617" s="1">
        <v>3610</v>
      </c>
      <c r="I617" s="1">
        <v>781</v>
      </c>
      <c r="J617" s="1">
        <v>3627</v>
      </c>
      <c r="K617" s="1">
        <v>780</v>
      </c>
      <c r="L617" s="1">
        <v>3626</v>
      </c>
      <c r="M617" s="1">
        <v>736</v>
      </c>
      <c r="N617" s="1">
        <v>3238</v>
      </c>
      <c r="O617" s="1">
        <v>1050</v>
      </c>
      <c r="P617" s="1">
        <v>3609</v>
      </c>
      <c r="Q617" s="1"/>
      <c r="R617" s="1"/>
      <c r="S617" s="1"/>
      <c r="T617" s="1"/>
      <c r="U617" s="1"/>
      <c r="V617" s="7" t="s">
        <v>3</v>
      </c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O617" s="7" t="s">
        <v>3</v>
      </c>
      <c r="AP617" s="8" t="s">
        <v>17</v>
      </c>
      <c r="AQ617" s="8" t="s">
        <v>19</v>
      </c>
      <c r="AR617" s="8" t="s">
        <v>17</v>
      </c>
      <c r="AS617" s="8" t="s">
        <v>19</v>
      </c>
      <c r="AT617" s="8" t="s">
        <v>17</v>
      </c>
      <c r="AU617" s="8" t="s">
        <v>19</v>
      </c>
      <c r="AV617" s="8" t="s">
        <v>17</v>
      </c>
      <c r="AW617" s="8" t="s">
        <v>19</v>
      </c>
      <c r="AX617" s="8" t="s">
        <v>17</v>
      </c>
      <c r="AY617" s="8" t="s">
        <v>19</v>
      </c>
      <c r="AZ617" s="8" t="s">
        <v>17</v>
      </c>
      <c r="BA617" s="8" t="s">
        <v>19</v>
      </c>
      <c r="BB617" s="8" t="s">
        <v>17</v>
      </c>
      <c r="BC617" s="8" t="s">
        <v>19</v>
      </c>
    </row>
    <row r="618" spans="22:55" ht="12.75">
      <c r="V618" s="7" t="s">
        <v>3</v>
      </c>
      <c r="W618" t="s">
        <v>645</v>
      </c>
      <c r="X618" s="1">
        <f>DAVERAGE($B$21:$T$582,4,AP623:AQ624)</f>
        <v>843</v>
      </c>
      <c r="Y618" s="1">
        <f>DAVERAGE($B$21:$T$582,5,AP623:AQ624)</f>
        <v>2469</v>
      </c>
      <c r="Z618" s="1" t="e">
        <f>DAVERAGE($B$21:$T$582,4,AR623:AS624)</f>
        <v>#DIV/0!</v>
      </c>
      <c r="AA618" s="1" t="e">
        <f>DAVERAGE($B$21:$T$582,5,AR623:AS624)</f>
        <v>#DIV/0!</v>
      </c>
      <c r="AB618" s="1" t="e">
        <f>DAVERAGE($B$21:$T$582,4,AT623:AU624)</f>
        <v>#DIV/0!</v>
      </c>
      <c r="AC618" s="1" t="e">
        <f>DAVERAGE($B$21:$T$582,5,AT623:AU624)</f>
        <v>#DIV/0!</v>
      </c>
      <c r="AD618" s="1" t="e">
        <f>DAVERAGE($B$21:$T$582,4,AV623:AW624)</f>
        <v>#DIV/0!</v>
      </c>
      <c r="AE618" s="1" t="e">
        <f>DAVERAGE($B$21:$T$582,5,AV623:AW624)</f>
        <v>#DIV/0!</v>
      </c>
      <c r="AF618" s="1">
        <f>DAVERAGE($B$21:$T$582,4,AX623:AY624)</f>
        <v>606.8333333333334</v>
      </c>
      <c r="AG618" s="1">
        <f>DAVERAGE($B$21:$T$582,5,AX623:AY624)</f>
        <v>1639</v>
      </c>
      <c r="AH618" s="1">
        <f>DAVERAGE($B$21:$T$582,4,AZ623:BA624)</f>
        <v>628.25</v>
      </c>
      <c r="AI618" s="1">
        <f>DAVERAGE($B$21:$T$582,5,AZ623:BA624)</f>
        <v>1659.75</v>
      </c>
      <c r="AJ618" s="1" t="e">
        <f>DAVERAGE($B$21:$T$582,4,BB623:BC624)</f>
        <v>#DIV/0!</v>
      </c>
      <c r="AK618" s="1" t="e">
        <f>DAVERAGE($B$21:$T$582,5,BB623:BC624)</f>
        <v>#DIV/0!</v>
      </c>
      <c r="AO618" s="7" t="s">
        <v>3</v>
      </c>
      <c r="AP618" t="s">
        <v>137</v>
      </c>
      <c r="AQ618" t="s">
        <v>65</v>
      </c>
      <c r="AR618" t="s">
        <v>137</v>
      </c>
      <c r="AS618" t="s">
        <v>46</v>
      </c>
      <c r="AT618" t="s">
        <v>137</v>
      </c>
      <c r="AU618" t="s">
        <v>51</v>
      </c>
      <c r="AV618" t="s">
        <v>137</v>
      </c>
      <c r="AW618" t="s">
        <v>56</v>
      </c>
      <c r="AX618" t="s">
        <v>137</v>
      </c>
      <c r="AY618" t="s">
        <v>60</v>
      </c>
      <c r="AZ618" t="s">
        <v>137</v>
      </c>
      <c r="BA618" t="s">
        <v>66</v>
      </c>
      <c r="BB618" t="s">
        <v>137</v>
      </c>
      <c r="BC618" t="s">
        <v>68</v>
      </c>
    </row>
    <row r="619" spans="2:55" ht="12.75">
      <c r="B619" t="s">
        <v>645</v>
      </c>
      <c r="C619" s="1">
        <f>(858+828)/2</f>
        <v>843</v>
      </c>
      <c r="D619" s="1">
        <f>(2484+2454)/2</f>
        <v>2469</v>
      </c>
      <c r="E619" s="1"/>
      <c r="F619" s="1"/>
      <c r="G619" s="1"/>
      <c r="H619" s="1"/>
      <c r="I619" s="1"/>
      <c r="J619" s="1"/>
      <c r="K619" s="1">
        <v>611</v>
      </c>
      <c r="L619" s="1">
        <v>1643</v>
      </c>
      <c r="M619" s="1">
        <f>(648+622)/2</f>
        <v>635</v>
      </c>
      <c r="N619" s="1">
        <f>(1678+1654)/2</f>
        <v>1666</v>
      </c>
      <c r="O619" s="1"/>
      <c r="P619" s="1"/>
      <c r="V619" s="7" t="s">
        <v>3</v>
      </c>
      <c r="W619" t="s">
        <v>646</v>
      </c>
      <c r="X619" s="1">
        <f>DAVERAGE($B$21:$T$582,4,AP625:AQ626)</f>
        <v>1608</v>
      </c>
      <c r="Y619" s="1">
        <f>DAVERAGE($B$21:$T$582,5,AP625:AQ626)</f>
        <v>3288</v>
      </c>
      <c r="Z619" s="1">
        <f>DAVERAGE($B$21:$T$582,4,AR625:AS626)</f>
        <v>1682</v>
      </c>
      <c r="AA619" s="1">
        <f>DAVERAGE($B$21:$T$582,5,AR625:AS626)</f>
        <v>3910</v>
      </c>
      <c r="AB619" s="1" t="e">
        <f>DAVERAGE($B$21:$T$582,4,AT625:AU626)</f>
        <v>#DIV/0!</v>
      </c>
      <c r="AC619" s="1" t="e">
        <f>DAVERAGE($B$21:$T$582,5,AT625:AU626)</f>
        <v>#DIV/0!</v>
      </c>
      <c r="AD619" s="1" t="e">
        <f>DAVERAGE($B$21:$T$582,4,AV625:AW626)</f>
        <v>#DIV/0!</v>
      </c>
      <c r="AE619" s="1" t="e">
        <f>DAVERAGE($B$21:$T$582,5,AV625:AW626)</f>
        <v>#DIV/0!</v>
      </c>
      <c r="AF619" s="1">
        <f>DAVERAGE($B$21:$T$582,4,AX625:AY626)</f>
        <v>1373.1666666666667</v>
      </c>
      <c r="AG619" s="1">
        <f>DAVERAGE($B$21:$T$582,5,AX625:AY626)</f>
        <v>2567.5</v>
      </c>
      <c r="AH619" s="1">
        <f>DAVERAGE($B$21:$T$582,4,AZ625:BA626)</f>
        <v>1200</v>
      </c>
      <c r="AI619" s="1">
        <f>DAVERAGE($B$21:$T$582,5,AZ625:BA626)</f>
        <v>2540</v>
      </c>
      <c r="AJ619" s="1">
        <f>DAVERAGE($B$21:$T$582,4,BB625:BC626)</f>
        <v>1266</v>
      </c>
      <c r="AK619" s="1">
        <f>DAVERAGE($B$21:$T$582,5,BB625:BC626)</f>
        <v>2532</v>
      </c>
      <c r="AO619" s="7" t="s">
        <v>3</v>
      </c>
      <c r="AP619" s="8" t="s">
        <v>17</v>
      </c>
      <c r="AQ619" s="8" t="s">
        <v>19</v>
      </c>
      <c r="AR619" s="8" t="s">
        <v>17</v>
      </c>
      <c r="AS619" s="8" t="s">
        <v>19</v>
      </c>
      <c r="AT619" s="8" t="s">
        <v>17</v>
      </c>
      <c r="AU619" s="8" t="s">
        <v>19</v>
      </c>
      <c r="AV619" s="8" t="s">
        <v>17</v>
      </c>
      <c r="AW619" s="8" t="s">
        <v>19</v>
      </c>
      <c r="AX619" s="8" t="s">
        <v>17</v>
      </c>
      <c r="AY619" s="8" t="s">
        <v>19</v>
      </c>
      <c r="AZ619" s="8" t="s">
        <v>17</v>
      </c>
      <c r="BA619" s="8" t="s">
        <v>19</v>
      </c>
      <c r="BB619" s="8" t="s">
        <v>17</v>
      </c>
      <c r="BC619" s="8" t="s">
        <v>19</v>
      </c>
    </row>
    <row r="620" spans="2:55" ht="12.75">
      <c r="B620" t="s">
        <v>646</v>
      </c>
      <c r="C620" s="1">
        <v>1608</v>
      </c>
      <c r="D620" s="1">
        <v>3288</v>
      </c>
      <c r="E620" s="1">
        <v>1682</v>
      </c>
      <c r="F620" s="1">
        <v>3910</v>
      </c>
      <c r="G620" s="1"/>
      <c r="H620" s="1"/>
      <c r="I620" s="1"/>
      <c r="J620" s="1"/>
      <c r="K620" s="1">
        <f>(1380+1270)/2</f>
        <v>1325</v>
      </c>
      <c r="L620" s="1">
        <f>(2300+2278)/2</f>
        <v>2289</v>
      </c>
      <c r="M620" s="1">
        <v>1200</v>
      </c>
      <c r="N620" s="1">
        <v>2540</v>
      </c>
      <c r="O620" s="1">
        <v>1266</v>
      </c>
      <c r="P620" s="1">
        <v>2532</v>
      </c>
      <c r="V620" s="7" t="s">
        <v>3</v>
      </c>
      <c r="W620" t="s">
        <v>647</v>
      </c>
      <c r="X620" s="1">
        <f>DAVERAGE($B$21:$T$582,4,AP627:AQ628)</f>
        <v>1125</v>
      </c>
      <c r="Y620" s="1">
        <f>DAVERAGE($B$21:$T$582,5,AP627:AQ628)</f>
        <v>3279</v>
      </c>
      <c r="Z620" s="1">
        <f>DAVERAGE($B$21:$T$582,4,AR627:AS628)</f>
        <v>1020</v>
      </c>
      <c r="AA620" s="1">
        <f>DAVERAGE($B$21:$T$582,5,AR627:AS628)</f>
        <v>3168</v>
      </c>
      <c r="AB620" s="1">
        <f>DAVERAGE($B$21:$T$582,4,AT627:AU628)</f>
        <v>932.5</v>
      </c>
      <c r="AC620" s="1">
        <f>DAVERAGE($B$21:$T$582,5,AT627:AU628)</f>
        <v>3080.5</v>
      </c>
      <c r="AD620" s="1" t="e">
        <f>DAVERAGE($B$21:$T$582,4,AV627:AW628)</f>
        <v>#DIV/0!</v>
      </c>
      <c r="AE620" s="1" t="e">
        <f>DAVERAGE($B$21:$T$582,5,AV627:AW628)</f>
        <v>#DIV/0!</v>
      </c>
      <c r="AF620" s="1">
        <f>DAVERAGE($B$21:$T$582,4,AX627:AY628)</f>
        <v>996</v>
      </c>
      <c r="AG620" s="1">
        <f>DAVERAGE($B$21:$T$582,5,AX627:AY628)</f>
        <v>3145.3333333333335</v>
      </c>
      <c r="AH620" s="1" t="e">
        <f>DAVERAGE($B$21:$T$582,4,AZ627:BA628)</f>
        <v>#DIV/0!</v>
      </c>
      <c r="AI620" s="1" t="e">
        <f>DAVERAGE($B$21:$T$582,5,AZ627:BA628)</f>
        <v>#DIV/0!</v>
      </c>
      <c r="AJ620" s="1">
        <f>DAVERAGE($B$21:$T$582,4,BB627:BC628)</f>
        <v>1013</v>
      </c>
      <c r="AK620" s="1">
        <f>DAVERAGE($B$21:$T$582,5,BB627:BC628)</f>
        <v>3167</v>
      </c>
      <c r="AO620" s="7" t="s">
        <v>3</v>
      </c>
      <c r="AP620" t="s">
        <v>149</v>
      </c>
      <c r="AQ620" t="s">
        <v>65</v>
      </c>
      <c r="AR620" t="s">
        <v>149</v>
      </c>
      <c r="AS620" t="s">
        <v>46</v>
      </c>
      <c r="AT620" t="s">
        <v>149</v>
      </c>
      <c r="AU620" t="s">
        <v>51</v>
      </c>
      <c r="AV620" t="s">
        <v>149</v>
      </c>
      <c r="AW620" t="s">
        <v>56</v>
      </c>
      <c r="AX620" t="s">
        <v>149</v>
      </c>
      <c r="AY620" t="s">
        <v>60</v>
      </c>
      <c r="AZ620" t="s">
        <v>149</v>
      </c>
      <c r="BA620" t="s">
        <v>66</v>
      </c>
      <c r="BB620" t="s">
        <v>149</v>
      </c>
      <c r="BC620" t="s">
        <v>68</v>
      </c>
    </row>
    <row r="621" spans="2:55" ht="12.75">
      <c r="B621" t="s">
        <v>647</v>
      </c>
      <c r="C621" s="1">
        <v>1013</v>
      </c>
      <c r="D621" s="1">
        <v>3167</v>
      </c>
      <c r="E621" s="1">
        <v>990</v>
      </c>
      <c r="F621" s="1">
        <v>3138</v>
      </c>
      <c r="G621" s="1">
        <f>(917+882)/2</f>
        <v>899.5</v>
      </c>
      <c r="H621" s="1">
        <f>(3065+3030)/2</f>
        <v>3047.5</v>
      </c>
      <c r="I621" s="1"/>
      <c r="J621" s="1"/>
      <c r="K621" s="1">
        <v>960</v>
      </c>
      <c r="L621" s="1">
        <v>3106</v>
      </c>
      <c r="M621" s="1"/>
      <c r="N621" s="1"/>
      <c r="O621" s="1">
        <v>1013</v>
      </c>
      <c r="P621" s="1">
        <v>3167</v>
      </c>
      <c r="V621" s="7" t="s">
        <v>3</v>
      </c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O621" s="7" t="s">
        <v>3</v>
      </c>
      <c r="AP621" s="8" t="s">
        <v>17</v>
      </c>
      <c r="AQ621" s="8" t="s">
        <v>19</v>
      </c>
      <c r="AR621" s="8" t="s">
        <v>17</v>
      </c>
      <c r="AS621" s="8" t="s">
        <v>19</v>
      </c>
      <c r="AT621" s="8" t="s">
        <v>17</v>
      </c>
      <c r="AU621" s="8" t="s">
        <v>19</v>
      </c>
      <c r="AV621" s="8" t="s">
        <v>17</v>
      </c>
      <c r="AW621" s="8" t="s">
        <v>19</v>
      </c>
      <c r="AX621" s="8" t="s">
        <v>17</v>
      </c>
      <c r="AY621" s="8" t="s">
        <v>19</v>
      </c>
      <c r="AZ621" s="8" t="s">
        <v>17</v>
      </c>
      <c r="BA621" s="8" t="s">
        <v>19</v>
      </c>
      <c r="BB621" s="8" t="s">
        <v>17</v>
      </c>
      <c r="BC621" s="8" t="s">
        <v>19</v>
      </c>
    </row>
    <row r="622" spans="22:55" ht="12.75">
      <c r="V622" s="7" t="s">
        <v>3</v>
      </c>
      <c r="W622" t="s">
        <v>648</v>
      </c>
      <c r="X622" s="1">
        <f>DAVERAGE($B$21:$T$582,4,AP629:AQ630)</f>
        <v>720</v>
      </c>
      <c r="Y622" s="1">
        <f>DAVERAGE($B$21:$T$582,5,AP629:AQ630)</f>
        <v>3960</v>
      </c>
      <c r="Z622" s="1">
        <f>DAVERAGE($B$21:$T$582,4,AR629:AS630)</f>
        <v>720</v>
      </c>
      <c r="AA622" s="1">
        <f>DAVERAGE($B$21:$T$582,5,AR629:AS630)</f>
        <v>3960</v>
      </c>
      <c r="AB622" s="1">
        <f>DAVERAGE($B$21:$T$582,4,AT629:AU630)</f>
        <v>720</v>
      </c>
      <c r="AC622" s="1">
        <f>DAVERAGE($B$21:$T$582,5,AT629:AU630)</f>
        <v>3960</v>
      </c>
      <c r="AD622" s="1">
        <f>DAVERAGE($B$21:$T$582,4,AV629:AW630)</f>
        <v>720</v>
      </c>
      <c r="AE622" s="1">
        <f>DAVERAGE($B$21:$T$582,5,AV629:AW630)</f>
        <v>3960</v>
      </c>
      <c r="AF622" s="1">
        <f>DAVERAGE($B$21:$T$582,4,AX629:AY630)</f>
        <v>720</v>
      </c>
      <c r="AG622" s="1">
        <f>DAVERAGE($B$21:$T$582,5,AX629:AY630)</f>
        <v>3960</v>
      </c>
      <c r="AH622" s="1">
        <f>DAVERAGE($B$21:$T$582,4,AZ629:BA630)</f>
        <v>720</v>
      </c>
      <c r="AI622" s="1">
        <f>DAVERAGE($B$21:$T$582,5,AZ629:BA630)</f>
        <v>3960</v>
      </c>
      <c r="AJ622" s="1">
        <f>DAVERAGE($B$21:$T$582,4,BB629:BC630)</f>
        <v>720</v>
      </c>
      <c r="AK622" s="1">
        <f>DAVERAGE($B$21:$T$582,5,BB629:BC630)</f>
        <v>3960</v>
      </c>
      <c r="AO622" s="7" t="s">
        <v>3</v>
      </c>
      <c r="AP622" t="s">
        <v>155</v>
      </c>
      <c r="AQ622" t="s">
        <v>65</v>
      </c>
      <c r="AR622" t="s">
        <v>155</v>
      </c>
      <c r="AS622" t="s">
        <v>46</v>
      </c>
      <c r="AT622" t="s">
        <v>155</v>
      </c>
      <c r="AU622" t="s">
        <v>51</v>
      </c>
      <c r="AV622" t="s">
        <v>155</v>
      </c>
      <c r="AW622" t="s">
        <v>56</v>
      </c>
      <c r="AX622" t="s">
        <v>155</v>
      </c>
      <c r="AY622" t="s">
        <v>60</v>
      </c>
      <c r="AZ622" t="s">
        <v>155</v>
      </c>
      <c r="BA622" t="s">
        <v>66</v>
      </c>
      <c r="BB622" t="s">
        <v>155</v>
      </c>
      <c r="BC622" t="s">
        <v>68</v>
      </c>
    </row>
    <row r="623" spans="2:55" ht="12.75">
      <c r="B623" t="s">
        <v>648</v>
      </c>
      <c r="C623" s="1">
        <v>720</v>
      </c>
      <c r="D623" s="1">
        <v>3960</v>
      </c>
      <c r="E623" s="1">
        <v>720</v>
      </c>
      <c r="F623" s="1">
        <v>3960</v>
      </c>
      <c r="G623" s="1">
        <v>720</v>
      </c>
      <c r="H623" s="1">
        <v>3960</v>
      </c>
      <c r="I623" s="1">
        <v>720</v>
      </c>
      <c r="J623" s="1">
        <v>3960</v>
      </c>
      <c r="K623" s="1">
        <v>720</v>
      </c>
      <c r="L623" s="1">
        <v>3960</v>
      </c>
      <c r="M623" s="1">
        <v>720</v>
      </c>
      <c r="N623" s="1">
        <v>3960</v>
      </c>
      <c r="O623" s="1">
        <v>720</v>
      </c>
      <c r="P623" s="1">
        <v>3960</v>
      </c>
      <c r="V623" s="7" t="s">
        <v>3</v>
      </c>
      <c r="W623" t="s">
        <v>649</v>
      </c>
      <c r="X623" s="1">
        <f>DAVERAGE($B$21:$T$582,4,AP631:AQ632)</f>
        <v>2027.5</v>
      </c>
      <c r="Y623" s="1">
        <f>DAVERAGE($B$21:$T$582,5,AP631:AQ632)</f>
        <v>4457.5</v>
      </c>
      <c r="Z623" s="1">
        <f>DAVERAGE($B$21:$T$582,4,AR631:AS632)</f>
        <v>2044</v>
      </c>
      <c r="AA623" s="1">
        <f>DAVERAGE($B$21:$T$582,5,AR631:AS632)</f>
        <v>5128</v>
      </c>
      <c r="AB623" s="1">
        <f>DAVERAGE($B$21:$T$582,4,AT631:AU632)</f>
        <v>1643</v>
      </c>
      <c r="AC623" s="1">
        <f>DAVERAGE($B$21:$T$582,5,AT631:AU632)</f>
        <v>3119</v>
      </c>
      <c r="AD623" s="1">
        <f>DAVERAGE($B$21:$T$582,4,AV631:AW632)</f>
        <v>2190</v>
      </c>
      <c r="AE623" s="1">
        <f>DAVERAGE($B$21:$T$582,5,AV631:AW632)</f>
        <v>3750</v>
      </c>
      <c r="AF623" s="1">
        <f>DAVERAGE($B$21:$T$582,4,AX631:AY632)</f>
        <v>1697.2</v>
      </c>
      <c r="AG623" s="1">
        <f>DAVERAGE($B$21:$T$582,5,AX631:AY632)</f>
        <v>2863.6</v>
      </c>
      <c r="AH623" s="1">
        <f>DAVERAGE($B$21:$T$582,4,AZ631:BA632)</f>
        <v>1406.5</v>
      </c>
      <c r="AI623" s="1">
        <f>DAVERAGE($B$21:$T$582,5,AZ631:BA632)</f>
        <v>2291.5</v>
      </c>
      <c r="AJ623" s="1">
        <f>DAVERAGE($B$21:$T$582,4,BB631:BC632)</f>
        <v>6385</v>
      </c>
      <c r="AK623" s="1">
        <f>DAVERAGE($B$21:$T$582,5,BB631:BC632)</f>
        <v>8835</v>
      </c>
      <c r="AO623" s="7" t="s">
        <v>3</v>
      </c>
      <c r="AP623" s="8" t="s">
        <v>17</v>
      </c>
      <c r="AQ623" s="8" t="s">
        <v>19</v>
      </c>
      <c r="AR623" s="8" t="s">
        <v>17</v>
      </c>
      <c r="AS623" s="8" t="s">
        <v>19</v>
      </c>
      <c r="AT623" s="8" t="s">
        <v>17</v>
      </c>
      <c r="AU623" s="8" t="s">
        <v>19</v>
      </c>
      <c r="AV623" s="8" t="s">
        <v>17</v>
      </c>
      <c r="AW623" s="8" t="s">
        <v>19</v>
      </c>
      <c r="AX623" s="8" t="s">
        <v>17</v>
      </c>
      <c r="AY623" s="8" t="s">
        <v>19</v>
      </c>
      <c r="AZ623" s="8" t="s">
        <v>17</v>
      </c>
      <c r="BA623" s="8" t="s">
        <v>19</v>
      </c>
      <c r="BB623" s="8" t="s">
        <v>17</v>
      </c>
      <c r="BC623" s="8" t="s">
        <v>19</v>
      </c>
    </row>
    <row r="624" spans="2:55" ht="12.75">
      <c r="B624" t="s">
        <v>649</v>
      </c>
      <c r="C624" s="1">
        <f>(2036+2019)/2</f>
        <v>2027.5</v>
      </c>
      <c r="D624" s="1">
        <f>(4886+4029)/2</f>
        <v>4457.5</v>
      </c>
      <c r="E624" s="1">
        <v>2044</v>
      </c>
      <c r="F624" s="1">
        <f>(6168+4088)/2</f>
        <v>5128</v>
      </c>
      <c r="G624" s="1">
        <f>(1678+1608)/2</f>
        <v>1643</v>
      </c>
      <c r="H624" s="1">
        <f>(3118+3120)/2</f>
        <v>3119</v>
      </c>
      <c r="I624" s="1">
        <v>2190</v>
      </c>
      <c r="J624" s="1">
        <v>3750</v>
      </c>
      <c r="K624" s="1">
        <v>1726</v>
      </c>
      <c r="L624" s="1">
        <v>3100</v>
      </c>
      <c r="M624" s="1">
        <f>(1565+1248)/2</f>
        <v>1406.5</v>
      </c>
      <c r="N624" s="1">
        <f>(2615+1968)/2</f>
        <v>2291.5</v>
      </c>
      <c r="O624" s="1">
        <v>6385</v>
      </c>
      <c r="P624" s="1">
        <v>8835</v>
      </c>
      <c r="V624" s="7" t="s">
        <v>3</v>
      </c>
      <c r="W624" t="s">
        <v>650</v>
      </c>
      <c r="X624" s="1">
        <f>DAVERAGE($B$21:$T$582,4,AP633:AQ634)</f>
        <v>1160</v>
      </c>
      <c r="Y624" s="1">
        <f>DAVERAGE($B$21:$T$582,5,AP633:AQ634)</f>
        <v>3140</v>
      </c>
      <c r="Z624" s="1" t="e">
        <f>DAVERAGE($B$21:$T$582,4,AR633:AS634)</f>
        <v>#DIV/0!</v>
      </c>
      <c r="AA624" s="1" t="e">
        <f>DAVERAGE($B$21:$T$582,5,AR633:AS634)</f>
        <v>#DIV/0!</v>
      </c>
      <c r="AB624" s="1" t="e">
        <f>DAVERAGE($B$21:$T$582,4,AT633:AU634)</f>
        <v>#DIV/0!</v>
      </c>
      <c r="AC624" s="1" t="e">
        <f>DAVERAGE($B$21:$T$582,5,AT633:AU634)</f>
        <v>#DIV/0!</v>
      </c>
      <c r="AD624" s="1">
        <f>DAVERAGE($B$21:$T$582,4,AV633:AW634)</f>
        <v>960</v>
      </c>
      <c r="AE624" s="1">
        <f>DAVERAGE($B$21:$T$582,5,AV633:AW634)</f>
        <v>2600</v>
      </c>
      <c r="AF624" s="1">
        <f>DAVERAGE($B$21:$T$582,4,AX633:AY634)</f>
        <v>880</v>
      </c>
      <c r="AG624" s="1">
        <f>DAVERAGE($B$21:$T$582,5,AX633:AY634)</f>
        <v>2390</v>
      </c>
      <c r="AH624" s="1">
        <f>DAVERAGE($B$21:$T$582,4,AZ633:BA634)</f>
        <v>840</v>
      </c>
      <c r="AI624" s="1">
        <f>DAVERAGE($B$21:$T$582,5,AZ633:BA634)</f>
        <v>2300</v>
      </c>
      <c r="AJ624" s="1" t="e">
        <f>DAVERAGE($B$21:$T$582,4,BB633:BC634)</f>
        <v>#DIV/0!</v>
      </c>
      <c r="AK624" s="1" t="e">
        <f>DAVERAGE($B$21:$T$582,5,BB633:BC634)</f>
        <v>#DIV/0!</v>
      </c>
      <c r="AO624" s="7" t="s">
        <v>3</v>
      </c>
      <c r="AP624" t="s">
        <v>169</v>
      </c>
      <c r="AQ624" t="s">
        <v>65</v>
      </c>
      <c r="AR624" t="s">
        <v>169</v>
      </c>
      <c r="AS624" t="s">
        <v>46</v>
      </c>
      <c r="AT624" t="s">
        <v>169</v>
      </c>
      <c r="AU624" t="s">
        <v>51</v>
      </c>
      <c r="AV624" t="s">
        <v>169</v>
      </c>
      <c r="AW624" t="s">
        <v>56</v>
      </c>
      <c r="AX624" t="s">
        <v>169</v>
      </c>
      <c r="AY624" t="s">
        <v>60</v>
      </c>
      <c r="AZ624" t="s">
        <v>169</v>
      </c>
      <c r="BA624" t="s">
        <v>66</v>
      </c>
      <c r="BB624" t="s">
        <v>169</v>
      </c>
      <c r="BC624" t="s">
        <v>68</v>
      </c>
    </row>
    <row r="625" spans="2:55" ht="12.75">
      <c r="B625" t="s">
        <v>650</v>
      </c>
      <c r="C625" s="1">
        <v>1160</v>
      </c>
      <c r="D625" s="1">
        <v>3140</v>
      </c>
      <c r="E625" s="1"/>
      <c r="F625" s="1"/>
      <c r="G625" s="1"/>
      <c r="H625" s="1"/>
      <c r="I625" s="1">
        <v>960</v>
      </c>
      <c r="J625" s="1">
        <v>2600</v>
      </c>
      <c r="K625" s="1">
        <v>880</v>
      </c>
      <c r="L625" s="1">
        <v>2390</v>
      </c>
      <c r="M625" s="1">
        <v>840</v>
      </c>
      <c r="N625" s="1">
        <v>2300</v>
      </c>
      <c r="O625" s="1"/>
      <c r="P625" s="1"/>
      <c r="V625" s="7" t="s">
        <v>3</v>
      </c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O625" s="7" t="s">
        <v>3</v>
      </c>
      <c r="AP625" s="8" t="s">
        <v>17</v>
      </c>
      <c r="AQ625" s="8" t="s">
        <v>19</v>
      </c>
      <c r="AR625" s="8" t="s">
        <v>17</v>
      </c>
      <c r="AS625" s="8" t="s">
        <v>19</v>
      </c>
      <c r="AT625" s="8" t="s">
        <v>17</v>
      </c>
      <c r="AU625" s="8" t="s">
        <v>19</v>
      </c>
      <c r="AV625" s="8" t="s">
        <v>17</v>
      </c>
      <c r="AW625" s="8" t="s">
        <v>19</v>
      </c>
      <c r="AX625" s="8" t="s">
        <v>17</v>
      </c>
      <c r="AY625" s="8" t="s">
        <v>19</v>
      </c>
      <c r="AZ625" s="8" t="s">
        <v>17</v>
      </c>
      <c r="BA625" s="8" t="s">
        <v>19</v>
      </c>
      <c r="BB625" s="8" t="s">
        <v>17</v>
      </c>
      <c r="BC625" s="8" t="s">
        <v>19</v>
      </c>
    </row>
    <row r="626" spans="22:55" ht="12.75">
      <c r="V626" s="7" t="s">
        <v>3</v>
      </c>
      <c r="W626" t="s">
        <v>54</v>
      </c>
      <c r="X626" s="1">
        <f>DAVERAGE($B$21:$T$582,4,AQ635:AQ636)</f>
        <v>1089.047619047619</v>
      </c>
      <c r="Y626" s="1">
        <f>DAVERAGE($B$21:$T$582,5,AQ635:AQ636)</f>
        <v>3515.1428571428573</v>
      </c>
      <c r="Z626" s="1">
        <f>DAVERAGE($B$21:$T$582,4,AS635:AS636)</f>
        <v>1259.2941176470588</v>
      </c>
      <c r="AA626" s="1">
        <f>DAVERAGE($B$21:$T$582,5,AS635:AS636)</f>
        <v>3596.823529411765</v>
      </c>
      <c r="AB626" s="1">
        <f>DAVERAGE($B$21:$T$582,4,AU635:AU636)</f>
        <v>1034.7857142857142</v>
      </c>
      <c r="AC626" s="1">
        <f>DAVERAGE($B$21:$T$582,5,AU635:AU636)</f>
        <v>3031.8571428571427</v>
      </c>
      <c r="AD626" s="1">
        <f>DAVERAGE($B$21:$T$582,4,AW635:AW636)</f>
        <v>855.04</v>
      </c>
      <c r="AE626" s="1">
        <f>DAVERAGE($B$21:$T$582,5,AW635:AW636)</f>
        <v>3219.12</v>
      </c>
      <c r="AF626" s="1">
        <f>DAVERAGE($B$21:$T$582,4,AY635:AY636)</f>
        <v>1060.1538461538462</v>
      </c>
      <c r="AG626" s="1">
        <f>DAVERAGE($B$21:$T$582,5,AY635:AY636)</f>
        <v>2633.9358974358975</v>
      </c>
      <c r="AH626" s="1">
        <f>DAVERAGE($B$21:$T$582,4,BA635:BA636)</f>
        <v>917.9615384615385</v>
      </c>
      <c r="AI626" s="1">
        <f>DAVERAGE($B$21:$T$582,5,BA635:BA636)</f>
        <v>2467.423076923077</v>
      </c>
      <c r="AJ626" s="1">
        <f>DAVERAGE($B$21:$T$582,4,BC635:BC636)</f>
        <v>1396</v>
      </c>
      <c r="AK626" s="1">
        <f>DAVERAGE($B$21:$T$582,5,BC635:BC636)</f>
        <v>4113.692307692308</v>
      </c>
      <c r="AO626" s="7" t="s">
        <v>3</v>
      </c>
      <c r="AP626" t="s">
        <v>181</v>
      </c>
      <c r="AQ626" t="s">
        <v>65</v>
      </c>
      <c r="AR626" t="s">
        <v>181</v>
      </c>
      <c r="AS626" t="s">
        <v>46</v>
      </c>
      <c r="AT626" t="s">
        <v>181</v>
      </c>
      <c r="AU626" t="s">
        <v>51</v>
      </c>
      <c r="AV626" t="s">
        <v>181</v>
      </c>
      <c r="AW626" t="s">
        <v>56</v>
      </c>
      <c r="AX626" t="s">
        <v>181</v>
      </c>
      <c r="AY626" t="s">
        <v>60</v>
      </c>
      <c r="AZ626" t="s">
        <v>181</v>
      </c>
      <c r="BA626" t="s">
        <v>66</v>
      </c>
      <c r="BB626" t="s">
        <v>181</v>
      </c>
      <c r="BC626" t="s">
        <v>68</v>
      </c>
    </row>
    <row r="627" spans="2:55" ht="12.75">
      <c r="B627" t="s">
        <v>651</v>
      </c>
      <c r="C627" s="1">
        <v>1160</v>
      </c>
      <c r="D627" s="1">
        <v>3288</v>
      </c>
      <c r="E627" s="1">
        <f>(1244+1117)/2</f>
        <v>1180.5</v>
      </c>
      <c r="F627" s="1">
        <f>(3808+3534)/2</f>
        <v>3671</v>
      </c>
      <c r="G627" s="1">
        <v>1086</v>
      </c>
      <c r="H627" s="1">
        <v>3048</v>
      </c>
      <c r="I627" s="1">
        <f>(890+845)/2</f>
        <v>867.5</v>
      </c>
      <c r="J627" s="1">
        <f>(2725+2719)/2</f>
        <v>2722</v>
      </c>
      <c r="K627" s="1">
        <v>974</v>
      </c>
      <c r="L627" s="1">
        <v>2725</v>
      </c>
      <c r="M627" s="1">
        <f>(900+840)/2</f>
        <v>870</v>
      </c>
      <c r="N627" s="1">
        <f>(2540+2300)/2</f>
        <v>2420</v>
      </c>
      <c r="O627" s="1">
        <v>1262</v>
      </c>
      <c r="P627" s="1">
        <v>3639</v>
      </c>
      <c r="V627" s="7" t="s">
        <v>3</v>
      </c>
      <c r="W627" s="6" t="s">
        <v>57</v>
      </c>
      <c r="X627" s="6" t="s">
        <v>57</v>
      </c>
      <c r="Y627" s="6" t="s">
        <v>57</v>
      </c>
      <c r="Z627" s="6" t="s">
        <v>57</v>
      </c>
      <c r="AA627" s="6" t="s">
        <v>57</v>
      </c>
      <c r="AB627" s="6" t="s">
        <v>57</v>
      </c>
      <c r="AC627" s="6" t="s">
        <v>57</v>
      </c>
      <c r="AD627" s="6" t="s">
        <v>57</v>
      </c>
      <c r="AE627" s="6" t="s">
        <v>57</v>
      </c>
      <c r="AF627" s="6" t="s">
        <v>57</v>
      </c>
      <c r="AG627" s="6" t="s">
        <v>57</v>
      </c>
      <c r="AH627" s="6" t="s">
        <v>57</v>
      </c>
      <c r="AI627" s="6" t="s">
        <v>57</v>
      </c>
      <c r="AJ627" s="6" t="s">
        <v>57</v>
      </c>
      <c r="AK627" s="6" t="s">
        <v>57</v>
      </c>
      <c r="AL627" s="6" t="s">
        <v>57</v>
      </c>
      <c r="AM627" s="6" t="s">
        <v>57</v>
      </c>
      <c r="AN627" s="6" t="s">
        <v>57</v>
      </c>
      <c r="AO627" s="7" t="s">
        <v>3</v>
      </c>
      <c r="AP627" s="8" t="s">
        <v>17</v>
      </c>
      <c r="AQ627" s="8" t="s">
        <v>19</v>
      </c>
      <c r="AR627" s="8" t="s">
        <v>17</v>
      </c>
      <c r="AS627" s="8" t="s">
        <v>19</v>
      </c>
      <c r="AT627" s="8" t="s">
        <v>17</v>
      </c>
      <c r="AU627" s="8" t="s">
        <v>19</v>
      </c>
      <c r="AV627" s="8" t="s">
        <v>17</v>
      </c>
      <c r="AW627" s="8" t="s">
        <v>19</v>
      </c>
      <c r="AX627" s="8" t="s">
        <v>17</v>
      </c>
      <c r="AY627" s="8" t="s">
        <v>19</v>
      </c>
      <c r="AZ627" s="8" t="s">
        <v>17</v>
      </c>
      <c r="BA627" s="8" t="s">
        <v>19</v>
      </c>
      <c r="BB627" s="8" t="s">
        <v>17</v>
      </c>
      <c r="BC627" s="8" t="s">
        <v>19</v>
      </c>
    </row>
    <row r="628" spans="2:55" ht="12.75">
      <c r="B628" s="6" t="s">
        <v>57</v>
      </c>
      <c r="C628" s="6" t="s">
        <v>57</v>
      </c>
      <c r="D628" s="6" t="s">
        <v>57</v>
      </c>
      <c r="E628" s="6" t="s">
        <v>57</v>
      </c>
      <c r="F628" s="6" t="s">
        <v>57</v>
      </c>
      <c r="G628" s="6" t="s">
        <v>57</v>
      </c>
      <c r="H628" s="6" t="s">
        <v>57</v>
      </c>
      <c r="I628" s="6" t="s">
        <v>57</v>
      </c>
      <c r="J628" s="6" t="s">
        <v>57</v>
      </c>
      <c r="K628" s="6" t="s">
        <v>57</v>
      </c>
      <c r="L628" s="6" t="s">
        <v>57</v>
      </c>
      <c r="M628" s="6" t="s">
        <v>57</v>
      </c>
      <c r="N628" s="6" t="s">
        <v>57</v>
      </c>
      <c r="O628" s="6" t="s">
        <v>57</v>
      </c>
      <c r="P628" s="6" t="s">
        <v>57</v>
      </c>
      <c r="V628" s="7" t="s">
        <v>3</v>
      </c>
      <c r="AO628" s="7" t="s">
        <v>3</v>
      </c>
      <c r="AP628" t="s">
        <v>193</v>
      </c>
      <c r="AQ628" t="s">
        <v>65</v>
      </c>
      <c r="AR628" t="s">
        <v>193</v>
      </c>
      <c r="AS628" t="s">
        <v>46</v>
      </c>
      <c r="AT628" t="s">
        <v>193</v>
      </c>
      <c r="AU628" t="s">
        <v>51</v>
      </c>
      <c r="AV628" t="s">
        <v>193</v>
      </c>
      <c r="AW628" t="s">
        <v>56</v>
      </c>
      <c r="AX628" t="s">
        <v>193</v>
      </c>
      <c r="AY628" t="s">
        <v>60</v>
      </c>
      <c r="AZ628" t="s">
        <v>193</v>
      </c>
      <c r="BA628" t="s">
        <v>66</v>
      </c>
      <c r="BB628" t="s">
        <v>193</v>
      </c>
      <c r="BC628" t="s">
        <v>68</v>
      </c>
    </row>
    <row r="629" spans="22:55" ht="12.75">
      <c r="V629" s="7" t="s">
        <v>3</v>
      </c>
      <c r="W629" t="s">
        <v>652</v>
      </c>
      <c r="AO629" s="7" t="s">
        <v>3</v>
      </c>
      <c r="AP629" s="8" t="s">
        <v>17</v>
      </c>
      <c r="AQ629" s="8" t="s">
        <v>19</v>
      </c>
      <c r="AR629" s="8" t="s">
        <v>17</v>
      </c>
      <c r="AS629" s="8" t="s">
        <v>19</v>
      </c>
      <c r="AT629" s="8" t="s">
        <v>17</v>
      </c>
      <c r="AU629" s="8" t="s">
        <v>19</v>
      </c>
      <c r="AV629" s="8" t="s">
        <v>17</v>
      </c>
      <c r="AW629" s="8" t="s">
        <v>19</v>
      </c>
      <c r="AX629" s="8" t="s">
        <v>17</v>
      </c>
      <c r="AY629" s="8" t="s">
        <v>19</v>
      </c>
      <c r="AZ629" s="8" t="s">
        <v>17</v>
      </c>
      <c r="BA629" s="8" t="s">
        <v>19</v>
      </c>
      <c r="BB629" s="8" t="s">
        <v>17</v>
      </c>
      <c r="BC629" s="8" t="s">
        <v>19</v>
      </c>
    </row>
    <row r="630" spans="22:55" ht="12.75">
      <c r="V630" s="7" t="s">
        <v>3</v>
      </c>
      <c r="W630" t="s">
        <v>653</v>
      </c>
      <c r="AO630" s="7" t="s">
        <v>3</v>
      </c>
      <c r="AP630" t="s">
        <v>202</v>
      </c>
      <c r="AQ630" t="s">
        <v>65</v>
      </c>
      <c r="AR630" t="s">
        <v>202</v>
      </c>
      <c r="AS630" t="s">
        <v>46</v>
      </c>
      <c r="AT630" t="s">
        <v>202</v>
      </c>
      <c r="AU630" t="s">
        <v>51</v>
      </c>
      <c r="AV630" t="s">
        <v>202</v>
      </c>
      <c r="AW630" t="s">
        <v>56</v>
      </c>
      <c r="AX630" t="s">
        <v>202</v>
      </c>
      <c r="AY630" t="s">
        <v>60</v>
      </c>
      <c r="AZ630" t="s">
        <v>202</v>
      </c>
      <c r="BA630" t="s">
        <v>66</v>
      </c>
      <c r="BB630" t="s">
        <v>202</v>
      </c>
      <c r="BC630" t="s">
        <v>68</v>
      </c>
    </row>
    <row r="631" spans="22:55" ht="12.75">
      <c r="V631" s="7" t="s">
        <v>3</v>
      </c>
      <c r="W631" t="s">
        <v>654</v>
      </c>
      <c r="AO631" s="7" t="s">
        <v>3</v>
      </c>
      <c r="AP631" s="8" t="s">
        <v>17</v>
      </c>
      <c r="AQ631" s="8" t="s">
        <v>19</v>
      </c>
      <c r="AR631" s="8" t="s">
        <v>17</v>
      </c>
      <c r="AS631" s="8" t="s">
        <v>19</v>
      </c>
      <c r="AT631" s="8" t="s">
        <v>17</v>
      </c>
      <c r="AU631" s="8" t="s">
        <v>19</v>
      </c>
      <c r="AV631" s="8" t="s">
        <v>17</v>
      </c>
      <c r="AW631" s="8" t="s">
        <v>19</v>
      </c>
      <c r="AX631" s="8" t="s">
        <v>17</v>
      </c>
      <c r="AY631" s="8" t="s">
        <v>19</v>
      </c>
      <c r="AZ631" s="8" t="s">
        <v>17</v>
      </c>
      <c r="BA631" s="8" t="s">
        <v>19</v>
      </c>
      <c r="BB631" s="8" t="s">
        <v>17</v>
      </c>
      <c r="BC631" s="8" t="s">
        <v>19</v>
      </c>
    </row>
    <row r="632" spans="22:55" ht="12.75">
      <c r="V632" s="7" t="s">
        <v>3</v>
      </c>
      <c r="AO632" s="7" t="s">
        <v>3</v>
      </c>
      <c r="AP632" t="s">
        <v>231</v>
      </c>
      <c r="AQ632" t="s">
        <v>65</v>
      </c>
      <c r="AR632" t="s">
        <v>231</v>
      </c>
      <c r="AS632" t="s">
        <v>46</v>
      </c>
      <c r="AT632" t="s">
        <v>231</v>
      </c>
      <c r="AU632" t="s">
        <v>51</v>
      </c>
      <c r="AV632" t="s">
        <v>231</v>
      </c>
      <c r="AW632" t="s">
        <v>56</v>
      </c>
      <c r="AX632" t="s">
        <v>231</v>
      </c>
      <c r="AY632" t="s">
        <v>60</v>
      </c>
      <c r="AZ632" t="s">
        <v>231</v>
      </c>
      <c r="BA632" t="s">
        <v>66</v>
      </c>
      <c r="BB632" t="s">
        <v>231</v>
      </c>
      <c r="BC632" t="s">
        <v>68</v>
      </c>
    </row>
    <row r="633" spans="22:55" ht="12.75">
      <c r="V633" s="7" t="s">
        <v>3</v>
      </c>
      <c r="AO633" s="7" t="s">
        <v>3</v>
      </c>
      <c r="AP633" s="8" t="s">
        <v>17</v>
      </c>
      <c r="AQ633" s="8" t="s">
        <v>19</v>
      </c>
      <c r="AR633" s="8" t="s">
        <v>17</v>
      </c>
      <c r="AS633" s="8" t="s">
        <v>19</v>
      </c>
      <c r="AT633" s="8" t="s">
        <v>17</v>
      </c>
      <c r="AU633" s="8" t="s">
        <v>19</v>
      </c>
      <c r="AV633" s="8" t="s">
        <v>17</v>
      </c>
      <c r="AW633" s="8" t="s">
        <v>19</v>
      </c>
      <c r="AX633" s="8" t="s">
        <v>17</v>
      </c>
      <c r="AY633" s="8" t="s">
        <v>19</v>
      </c>
      <c r="AZ633" s="8" t="s">
        <v>17</v>
      </c>
      <c r="BA633" s="8" t="s">
        <v>19</v>
      </c>
      <c r="BB633" s="8" t="s">
        <v>17</v>
      </c>
      <c r="BC633" s="8" t="s">
        <v>19</v>
      </c>
    </row>
    <row r="634" spans="22:55" ht="12.75">
      <c r="V634" s="7" t="s">
        <v>3</v>
      </c>
      <c r="AO634" s="7" t="s">
        <v>3</v>
      </c>
      <c r="AP634" t="s">
        <v>246</v>
      </c>
      <c r="AQ634" t="s">
        <v>65</v>
      </c>
      <c r="AR634" t="s">
        <v>246</v>
      </c>
      <c r="AS634" t="s">
        <v>46</v>
      </c>
      <c r="AT634" t="s">
        <v>246</v>
      </c>
      <c r="AU634" t="s">
        <v>51</v>
      </c>
      <c r="AV634" t="s">
        <v>246</v>
      </c>
      <c r="AW634" t="s">
        <v>56</v>
      </c>
      <c r="AX634" t="s">
        <v>246</v>
      </c>
      <c r="AY634" t="s">
        <v>60</v>
      </c>
      <c r="AZ634" t="s">
        <v>246</v>
      </c>
      <c r="BA634" t="s">
        <v>66</v>
      </c>
      <c r="BB634" t="s">
        <v>246</v>
      </c>
      <c r="BC634" t="s">
        <v>68</v>
      </c>
    </row>
    <row r="635" spans="22:55" ht="12.75">
      <c r="V635" s="7" t="s">
        <v>3</v>
      </c>
      <c r="AO635" s="7" t="s">
        <v>3</v>
      </c>
      <c r="AQ635" s="8" t="s">
        <v>19</v>
      </c>
      <c r="AS635" s="8" t="s">
        <v>19</v>
      </c>
      <c r="AU635" s="8" t="s">
        <v>19</v>
      </c>
      <c r="AW635" s="8" t="s">
        <v>19</v>
      </c>
      <c r="AY635" s="8" t="s">
        <v>19</v>
      </c>
      <c r="BA635" s="8" t="s">
        <v>19</v>
      </c>
      <c r="BC635" s="8" t="s">
        <v>19</v>
      </c>
    </row>
    <row r="636" spans="6:55" ht="12.75">
      <c r="F636" t="s">
        <v>655</v>
      </c>
      <c r="V636" s="7" t="s">
        <v>3</v>
      </c>
      <c r="AB636" t="s">
        <v>656</v>
      </c>
      <c r="AO636" s="7" t="s">
        <v>3</v>
      </c>
      <c r="AQ636" t="s">
        <v>65</v>
      </c>
      <c r="AS636" t="s">
        <v>46</v>
      </c>
      <c r="AU636" t="s">
        <v>51</v>
      </c>
      <c r="AW636" t="s">
        <v>56</v>
      </c>
      <c r="AY636" t="s">
        <v>60</v>
      </c>
      <c r="BA636" t="s">
        <v>66</v>
      </c>
      <c r="BC636" t="s">
        <v>68</v>
      </c>
    </row>
    <row r="637" spans="22:41" ht="12.75">
      <c r="V637" s="7" t="s">
        <v>3</v>
      </c>
      <c r="AO637" s="7" t="s">
        <v>3</v>
      </c>
    </row>
    <row r="638" spans="5:41" ht="12.75">
      <c r="E638" t="s">
        <v>621</v>
      </c>
      <c r="V638" s="7" t="s">
        <v>3</v>
      </c>
      <c r="Z638" t="s">
        <v>621</v>
      </c>
      <c r="AO638" s="7" t="s">
        <v>3</v>
      </c>
    </row>
    <row r="639" spans="4:41" ht="12.75">
      <c r="D639" t="s">
        <v>623</v>
      </c>
      <c r="V639" s="7" t="s">
        <v>3</v>
      </c>
      <c r="Y639" t="s">
        <v>623</v>
      </c>
      <c r="AO639" s="7" t="s">
        <v>3</v>
      </c>
    </row>
    <row r="640" spans="5:41" ht="12.75">
      <c r="E640" t="s">
        <v>657</v>
      </c>
      <c r="V640" s="7" t="s">
        <v>3</v>
      </c>
      <c r="Z640" t="s">
        <v>657</v>
      </c>
      <c r="AO640" s="7" t="s">
        <v>3</v>
      </c>
    </row>
    <row r="641" spans="6:41" ht="12.75">
      <c r="F641" t="s">
        <v>625</v>
      </c>
      <c r="V641" s="7" t="s">
        <v>3</v>
      </c>
      <c r="AA641" t="s">
        <v>626</v>
      </c>
      <c r="AO641" s="7" t="s">
        <v>3</v>
      </c>
    </row>
    <row r="642" spans="22:41" ht="12.75">
      <c r="V642" s="7" t="s">
        <v>3</v>
      </c>
      <c r="AO642" s="7" t="s">
        <v>3</v>
      </c>
    </row>
    <row r="643" spans="22:41" ht="12.75">
      <c r="V643" s="7" t="s">
        <v>3</v>
      </c>
      <c r="AO643" s="7" t="s">
        <v>3</v>
      </c>
    </row>
    <row r="644" spans="3:41" ht="12.75">
      <c r="C644" t="s">
        <v>658</v>
      </c>
      <c r="E644" t="s">
        <v>659</v>
      </c>
      <c r="G644" t="s">
        <v>660</v>
      </c>
      <c r="I644" t="s">
        <v>660</v>
      </c>
      <c r="V644" s="7" t="s">
        <v>3</v>
      </c>
      <c r="X644" t="s">
        <v>658</v>
      </c>
      <c r="Z644" t="s">
        <v>659</v>
      </c>
      <c r="AB644" t="s">
        <v>660</v>
      </c>
      <c r="AD644" t="s">
        <v>660</v>
      </c>
      <c r="AO644" s="7" t="s">
        <v>3</v>
      </c>
    </row>
    <row r="645" spans="4:41" ht="12.75">
      <c r="D645" t="s">
        <v>632</v>
      </c>
      <c r="F645" t="s">
        <v>633</v>
      </c>
      <c r="H645" t="s">
        <v>634</v>
      </c>
      <c r="J645" t="s">
        <v>661</v>
      </c>
      <c r="V645" s="7" t="s">
        <v>3</v>
      </c>
      <c r="Y645" t="s">
        <v>632</v>
      </c>
      <c r="AA645" t="s">
        <v>633</v>
      </c>
      <c r="AC645" t="s">
        <v>634</v>
      </c>
      <c r="AE645" t="s">
        <v>661</v>
      </c>
      <c r="AO645" s="7" t="s">
        <v>3</v>
      </c>
    </row>
    <row r="646" spans="3:41" ht="12.75">
      <c r="C646" s="7" t="s">
        <v>48</v>
      </c>
      <c r="D646" s="7" t="s">
        <v>49</v>
      </c>
      <c r="E646" s="7" t="s">
        <v>48</v>
      </c>
      <c r="F646" s="7" t="s">
        <v>49</v>
      </c>
      <c r="G646" s="7" t="s">
        <v>48</v>
      </c>
      <c r="H646" s="7" t="s">
        <v>49</v>
      </c>
      <c r="I646" s="7" t="s">
        <v>48</v>
      </c>
      <c r="J646" s="7" t="s">
        <v>49</v>
      </c>
      <c r="V646" s="7" t="s">
        <v>3</v>
      </c>
      <c r="X646" s="7" t="s">
        <v>48</v>
      </c>
      <c r="Y646" s="7" t="s">
        <v>49</v>
      </c>
      <c r="Z646" s="7" t="s">
        <v>48</v>
      </c>
      <c r="AA646" s="7" t="s">
        <v>49</v>
      </c>
      <c r="AB646" s="7" t="s">
        <v>48</v>
      </c>
      <c r="AC646" s="7" t="s">
        <v>49</v>
      </c>
      <c r="AD646" s="7" t="s">
        <v>48</v>
      </c>
      <c r="AE646" s="7" t="s">
        <v>49</v>
      </c>
      <c r="AO646" s="7" t="s">
        <v>3</v>
      </c>
    </row>
    <row r="647" spans="22:41" ht="12.75">
      <c r="V647" s="7" t="s">
        <v>3</v>
      </c>
      <c r="AO647" s="7" t="s">
        <v>3</v>
      </c>
    </row>
    <row r="648" spans="2:41" ht="12.75">
      <c r="B648" t="s">
        <v>636</v>
      </c>
      <c r="C648" s="1"/>
      <c r="D648" s="1"/>
      <c r="E648" s="1">
        <v>450</v>
      </c>
      <c r="F648" s="1">
        <v>900</v>
      </c>
      <c r="G648" s="1"/>
      <c r="H648" s="1"/>
      <c r="I648" s="1">
        <v>450</v>
      </c>
      <c r="J648" s="1">
        <v>900</v>
      </c>
      <c r="V648" s="7" t="s">
        <v>3</v>
      </c>
      <c r="W648" t="s">
        <v>636</v>
      </c>
      <c r="X648" s="1"/>
      <c r="Y648" s="1"/>
      <c r="Z648" s="1"/>
      <c r="AA648" s="1"/>
      <c r="AB648" s="1"/>
      <c r="AC648" s="1"/>
      <c r="AD648" s="1"/>
      <c r="AE648" s="1"/>
      <c r="AO648" s="7" t="s">
        <v>3</v>
      </c>
    </row>
    <row r="649" spans="2:41" ht="12.75">
      <c r="B649" t="s">
        <v>637</v>
      </c>
      <c r="E649" s="1">
        <f>(528+504)/2</f>
        <v>516</v>
      </c>
      <c r="F649" s="1">
        <f>(636+672)/2</f>
        <v>654</v>
      </c>
      <c r="G649" s="1"/>
      <c r="H649" s="1"/>
      <c r="I649" s="1"/>
      <c r="J649" s="1"/>
      <c r="V649" s="7" t="s">
        <v>3</v>
      </c>
      <c r="W649" t="s">
        <v>637</v>
      </c>
      <c r="X649" s="1"/>
      <c r="Y649" s="1"/>
      <c r="Z649" s="1"/>
      <c r="AA649" s="1"/>
      <c r="AB649" s="1"/>
      <c r="AC649" s="1"/>
      <c r="AD649" s="1"/>
      <c r="AE649" s="1"/>
      <c r="AO649" s="7" t="s">
        <v>3</v>
      </c>
    </row>
    <row r="650" spans="2:41" ht="12.75">
      <c r="B650" t="s">
        <v>638</v>
      </c>
      <c r="C650" s="1"/>
      <c r="D650" s="1"/>
      <c r="E650" s="1">
        <v>570</v>
      </c>
      <c r="F650" s="1">
        <f>(1185+1170)/2</f>
        <v>1177.5</v>
      </c>
      <c r="G650" s="1"/>
      <c r="H650" s="1"/>
      <c r="I650" s="1"/>
      <c r="J650" s="1"/>
      <c r="V650" s="7" t="s">
        <v>3</v>
      </c>
      <c r="W650" t="s">
        <v>638</v>
      </c>
      <c r="X650" s="1"/>
      <c r="Y650" s="1"/>
      <c r="Z650" s="1"/>
      <c r="AA650" s="1"/>
      <c r="AB650" s="1"/>
      <c r="AC650" s="1"/>
      <c r="AD650" s="1"/>
      <c r="AE650" s="1"/>
      <c r="AO650" s="7" t="s">
        <v>3</v>
      </c>
    </row>
    <row r="651" spans="3:41" ht="12.75">
      <c r="C651" s="1"/>
      <c r="D651" s="1"/>
      <c r="E651" s="1"/>
      <c r="F651" s="1"/>
      <c r="G651" s="1"/>
      <c r="H651" s="1"/>
      <c r="I651" s="1"/>
      <c r="J651" s="1"/>
      <c r="V651" s="7" t="s">
        <v>3</v>
      </c>
      <c r="X651" s="1"/>
      <c r="Y651" s="1"/>
      <c r="Z651" s="1"/>
      <c r="AA651" s="1"/>
      <c r="AB651" s="1"/>
      <c r="AC651" s="1"/>
      <c r="AD651" s="1"/>
      <c r="AE651" s="1"/>
      <c r="AO651" s="7" t="s">
        <v>3</v>
      </c>
    </row>
    <row r="652" spans="2:41" ht="12.75">
      <c r="B652" t="s">
        <v>639</v>
      </c>
      <c r="C652" s="1">
        <v>771</v>
      </c>
      <c r="D652" s="1">
        <v>2190</v>
      </c>
      <c r="E652" s="1">
        <f>(760+756)/2</f>
        <v>758</v>
      </c>
      <c r="F652" s="1">
        <f>(2168+2160)/2</f>
        <v>2164</v>
      </c>
      <c r="G652" s="1"/>
      <c r="H652" s="1"/>
      <c r="I652" s="1">
        <v>291</v>
      </c>
      <c r="J652" s="1">
        <v>477</v>
      </c>
      <c r="V652" s="7" t="s">
        <v>3</v>
      </c>
      <c r="W652" t="s">
        <v>639</v>
      </c>
      <c r="X652" s="1"/>
      <c r="Y652" s="1"/>
      <c r="Z652" s="1"/>
      <c r="AA652" s="1"/>
      <c r="AB652" s="1"/>
      <c r="AC652" s="1"/>
      <c r="AD652" s="1"/>
      <c r="AE652" s="1"/>
      <c r="AO652" s="7" t="s">
        <v>3</v>
      </c>
    </row>
    <row r="653" spans="2:41" ht="12.75">
      <c r="B653" t="s">
        <v>640</v>
      </c>
      <c r="C653" s="1">
        <v>520</v>
      </c>
      <c r="D653" s="1">
        <v>1560</v>
      </c>
      <c r="F653" s="1"/>
      <c r="G653" s="1"/>
      <c r="H653" s="1"/>
      <c r="I653" s="1">
        <v>212</v>
      </c>
      <c r="J653" s="1">
        <v>760</v>
      </c>
      <c r="V653" s="7" t="s">
        <v>3</v>
      </c>
      <c r="W653" t="s">
        <v>640</v>
      </c>
      <c r="X653" s="1"/>
      <c r="Y653" s="1"/>
      <c r="Z653" s="1"/>
      <c r="AA653" s="1"/>
      <c r="AB653" s="1"/>
      <c r="AC653" s="1"/>
      <c r="AD653" s="1"/>
      <c r="AE653" s="1"/>
      <c r="AO653" s="7" t="s">
        <v>3</v>
      </c>
    </row>
    <row r="654" spans="2:41" ht="12.75">
      <c r="B654" t="s">
        <v>641</v>
      </c>
      <c r="C654" s="1">
        <f>(600+590)/2</f>
        <v>595</v>
      </c>
      <c r="D654" s="1">
        <f>(1750+1470)/2</f>
        <v>1610</v>
      </c>
      <c r="F654" s="1"/>
      <c r="G654" s="1"/>
      <c r="H654" s="1"/>
      <c r="I654" s="1"/>
      <c r="J654" s="1"/>
      <c r="V654" s="7" t="s">
        <v>3</v>
      </c>
      <c r="W654" t="s">
        <v>641</v>
      </c>
      <c r="X654" s="1"/>
      <c r="Y654" s="1"/>
      <c r="Z654" s="1"/>
      <c r="AA654" s="1"/>
      <c r="AB654" s="1"/>
      <c r="AC654" s="1"/>
      <c r="AD654" s="1"/>
      <c r="AE654" s="1"/>
      <c r="AO654" s="7" t="s">
        <v>3</v>
      </c>
    </row>
    <row r="655" spans="3:41" ht="12.75">
      <c r="C655" s="1"/>
      <c r="D655" s="1"/>
      <c r="E655" s="1"/>
      <c r="F655" s="1"/>
      <c r="G655" s="1"/>
      <c r="H655" s="1"/>
      <c r="I655" s="1"/>
      <c r="J655" s="1"/>
      <c r="V655" s="7" t="s">
        <v>3</v>
      </c>
      <c r="W655" t="s">
        <v>642</v>
      </c>
      <c r="X655" s="1"/>
      <c r="Y655" s="1"/>
      <c r="Z655" s="1"/>
      <c r="AA655" s="1"/>
      <c r="AB655" s="1"/>
      <c r="AC655" s="1"/>
      <c r="AD655" s="1"/>
      <c r="AE655" s="1"/>
      <c r="AO655" s="7" t="s">
        <v>3</v>
      </c>
    </row>
    <row r="656" spans="2:41" ht="12.75">
      <c r="B656" t="s">
        <v>642</v>
      </c>
      <c r="C656" s="1"/>
      <c r="E656" s="1">
        <v>810</v>
      </c>
      <c r="F656" s="1">
        <v>2760</v>
      </c>
      <c r="G656" s="1"/>
      <c r="H656" s="1"/>
      <c r="I656" s="1"/>
      <c r="J656" s="1"/>
      <c r="V656" s="7" t="s">
        <v>3</v>
      </c>
      <c r="X656" s="1"/>
      <c r="Y656" s="1"/>
      <c r="Z656" s="1"/>
      <c r="AA656" s="1"/>
      <c r="AB656" s="1"/>
      <c r="AC656" s="1"/>
      <c r="AD656" s="1"/>
      <c r="AE656" s="1"/>
      <c r="AO656" s="7" t="s">
        <v>3</v>
      </c>
    </row>
    <row r="657" spans="2:41" ht="12.75">
      <c r="B657" t="s">
        <v>643</v>
      </c>
      <c r="C657" s="1"/>
      <c r="D657" s="1"/>
      <c r="E657" s="1">
        <v>470</v>
      </c>
      <c r="F657" s="1">
        <v>1100</v>
      </c>
      <c r="G657" s="1"/>
      <c r="H657" s="1"/>
      <c r="I657" s="1"/>
      <c r="J657" s="1"/>
      <c r="V657" s="7" t="s">
        <v>3</v>
      </c>
      <c r="W657" t="s">
        <v>643</v>
      </c>
      <c r="X657" s="1"/>
      <c r="Y657" s="1"/>
      <c r="Z657" s="1"/>
      <c r="AA657" s="1"/>
      <c r="AB657" s="1"/>
      <c r="AC657" s="1"/>
      <c r="AD657" s="1"/>
      <c r="AE657" s="1"/>
      <c r="AO657" s="7" t="s">
        <v>3</v>
      </c>
    </row>
    <row r="658" spans="2:41" ht="12.75">
      <c r="B658" t="s">
        <v>644</v>
      </c>
      <c r="D658" s="1"/>
      <c r="E658" s="1">
        <v>171</v>
      </c>
      <c r="F658" s="1">
        <v>783</v>
      </c>
      <c r="G658" s="1"/>
      <c r="H658" s="1"/>
      <c r="I658" s="1"/>
      <c r="J658" s="1"/>
      <c r="V658" s="7" t="s">
        <v>3</v>
      </c>
      <c r="W658" t="s">
        <v>644</v>
      </c>
      <c r="X658" s="1"/>
      <c r="Y658" s="1"/>
      <c r="Z658" s="1"/>
      <c r="AA658" s="1"/>
      <c r="AB658" s="1"/>
      <c r="AC658" s="1"/>
      <c r="AD658" s="1"/>
      <c r="AE658" s="1"/>
      <c r="AO658" s="7" t="s">
        <v>3</v>
      </c>
    </row>
    <row r="659" spans="3:41" ht="12.75">
      <c r="C659" s="1"/>
      <c r="D659" s="1"/>
      <c r="G659" s="1"/>
      <c r="H659" s="1"/>
      <c r="I659" s="1"/>
      <c r="J659" s="1"/>
      <c r="K659" s="1"/>
      <c r="V659" s="7" t="s">
        <v>3</v>
      </c>
      <c r="W659" t="s">
        <v>645</v>
      </c>
      <c r="AO659" s="7" t="s">
        <v>3</v>
      </c>
    </row>
    <row r="660" spans="2:41" ht="12.75">
      <c r="B660" t="s">
        <v>645</v>
      </c>
      <c r="C660" s="1"/>
      <c r="D660" s="1"/>
      <c r="E660" s="1">
        <v>463</v>
      </c>
      <c r="F660" s="1">
        <f>(1271+1262)/2</f>
        <v>1266.5</v>
      </c>
      <c r="G660" s="1"/>
      <c r="H660" s="1"/>
      <c r="I660" s="1"/>
      <c r="J660" s="1"/>
      <c r="V660" s="7" t="s">
        <v>3</v>
      </c>
      <c r="W660" t="s">
        <v>646</v>
      </c>
      <c r="X660" s="1"/>
      <c r="Y660" s="1"/>
      <c r="Z660" s="1"/>
      <c r="AA660" s="1"/>
      <c r="AB660" s="1"/>
      <c r="AC660" s="1"/>
      <c r="AD660" s="1"/>
      <c r="AE660" s="1"/>
      <c r="AO660" s="7" t="s">
        <v>3</v>
      </c>
    </row>
    <row r="661" spans="2:41" ht="12.75">
      <c r="B661" t="s">
        <v>646</v>
      </c>
      <c r="C661" s="1">
        <v>1020</v>
      </c>
      <c r="D661" s="1">
        <v>2210</v>
      </c>
      <c r="E661" s="1">
        <v>525</v>
      </c>
      <c r="F661" s="1">
        <v>864</v>
      </c>
      <c r="G661" s="1"/>
      <c r="H661" s="1"/>
      <c r="I661" s="1"/>
      <c r="J661" s="1"/>
      <c r="V661" s="7" t="s">
        <v>3</v>
      </c>
      <c r="X661" s="1"/>
      <c r="Y661" s="1"/>
      <c r="Z661" s="1"/>
      <c r="AA661" s="1"/>
      <c r="AB661" s="1"/>
      <c r="AC661" s="1"/>
      <c r="AD661" s="1"/>
      <c r="AE661" s="1"/>
      <c r="AO661" s="7" t="s">
        <v>3</v>
      </c>
    </row>
    <row r="662" spans="2:41" ht="12.75">
      <c r="B662" t="s">
        <v>647</v>
      </c>
      <c r="C662" s="1"/>
      <c r="D662" s="1"/>
      <c r="E662" s="1">
        <v>564</v>
      </c>
      <c r="F662" s="1">
        <v>2712</v>
      </c>
      <c r="G662" s="1"/>
      <c r="H662" s="1"/>
      <c r="I662" s="1">
        <v>135</v>
      </c>
      <c r="J662" s="1">
        <v>2280</v>
      </c>
      <c r="V662" s="7" t="s">
        <v>3</v>
      </c>
      <c r="W662" t="s">
        <v>647</v>
      </c>
      <c r="X662" s="1"/>
      <c r="Y662" s="1"/>
      <c r="Z662" s="1"/>
      <c r="AA662" s="1"/>
      <c r="AB662" s="1"/>
      <c r="AC662" s="1"/>
      <c r="AD662" s="1"/>
      <c r="AE662" s="1"/>
      <c r="AO662" s="7" t="s">
        <v>3</v>
      </c>
    </row>
    <row r="663" spans="3:41" ht="12.75">
      <c r="C663" s="1"/>
      <c r="D663" s="1"/>
      <c r="G663" s="1"/>
      <c r="H663" s="1"/>
      <c r="I663" s="1"/>
      <c r="J663" s="1"/>
      <c r="V663" s="7" t="s">
        <v>3</v>
      </c>
      <c r="W663" t="s">
        <v>648</v>
      </c>
      <c r="X663" s="1"/>
      <c r="Y663" s="1"/>
      <c r="Z663" s="1"/>
      <c r="AA663" s="1"/>
      <c r="AB663" s="1"/>
      <c r="AC663" s="1"/>
      <c r="AD663" s="1"/>
      <c r="AE663" s="1"/>
      <c r="AO663" s="7" t="s">
        <v>3</v>
      </c>
    </row>
    <row r="664" spans="2:41" ht="12.75">
      <c r="B664" t="s">
        <v>648</v>
      </c>
      <c r="C664" s="1"/>
      <c r="D664" s="1"/>
      <c r="E664" s="1">
        <v>120</v>
      </c>
      <c r="F664" s="1">
        <v>400</v>
      </c>
      <c r="G664" s="1">
        <v>240</v>
      </c>
      <c r="H664" s="1">
        <v>2400</v>
      </c>
      <c r="I664" s="1"/>
      <c r="J664" s="1"/>
      <c r="V664" s="7" t="s">
        <v>3</v>
      </c>
      <c r="W664" t="s">
        <v>649</v>
      </c>
      <c r="X664" s="1"/>
      <c r="Y664" s="1"/>
      <c r="Z664" s="1"/>
      <c r="AA664" s="1"/>
      <c r="AB664" s="1"/>
      <c r="AC664" s="1"/>
      <c r="AD664" s="1"/>
      <c r="AE664" s="1"/>
      <c r="AO664" s="7" t="s">
        <v>3</v>
      </c>
    </row>
    <row r="665" spans="2:41" ht="12.75">
      <c r="B665" t="s">
        <v>649</v>
      </c>
      <c r="C665" s="1">
        <v>1030</v>
      </c>
      <c r="D665" s="1">
        <v>2590</v>
      </c>
      <c r="E665" s="1">
        <v>799</v>
      </c>
      <c r="F665" s="1">
        <v>3465</v>
      </c>
      <c r="G665" s="1">
        <v>799</v>
      </c>
      <c r="H665" s="1">
        <v>3465</v>
      </c>
      <c r="I665" s="1"/>
      <c r="J665" s="1"/>
      <c r="V665" s="7" t="s">
        <v>3</v>
      </c>
      <c r="W665" t="s">
        <v>650</v>
      </c>
      <c r="X665" s="1"/>
      <c r="Y665" s="1"/>
      <c r="Z665" s="1"/>
      <c r="AA665" s="1"/>
      <c r="AB665" s="1"/>
      <c r="AC665" s="1"/>
      <c r="AD665" s="1"/>
      <c r="AE665" s="1"/>
      <c r="AO665" s="7" t="s">
        <v>3</v>
      </c>
    </row>
    <row r="666" spans="2:41" ht="12.75">
      <c r="B666" t="s">
        <v>650</v>
      </c>
      <c r="C666" s="1"/>
      <c r="D666" s="1"/>
      <c r="E666" s="1">
        <v>552</v>
      </c>
      <c r="F666" s="1">
        <v>1920</v>
      </c>
      <c r="G666" s="1"/>
      <c r="H666" s="1"/>
      <c r="I666" s="1"/>
      <c r="J666" s="1"/>
      <c r="V666" s="7" t="s">
        <v>3</v>
      </c>
      <c r="X666" s="1"/>
      <c r="Y666" s="1"/>
      <c r="Z666" s="1"/>
      <c r="AA666" s="1"/>
      <c r="AB666" s="1"/>
      <c r="AC666" s="1"/>
      <c r="AD666" s="1"/>
      <c r="AE666" s="1"/>
      <c r="AO666" s="7" t="s">
        <v>3</v>
      </c>
    </row>
    <row r="667" spans="22:41" ht="12.75">
      <c r="V667" s="7" t="s">
        <v>3</v>
      </c>
      <c r="W667" t="s">
        <v>651</v>
      </c>
      <c r="X667" s="1"/>
      <c r="Y667" s="1"/>
      <c r="Z667" s="1"/>
      <c r="AA667" s="1"/>
      <c r="AB667" s="1"/>
      <c r="AC667" s="1"/>
      <c r="AD667" s="1"/>
      <c r="AE667" s="1"/>
      <c r="AO667" s="7" t="s">
        <v>3</v>
      </c>
    </row>
    <row r="668" spans="2:41" ht="12.75">
      <c r="B668" t="s">
        <v>651</v>
      </c>
      <c r="C668" s="1">
        <v>771</v>
      </c>
      <c r="D668" s="1">
        <v>2190</v>
      </c>
      <c r="E668" s="5">
        <v>525</v>
      </c>
      <c r="F668" s="1">
        <v>1178</v>
      </c>
      <c r="G668" s="1">
        <f>(799+240)/2</f>
        <v>519.5</v>
      </c>
      <c r="H668" s="1">
        <f>(3465+2400)/2</f>
        <v>2932.5</v>
      </c>
      <c r="I668" s="1">
        <v>252</v>
      </c>
      <c r="J668" s="1">
        <v>830</v>
      </c>
      <c r="V668" s="7" t="s">
        <v>3</v>
      </c>
      <c r="W668" s="6" t="s">
        <v>57</v>
      </c>
      <c r="X668" s="6" t="s">
        <v>57</v>
      </c>
      <c r="Y668" s="6" t="s">
        <v>57</v>
      </c>
      <c r="Z668" s="6" t="s">
        <v>57</v>
      </c>
      <c r="AA668" s="6" t="s">
        <v>57</v>
      </c>
      <c r="AB668" s="6" t="s">
        <v>57</v>
      </c>
      <c r="AC668" s="6" t="s">
        <v>57</v>
      </c>
      <c r="AD668" s="6" t="s">
        <v>57</v>
      </c>
      <c r="AE668" s="6" t="s">
        <v>57</v>
      </c>
      <c r="AF668" s="6" t="s">
        <v>57</v>
      </c>
      <c r="AG668" s="6" t="s">
        <v>57</v>
      </c>
      <c r="AH668" s="6" t="s">
        <v>57</v>
      </c>
      <c r="AI668" s="6" t="s">
        <v>57</v>
      </c>
      <c r="AJ668" s="6" t="s">
        <v>57</v>
      </c>
      <c r="AK668" s="6" t="s">
        <v>57</v>
      </c>
      <c r="AL668" s="6" t="s">
        <v>57</v>
      </c>
      <c r="AM668" s="6" t="s">
        <v>57</v>
      </c>
      <c r="AN668" s="6" t="s">
        <v>57</v>
      </c>
      <c r="AO668" s="7" t="s">
        <v>3</v>
      </c>
    </row>
    <row r="669" spans="2:41" ht="12.75">
      <c r="B669" s="6" t="s">
        <v>57</v>
      </c>
      <c r="C669" s="6" t="s">
        <v>57</v>
      </c>
      <c r="D669" s="6" t="s">
        <v>57</v>
      </c>
      <c r="E669" s="6" t="s">
        <v>57</v>
      </c>
      <c r="F669" s="6" t="s">
        <v>57</v>
      </c>
      <c r="G669" s="6" t="s">
        <v>57</v>
      </c>
      <c r="H669" s="6" t="s">
        <v>57</v>
      </c>
      <c r="I669" s="6" t="s">
        <v>57</v>
      </c>
      <c r="J669" s="6" t="s">
        <v>57</v>
      </c>
      <c r="V669" s="7" t="s">
        <v>3</v>
      </c>
      <c r="AO669" s="7" t="s">
        <v>3</v>
      </c>
    </row>
    <row r="670" spans="22:41" ht="12.75">
      <c r="V670" s="7" t="s">
        <v>3</v>
      </c>
      <c r="W670" t="s">
        <v>662</v>
      </c>
      <c r="AO670" s="7" t="s">
        <v>3</v>
      </c>
    </row>
    <row r="671" spans="22:41" ht="12.75">
      <c r="V671" s="7" t="s">
        <v>3</v>
      </c>
      <c r="W671" t="s">
        <v>663</v>
      </c>
      <c r="AO671" s="7" t="s">
        <v>3</v>
      </c>
    </row>
    <row r="672" spans="22:41" ht="12.75">
      <c r="V672" s="7" t="s">
        <v>3</v>
      </c>
      <c r="W672" t="s">
        <v>664</v>
      </c>
      <c r="AO672" s="7" t="s">
        <v>3</v>
      </c>
    </row>
    <row r="673" spans="22:41" ht="12.75">
      <c r="V673" s="7" t="s">
        <v>3</v>
      </c>
      <c r="W673" t="s">
        <v>665</v>
      </c>
      <c r="AO673" s="7" t="s">
        <v>3</v>
      </c>
    </row>
    <row r="674" spans="22:41" ht="12.75">
      <c r="V674" s="7" t="s">
        <v>3</v>
      </c>
      <c r="W674" t="s">
        <v>653</v>
      </c>
      <c r="AO674" s="7" t="s">
        <v>3</v>
      </c>
    </row>
    <row r="675" spans="22:41" ht="12.75">
      <c r="V675" s="7" t="s">
        <v>3</v>
      </c>
      <c r="AO675" s="7" t="s">
        <v>3</v>
      </c>
    </row>
    <row r="676" spans="22:41" ht="12.75">
      <c r="V676" s="7" t="s">
        <v>3</v>
      </c>
      <c r="AO676" s="7" t="s">
        <v>3</v>
      </c>
    </row>
    <row r="677" spans="22:41" ht="12.75">
      <c r="V677" s="7" t="s">
        <v>3</v>
      </c>
      <c r="AO677" s="7" t="s">
        <v>3</v>
      </c>
    </row>
    <row r="678" spans="22:41" ht="12.75">
      <c r="V678" s="7" t="s">
        <v>3</v>
      </c>
      <c r="AO678" s="7" t="s">
        <v>3</v>
      </c>
    </row>
    <row r="679" spans="8:41" ht="12.75">
      <c r="H679" t="s">
        <v>666</v>
      </c>
      <c r="V679" s="7" t="s">
        <v>3</v>
      </c>
      <c r="AC679" t="s">
        <v>666</v>
      </c>
      <c r="AO679" s="7" t="s">
        <v>3</v>
      </c>
    </row>
    <row r="680" spans="22:41" ht="12.75">
      <c r="V680" s="7" t="s">
        <v>3</v>
      </c>
      <c r="AO680" s="7" t="s">
        <v>3</v>
      </c>
    </row>
    <row r="681" spans="6:41" ht="12.75">
      <c r="F681" t="s">
        <v>667</v>
      </c>
      <c r="V681" s="7" t="s">
        <v>3</v>
      </c>
      <c r="AA681" t="s">
        <v>667</v>
      </c>
      <c r="AO681" s="7" t="s">
        <v>3</v>
      </c>
    </row>
    <row r="682" spans="6:41" ht="12.75">
      <c r="F682" t="s">
        <v>668</v>
      </c>
      <c r="V682" s="7" t="s">
        <v>3</v>
      </c>
      <c r="AA682" t="s">
        <v>668</v>
      </c>
      <c r="AO682" s="7" t="s">
        <v>3</v>
      </c>
    </row>
    <row r="683" spans="7:41" ht="12.75">
      <c r="G683" t="s">
        <v>669</v>
      </c>
      <c r="V683" s="7" t="s">
        <v>3</v>
      </c>
      <c r="AB683" t="s">
        <v>669</v>
      </c>
      <c r="AO683" s="7" t="s">
        <v>3</v>
      </c>
    </row>
    <row r="684" spans="7:41" ht="12.75">
      <c r="G684" t="s">
        <v>626</v>
      </c>
      <c r="V684" s="7" t="s">
        <v>3</v>
      </c>
      <c r="AB684" t="s">
        <v>626</v>
      </c>
      <c r="AO684" s="7" t="s">
        <v>3</v>
      </c>
    </row>
    <row r="685" spans="22:41" ht="12.75">
      <c r="V685" s="7" t="s">
        <v>3</v>
      </c>
      <c r="AO685" s="7" t="s">
        <v>3</v>
      </c>
    </row>
    <row r="686" spans="3:41" ht="12.75">
      <c r="C686" t="s">
        <v>627</v>
      </c>
      <c r="E686" t="s">
        <v>628</v>
      </c>
      <c r="G686" t="s">
        <v>629</v>
      </c>
      <c r="I686" t="s">
        <v>630</v>
      </c>
      <c r="K686" t="s">
        <v>630</v>
      </c>
      <c r="M686" t="s">
        <v>631</v>
      </c>
      <c r="V686" s="7" t="s">
        <v>3</v>
      </c>
      <c r="X686" t="s">
        <v>627</v>
      </c>
      <c r="Z686" t="s">
        <v>628</v>
      </c>
      <c r="AB686" t="s">
        <v>629</v>
      </c>
      <c r="AD686" t="s">
        <v>630</v>
      </c>
      <c r="AF686" t="s">
        <v>630</v>
      </c>
      <c r="AH686" t="s">
        <v>631</v>
      </c>
      <c r="AO686" s="7" t="s">
        <v>3</v>
      </c>
    </row>
    <row r="687" spans="4:41" ht="12.75">
      <c r="D687" t="s">
        <v>632</v>
      </c>
      <c r="F687" t="s">
        <v>633</v>
      </c>
      <c r="H687" t="s">
        <v>634</v>
      </c>
      <c r="J687" t="s">
        <v>632</v>
      </c>
      <c r="L687" t="s">
        <v>633</v>
      </c>
      <c r="V687" s="7" t="s">
        <v>3</v>
      </c>
      <c r="Y687" t="s">
        <v>632</v>
      </c>
      <c r="AA687" t="s">
        <v>633</v>
      </c>
      <c r="AC687" t="s">
        <v>634</v>
      </c>
      <c r="AE687" t="s">
        <v>632</v>
      </c>
      <c r="AG687" t="s">
        <v>633</v>
      </c>
      <c r="AO687" s="7" t="s">
        <v>3</v>
      </c>
    </row>
    <row r="688" spans="3:41" ht="12.75">
      <c r="C688" s="7" t="s">
        <v>48</v>
      </c>
      <c r="D688" s="7" t="s">
        <v>49</v>
      </c>
      <c r="E688" s="7" t="s">
        <v>48</v>
      </c>
      <c r="F688" s="7" t="s">
        <v>49</v>
      </c>
      <c r="G688" s="7" t="s">
        <v>48</v>
      </c>
      <c r="H688" s="7" t="s">
        <v>49</v>
      </c>
      <c r="I688" s="7" t="s">
        <v>48</v>
      </c>
      <c r="J688" s="7" t="s">
        <v>49</v>
      </c>
      <c r="K688" s="7" t="s">
        <v>48</v>
      </c>
      <c r="L688" s="7" t="s">
        <v>49</v>
      </c>
      <c r="M688" s="7" t="s">
        <v>48</v>
      </c>
      <c r="N688" s="7" t="s">
        <v>49</v>
      </c>
      <c r="V688" s="7" t="s">
        <v>3</v>
      </c>
      <c r="X688" s="7" t="s">
        <v>48</v>
      </c>
      <c r="Y688" s="7" t="s">
        <v>49</v>
      </c>
      <c r="Z688" s="7" t="s">
        <v>48</v>
      </c>
      <c r="AA688" s="7" t="s">
        <v>49</v>
      </c>
      <c r="AB688" s="7" t="s">
        <v>48</v>
      </c>
      <c r="AC688" s="7" t="s">
        <v>49</v>
      </c>
      <c r="AD688" s="7" t="s">
        <v>48</v>
      </c>
      <c r="AE688" s="7" t="s">
        <v>49</v>
      </c>
      <c r="AF688" s="7" t="s">
        <v>48</v>
      </c>
      <c r="AG688" s="7" t="s">
        <v>49</v>
      </c>
      <c r="AH688" s="7" t="s">
        <v>48</v>
      </c>
      <c r="AI688" s="7" t="s">
        <v>49</v>
      </c>
      <c r="AO688" s="7" t="s">
        <v>3</v>
      </c>
    </row>
    <row r="689" spans="22:41" ht="12.75">
      <c r="V689" s="7" t="s">
        <v>3</v>
      </c>
      <c r="AO689" s="7" t="s">
        <v>3</v>
      </c>
    </row>
    <row r="690" spans="2:41" ht="12.75">
      <c r="B690" t="s">
        <v>636</v>
      </c>
      <c r="C690" s="1"/>
      <c r="D690" s="1"/>
      <c r="E690" s="1">
        <f>(1560+1254)/2</f>
        <v>1407</v>
      </c>
      <c r="F690" s="1">
        <f>(2690+1800)/2</f>
        <v>2245</v>
      </c>
      <c r="G690" s="1">
        <v>1365</v>
      </c>
      <c r="H690" s="1">
        <v>2334</v>
      </c>
      <c r="I690" s="1">
        <f>(1560+850)/2</f>
        <v>1205</v>
      </c>
      <c r="J690" s="1">
        <f>(1800+1125)/2</f>
        <v>1462.5</v>
      </c>
      <c r="K690" s="1">
        <f>(1152+1100)/2</f>
        <v>1126</v>
      </c>
      <c r="L690" s="1">
        <f>(1548+1500)/2</f>
        <v>1524</v>
      </c>
      <c r="M690" s="1"/>
      <c r="N690" s="1"/>
      <c r="V690" s="7" t="s">
        <v>3</v>
      </c>
      <c r="W690" t="s">
        <v>636</v>
      </c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O690" s="7" t="s">
        <v>3</v>
      </c>
    </row>
    <row r="691" spans="2:41" ht="12.75">
      <c r="B691" t="s">
        <v>637</v>
      </c>
      <c r="C691" s="1">
        <v>1130</v>
      </c>
      <c r="D691" s="1">
        <v>2390</v>
      </c>
      <c r="E691" s="1"/>
      <c r="F691" s="1"/>
      <c r="G691" s="1"/>
      <c r="H691" s="1"/>
      <c r="I691" s="1">
        <f>(1100+790)/2</f>
        <v>945</v>
      </c>
      <c r="J691" s="1">
        <f>(2360+1790)/2</f>
        <v>2075</v>
      </c>
      <c r="K691" s="1">
        <f>(960+870)/2</f>
        <v>915</v>
      </c>
      <c r="L691" s="1">
        <f>(1776+1740)/2</f>
        <v>1758</v>
      </c>
      <c r="M691" s="1"/>
      <c r="N691" s="1"/>
      <c r="V691" s="7" t="s">
        <v>3</v>
      </c>
      <c r="W691" t="s">
        <v>637</v>
      </c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O691" s="7" t="s">
        <v>3</v>
      </c>
    </row>
    <row r="692" spans="2:41" ht="12.75">
      <c r="B692" t="s">
        <v>638</v>
      </c>
      <c r="C692" s="1">
        <v>1038</v>
      </c>
      <c r="D692" s="1">
        <v>3198</v>
      </c>
      <c r="E692" s="1">
        <v>1038</v>
      </c>
      <c r="F692" s="1">
        <v>3198</v>
      </c>
      <c r="G692" s="1">
        <v>1038</v>
      </c>
      <c r="H692" s="1">
        <v>3198</v>
      </c>
      <c r="I692" s="1">
        <v>1038</v>
      </c>
      <c r="J692" s="1">
        <v>3198</v>
      </c>
      <c r="K692" s="1">
        <v>1038</v>
      </c>
      <c r="L692" s="1">
        <v>3198</v>
      </c>
      <c r="M692" s="1"/>
      <c r="N692" s="1"/>
      <c r="V692" s="7" t="s">
        <v>3</v>
      </c>
      <c r="W692" t="s">
        <v>638</v>
      </c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O692" s="7" t="s">
        <v>3</v>
      </c>
    </row>
    <row r="693" spans="3:41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V693" s="7" t="s">
        <v>3</v>
      </c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O693" s="7" t="s">
        <v>3</v>
      </c>
    </row>
    <row r="694" spans="2:41" ht="12.75">
      <c r="B694" t="s">
        <v>639</v>
      </c>
      <c r="C694" s="1">
        <v>1554</v>
      </c>
      <c r="D694" s="1">
        <v>4380</v>
      </c>
      <c r="E694" s="1">
        <f>(1587+1320)/2</f>
        <v>1453.5</v>
      </c>
      <c r="F694" s="1">
        <f>(5007+4440)/2</f>
        <v>4723.5</v>
      </c>
      <c r="G694" s="1"/>
      <c r="H694" s="1"/>
      <c r="I694" s="1"/>
      <c r="J694" s="1"/>
      <c r="K694" s="1">
        <f>(1200+1176)/2</f>
        <v>1188</v>
      </c>
      <c r="L694" s="1">
        <f>(3360+3312)/2</f>
        <v>3336</v>
      </c>
      <c r="M694" s="1"/>
      <c r="N694" s="1"/>
      <c r="V694" s="7" t="s">
        <v>3</v>
      </c>
      <c r="W694" t="s">
        <v>639</v>
      </c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O694" s="7" t="s">
        <v>3</v>
      </c>
    </row>
    <row r="695" spans="2:41" ht="12.75">
      <c r="B695" t="s">
        <v>640</v>
      </c>
      <c r="C695" s="1">
        <v>1344</v>
      </c>
      <c r="D695" s="1">
        <v>3862</v>
      </c>
      <c r="E695" s="1">
        <v>1360</v>
      </c>
      <c r="F695" s="1">
        <v>3878</v>
      </c>
      <c r="G695" s="1"/>
      <c r="H695" s="1"/>
      <c r="I695" s="1">
        <f>(1042+1032)/2</f>
        <v>1037</v>
      </c>
      <c r="J695" s="1">
        <f>(2988+2978)/2</f>
        <v>2983</v>
      </c>
      <c r="K695" s="1">
        <v>1062</v>
      </c>
      <c r="L695" s="1">
        <v>3008</v>
      </c>
      <c r="M695" s="1"/>
      <c r="N695" s="1"/>
      <c r="V695" s="7" t="s">
        <v>3</v>
      </c>
      <c r="W695" t="s">
        <v>640</v>
      </c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O695" s="7" t="s">
        <v>3</v>
      </c>
    </row>
    <row r="696" spans="2:41" ht="12.75">
      <c r="B696" t="s">
        <v>641</v>
      </c>
      <c r="C696" s="1">
        <v>1280</v>
      </c>
      <c r="D696" s="1">
        <v>3280</v>
      </c>
      <c r="E696" s="1"/>
      <c r="F696" s="1"/>
      <c r="G696" s="1">
        <v>1064</v>
      </c>
      <c r="H696" s="1">
        <v>1944</v>
      </c>
      <c r="I696" s="1"/>
      <c r="J696" s="1"/>
      <c r="K696" s="1">
        <v>980</v>
      </c>
      <c r="L696" s="1">
        <v>1870</v>
      </c>
      <c r="M696" s="1"/>
      <c r="N696" s="1"/>
      <c r="V696" s="7" t="s">
        <v>3</v>
      </c>
      <c r="W696" t="s">
        <v>641</v>
      </c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O696" s="7" t="s">
        <v>3</v>
      </c>
    </row>
    <row r="698" spans="2:41" ht="12.75">
      <c r="B698" t="s">
        <v>642</v>
      </c>
      <c r="C698" s="1">
        <v>2310</v>
      </c>
      <c r="D698" s="1">
        <v>3918</v>
      </c>
      <c r="E698" s="1"/>
      <c r="F698" s="1"/>
      <c r="G698" s="1">
        <f>(2332+1718)/2</f>
        <v>2025</v>
      </c>
      <c r="H698" s="1">
        <f>(1958+3940)/2</f>
        <v>2949</v>
      </c>
      <c r="I698" s="1"/>
      <c r="J698" s="1"/>
      <c r="K698" s="1">
        <v>2142</v>
      </c>
      <c r="L698" s="1">
        <v>2142</v>
      </c>
      <c r="M698" s="1">
        <v>2051</v>
      </c>
      <c r="N698" s="1">
        <v>4345</v>
      </c>
      <c r="V698" s="7" t="s">
        <v>3</v>
      </c>
      <c r="W698" t="s">
        <v>642</v>
      </c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O698" s="7" t="s">
        <v>3</v>
      </c>
    </row>
    <row r="699" spans="2:41" ht="12.75">
      <c r="B699" t="s">
        <v>643</v>
      </c>
      <c r="C699" s="1"/>
      <c r="D699" s="1"/>
      <c r="E699" s="1">
        <v>1492</v>
      </c>
      <c r="F699" s="1">
        <v>2674</v>
      </c>
      <c r="G699" s="1">
        <f>(1210+1000)/2</f>
        <v>1105</v>
      </c>
      <c r="H699" s="1">
        <f>(2392+2182)/2</f>
        <v>2287</v>
      </c>
      <c r="I699" s="1"/>
      <c r="J699" s="1"/>
      <c r="K699" s="1">
        <v>1100</v>
      </c>
      <c r="L699" s="1">
        <v>2282</v>
      </c>
      <c r="M699" s="1"/>
      <c r="N699" s="1"/>
      <c r="V699" s="7" t="s">
        <v>3</v>
      </c>
      <c r="W699" t="s">
        <v>643</v>
      </c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O699" s="7" t="s">
        <v>3</v>
      </c>
    </row>
    <row r="700" spans="2:41" ht="12.75">
      <c r="B700" t="s">
        <v>644</v>
      </c>
      <c r="C700" s="1">
        <f>(810+790)/2</f>
        <v>800</v>
      </c>
      <c r="D700" s="1">
        <f>(3730+3710)/2</f>
        <v>3720</v>
      </c>
      <c r="E700" s="1">
        <v>888</v>
      </c>
      <c r="F700" s="1">
        <v>3808</v>
      </c>
      <c r="G700" s="1">
        <v>764</v>
      </c>
      <c r="H700" s="1">
        <v>3610</v>
      </c>
      <c r="I700" s="1">
        <v>803</v>
      </c>
      <c r="J700" s="1">
        <v>3649</v>
      </c>
      <c r="K700" s="1">
        <v>780</v>
      </c>
      <c r="L700" s="1">
        <v>3626</v>
      </c>
      <c r="M700" s="1">
        <v>1050</v>
      </c>
      <c r="N700" s="1">
        <v>3609</v>
      </c>
      <c r="V700" s="7" t="s">
        <v>3</v>
      </c>
      <c r="W700" t="s">
        <v>644</v>
      </c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O700" s="7" t="s">
        <v>3</v>
      </c>
    </row>
    <row r="702" spans="2:41" ht="12.75">
      <c r="B702" t="s">
        <v>645</v>
      </c>
      <c r="C702" s="1">
        <f>(864+815)/2</f>
        <v>839.5</v>
      </c>
      <c r="D702" s="1">
        <f>(2544+2495)/2</f>
        <v>2519.5</v>
      </c>
      <c r="K702" s="1">
        <v>572</v>
      </c>
      <c r="L702" s="1">
        <v>1577</v>
      </c>
      <c r="V702" s="7" t="s">
        <v>3</v>
      </c>
      <c r="W702" t="s">
        <v>645</v>
      </c>
      <c r="AO702" s="7" t="s">
        <v>3</v>
      </c>
    </row>
    <row r="703" spans="2:41" ht="12.75">
      <c r="B703" t="s">
        <v>646</v>
      </c>
      <c r="C703" s="1">
        <v>1608</v>
      </c>
      <c r="D703" s="1">
        <v>1608</v>
      </c>
      <c r="E703" s="1">
        <v>1682</v>
      </c>
      <c r="F703" s="1">
        <v>1682</v>
      </c>
      <c r="G703" s="1"/>
      <c r="H703" s="1"/>
      <c r="I703" s="1"/>
      <c r="J703" s="1"/>
      <c r="K703" s="1">
        <f>(1380+1270)/2</f>
        <v>1325</v>
      </c>
      <c r="L703" s="1">
        <f>(1380+1270)/2</f>
        <v>1325</v>
      </c>
      <c r="M703" s="1">
        <v>1266</v>
      </c>
      <c r="N703" s="1">
        <v>1266</v>
      </c>
      <c r="V703" s="7" t="s">
        <v>3</v>
      </c>
      <c r="W703" t="s">
        <v>646</v>
      </c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O703" s="7" t="s">
        <v>3</v>
      </c>
    </row>
    <row r="704" spans="2:41" ht="12.75">
      <c r="B704" t="s">
        <v>647</v>
      </c>
      <c r="C704" s="1">
        <v>1250</v>
      </c>
      <c r="D704" s="1">
        <v>3404</v>
      </c>
      <c r="E704" s="1">
        <v>1210</v>
      </c>
      <c r="F704" s="1">
        <v>3358</v>
      </c>
      <c r="G704" s="1">
        <f>(1193+1158)/2</f>
        <v>1175.5</v>
      </c>
      <c r="H704" s="1">
        <f>(3341+3306)/2</f>
        <v>3323.5</v>
      </c>
      <c r="I704" s="1"/>
      <c r="J704" s="1"/>
      <c r="K704" s="1">
        <v>1250</v>
      </c>
      <c r="L704" s="1">
        <v>3396</v>
      </c>
      <c r="M704" s="1">
        <v>1250</v>
      </c>
      <c r="N704" s="1">
        <v>3404</v>
      </c>
      <c r="V704" s="7" t="s">
        <v>3</v>
      </c>
      <c r="W704" t="s">
        <v>647</v>
      </c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O704" s="7" t="s">
        <v>3</v>
      </c>
    </row>
    <row r="706" spans="2:41" ht="12.75">
      <c r="B706" t="s">
        <v>648</v>
      </c>
      <c r="C706" s="1">
        <v>612</v>
      </c>
      <c r="D706" s="1">
        <v>3204</v>
      </c>
      <c r="E706" s="1">
        <v>612</v>
      </c>
      <c r="F706" s="1">
        <v>3204</v>
      </c>
      <c r="G706" s="1">
        <v>612</v>
      </c>
      <c r="H706" s="1">
        <v>3204</v>
      </c>
      <c r="I706" s="1">
        <v>612</v>
      </c>
      <c r="J706" s="1">
        <v>3204</v>
      </c>
      <c r="K706" s="1">
        <v>612</v>
      </c>
      <c r="L706" s="1">
        <v>3204</v>
      </c>
      <c r="M706" s="1">
        <v>612</v>
      </c>
      <c r="N706" s="1">
        <v>3204</v>
      </c>
      <c r="V706" s="7" t="s">
        <v>3</v>
      </c>
      <c r="W706" t="s">
        <v>648</v>
      </c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O706" s="7" t="s">
        <v>3</v>
      </c>
    </row>
    <row r="707" spans="2:41" ht="12.75">
      <c r="B707" t="s">
        <v>649</v>
      </c>
      <c r="C707" s="1">
        <f>(2331+2036)/2</f>
        <v>2183.5</v>
      </c>
      <c r="D707" s="1">
        <f>(2574+4886)/2</f>
        <v>3730</v>
      </c>
      <c r="E707" s="1">
        <f>(2290+2134)/2</f>
        <v>2212</v>
      </c>
      <c r="F707" s="1">
        <f>(6168+3964)/2</f>
        <v>5066</v>
      </c>
      <c r="G707" s="1">
        <f>(1966+1608)/2</f>
        <v>1787</v>
      </c>
      <c r="H707" s="1">
        <f>(4222+3120)/2</f>
        <v>3671</v>
      </c>
      <c r="I707" s="1">
        <v>1920</v>
      </c>
      <c r="J707" s="1">
        <v>3600</v>
      </c>
      <c r="K707" s="1">
        <v>1816</v>
      </c>
      <c r="L707" s="1">
        <v>2592</v>
      </c>
      <c r="M707" s="1"/>
      <c r="N707" s="1"/>
      <c r="V707" s="7" t="s">
        <v>3</v>
      </c>
      <c r="W707" t="s">
        <v>649</v>
      </c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O707" s="7" t="s">
        <v>3</v>
      </c>
    </row>
    <row r="708" spans="2:41" ht="12.75">
      <c r="B708" t="s">
        <v>650</v>
      </c>
      <c r="C708" s="1">
        <v>1220</v>
      </c>
      <c r="D708" s="1">
        <v>3340</v>
      </c>
      <c r="E708" s="1"/>
      <c r="F708" s="1"/>
      <c r="G708" s="1"/>
      <c r="H708" s="1"/>
      <c r="I708" s="1">
        <v>1020</v>
      </c>
      <c r="J708" s="1">
        <v>2840</v>
      </c>
      <c r="K708" s="1">
        <v>930</v>
      </c>
      <c r="L708" s="1">
        <v>2670</v>
      </c>
      <c r="M708" s="1">
        <v>720</v>
      </c>
      <c r="N708" s="1">
        <v>2470</v>
      </c>
      <c r="V708" s="7" t="s">
        <v>3</v>
      </c>
      <c r="W708" t="s">
        <v>650</v>
      </c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O708" s="7" t="s">
        <v>3</v>
      </c>
    </row>
    <row r="709" spans="3:41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V709" s="7" t="s">
        <v>3</v>
      </c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O709" s="7" t="s">
        <v>3</v>
      </c>
    </row>
    <row r="710" spans="2:41" ht="12.75">
      <c r="B710" t="s">
        <v>651</v>
      </c>
      <c r="C710" s="1">
        <v>1250</v>
      </c>
      <c r="D710" s="1">
        <v>3340</v>
      </c>
      <c r="E710" s="1">
        <f>(1407+1360)/2</f>
        <v>1383.5</v>
      </c>
      <c r="F710" s="1">
        <f>(3358+3204)/2</f>
        <v>3281</v>
      </c>
      <c r="G710" s="1">
        <v>1105</v>
      </c>
      <c r="H710" s="1">
        <v>3198</v>
      </c>
      <c r="I710" s="1">
        <f>(1037+1020)/2</f>
        <v>1028.5</v>
      </c>
      <c r="J710" s="1">
        <f>(3198+2983)/2</f>
        <v>3090.5</v>
      </c>
      <c r="K710" s="1">
        <v>1062</v>
      </c>
      <c r="L710" s="1">
        <v>2592</v>
      </c>
      <c r="M710" s="1">
        <f>(1250+1050)/2</f>
        <v>1150</v>
      </c>
      <c r="N710" s="1">
        <f>(3404+3204)/2</f>
        <v>3304</v>
      </c>
      <c r="V710" s="7" t="s">
        <v>3</v>
      </c>
      <c r="W710" t="s">
        <v>651</v>
      </c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O710" s="7" t="s">
        <v>3</v>
      </c>
    </row>
    <row r="711" spans="2:41" ht="12.75">
      <c r="B711" s="6" t="s">
        <v>57</v>
      </c>
      <c r="C711" s="6" t="s">
        <v>57</v>
      </c>
      <c r="D711" s="6" t="s">
        <v>57</v>
      </c>
      <c r="E711" s="6" t="s">
        <v>57</v>
      </c>
      <c r="F711" s="6" t="s">
        <v>57</v>
      </c>
      <c r="G711" s="6" t="s">
        <v>57</v>
      </c>
      <c r="H711" s="6" t="s">
        <v>57</v>
      </c>
      <c r="I711" s="6" t="s">
        <v>57</v>
      </c>
      <c r="J711" s="6" t="s">
        <v>57</v>
      </c>
      <c r="K711" s="6" t="s">
        <v>57</v>
      </c>
      <c r="L711" s="6" t="s">
        <v>57</v>
      </c>
      <c r="M711" s="6" t="s">
        <v>57</v>
      </c>
      <c r="N711" s="6" t="s">
        <v>57</v>
      </c>
      <c r="O711" s="6" t="s">
        <v>57</v>
      </c>
      <c r="P711" s="6" t="s">
        <v>57</v>
      </c>
      <c r="Q711" s="6" t="s">
        <v>57</v>
      </c>
      <c r="R711" s="6" t="s">
        <v>57</v>
      </c>
      <c r="S711" s="6" t="s">
        <v>57</v>
      </c>
      <c r="T711" s="6" t="s">
        <v>57</v>
      </c>
      <c r="V711" s="7" t="s">
        <v>3</v>
      </c>
      <c r="W711" s="6" t="s">
        <v>57</v>
      </c>
      <c r="X711" s="6" t="s">
        <v>57</v>
      </c>
      <c r="Y711" s="6" t="s">
        <v>57</v>
      </c>
      <c r="Z711" s="6" t="s">
        <v>57</v>
      </c>
      <c r="AA711" s="6" t="s">
        <v>57</v>
      </c>
      <c r="AB711" s="6" t="s">
        <v>57</v>
      </c>
      <c r="AC711" s="6" t="s">
        <v>57</v>
      </c>
      <c r="AD711" s="6" t="s">
        <v>57</v>
      </c>
      <c r="AE711" s="6" t="s">
        <v>57</v>
      </c>
      <c r="AF711" s="6" t="s">
        <v>57</v>
      </c>
      <c r="AG711" s="6" t="s">
        <v>57</v>
      </c>
      <c r="AH711" s="6" t="s">
        <v>57</v>
      </c>
      <c r="AI711" s="6" t="s">
        <v>57</v>
      </c>
      <c r="AJ711" s="6" t="s">
        <v>57</v>
      </c>
      <c r="AK711" s="6" t="s">
        <v>57</v>
      </c>
      <c r="AL711" s="6" t="s">
        <v>57</v>
      </c>
      <c r="AM711" s="6" t="s">
        <v>57</v>
      </c>
      <c r="AN711" s="6" t="s">
        <v>57</v>
      </c>
      <c r="AO711" s="7" t="s">
        <v>3</v>
      </c>
    </row>
    <row r="712" spans="22:41" ht="12.75">
      <c r="V712" s="7" t="s">
        <v>3</v>
      </c>
      <c r="AO712" s="7" t="s">
        <v>3</v>
      </c>
    </row>
    <row r="713" spans="22:41" ht="12.75">
      <c r="V713" s="7" t="s">
        <v>3</v>
      </c>
      <c r="W713" t="s">
        <v>652</v>
      </c>
      <c r="AO713" s="7" t="s">
        <v>3</v>
      </c>
    </row>
    <row r="714" spans="22:41" ht="12.75">
      <c r="V714" s="7" t="s">
        <v>3</v>
      </c>
      <c r="W714" t="s">
        <v>653</v>
      </c>
      <c r="AO714" s="7" t="s">
        <v>3</v>
      </c>
    </row>
    <row r="715" spans="22:41" ht="12.75">
      <c r="V715" s="7" t="s">
        <v>3</v>
      </c>
      <c r="AO715" s="7" t="s">
        <v>3</v>
      </c>
    </row>
    <row r="716" spans="22:41" ht="12.75">
      <c r="V716" s="7" t="s">
        <v>3</v>
      </c>
      <c r="AO716" s="7" t="s">
        <v>3</v>
      </c>
    </row>
    <row r="717" spans="22:41" ht="12.75">
      <c r="V717" s="7" t="s">
        <v>3</v>
      </c>
      <c r="AO717" s="7" t="s">
        <v>3</v>
      </c>
    </row>
    <row r="718" spans="22:41" ht="12.75">
      <c r="V718" s="7" t="s">
        <v>3</v>
      </c>
      <c r="AO718" s="7" t="s">
        <v>3</v>
      </c>
    </row>
    <row r="719" spans="8:41" ht="12.75">
      <c r="H719" t="s">
        <v>670</v>
      </c>
      <c r="V719" s="7" t="s">
        <v>3</v>
      </c>
      <c r="AC719" t="s">
        <v>670</v>
      </c>
      <c r="AO719" s="7" t="s">
        <v>3</v>
      </c>
    </row>
    <row r="720" spans="22:41" ht="12.75">
      <c r="V720" s="7" t="s">
        <v>3</v>
      </c>
      <c r="AO720" s="7" t="s">
        <v>3</v>
      </c>
    </row>
    <row r="721" spans="6:41" ht="12.75">
      <c r="F721" t="s">
        <v>621</v>
      </c>
      <c r="V721" s="7" t="s">
        <v>3</v>
      </c>
      <c r="AA721" t="s">
        <v>621</v>
      </c>
      <c r="AO721" s="7" t="s">
        <v>3</v>
      </c>
    </row>
    <row r="722" spans="5:41" ht="12.75">
      <c r="E722" t="s">
        <v>671</v>
      </c>
      <c r="V722" s="7" t="s">
        <v>3</v>
      </c>
      <c r="Z722" t="s">
        <v>671</v>
      </c>
      <c r="AO722" s="7" t="s">
        <v>3</v>
      </c>
    </row>
    <row r="723" spans="7:41" ht="12.75">
      <c r="G723" t="s">
        <v>669</v>
      </c>
      <c r="V723" s="7" t="s">
        <v>3</v>
      </c>
      <c r="AB723" t="s">
        <v>669</v>
      </c>
      <c r="AO723" s="7" t="s">
        <v>3</v>
      </c>
    </row>
    <row r="724" spans="7:41" ht="12.75">
      <c r="G724" t="s">
        <v>625</v>
      </c>
      <c r="V724" s="7" t="s">
        <v>3</v>
      </c>
      <c r="AB724" t="s">
        <v>626</v>
      </c>
      <c r="AO724" s="7" t="s">
        <v>3</v>
      </c>
    </row>
    <row r="725" spans="22:41" ht="12.75">
      <c r="V725" s="7" t="s">
        <v>3</v>
      </c>
      <c r="AO725" s="7" t="s">
        <v>3</v>
      </c>
    </row>
    <row r="726" spans="3:41" ht="12.75">
      <c r="C726" t="s">
        <v>672</v>
      </c>
      <c r="E726" t="s">
        <v>673</v>
      </c>
      <c r="G726" t="s">
        <v>674</v>
      </c>
      <c r="I726" t="s">
        <v>675</v>
      </c>
      <c r="K726" t="s">
        <v>676</v>
      </c>
      <c r="M726" t="s">
        <v>677</v>
      </c>
      <c r="V726" s="7" t="s">
        <v>3</v>
      </c>
      <c r="X726" t="s">
        <v>672</v>
      </c>
      <c r="Z726" t="s">
        <v>673</v>
      </c>
      <c r="AB726" t="s">
        <v>674</v>
      </c>
      <c r="AD726" t="s">
        <v>675</v>
      </c>
      <c r="AF726" t="s">
        <v>676</v>
      </c>
      <c r="AH726" t="s">
        <v>677</v>
      </c>
      <c r="AO726" s="7" t="s">
        <v>3</v>
      </c>
    </row>
    <row r="727" spans="3:41" ht="12.75">
      <c r="C727" s="7" t="s">
        <v>48</v>
      </c>
      <c r="D727" s="7" t="s">
        <v>49</v>
      </c>
      <c r="E727" s="7" t="s">
        <v>48</v>
      </c>
      <c r="F727" s="7" t="s">
        <v>49</v>
      </c>
      <c r="G727" s="7" t="s">
        <v>48</v>
      </c>
      <c r="H727" s="7" t="s">
        <v>49</v>
      </c>
      <c r="I727" s="7" t="s">
        <v>48</v>
      </c>
      <c r="J727" s="7" t="s">
        <v>49</v>
      </c>
      <c r="K727" s="7" t="s">
        <v>48</v>
      </c>
      <c r="L727" s="7" t="s">
        <v>49</v>
      </c>
      <c r="M727" s="7" t="s">
        <v>48</v>
      </c>
      <c r="N727" s="7" t="s">
        <v>49</v>
      </c>
      <c r="V727" s="7" t="s">
        <v>3</v>
      </c>
      <c r="X727" s="7" t="s">
        <v>48</v>
      </c>
      <c r="Y727" s="7" t="s">
        <v>49</v>
      </c>
      <c r="Z727" s="7" t="s">
        <v>48</v>
      </c>
      <c r="AA727" s="7" t="s">
        <v>49</v>
      </c>
      <c r="AB727" s="7" t="s">
        <v>48</v>
      </c>
      <c r="AC727" s="7" t="s">
        <v>49</v>
      </c>
      <c r="AD727" s="7" t="s">
        <v>48</v>
      </c>
      <c r="AE727" s="7" t="s">
        <v>49</v>
      </c>
      <c r="AF727" s="7" t="s">
        <v>48</v>
      </c>
      <c r="AG727" s="7" t="s">
        <v>49</v>
      </c>
      <c r="AH727" s="7" t="s">
        <v>48</v>
      </c>
      <c r="AI727" s="7" t="s">
        <v>49</v>
      </c>
      <c r="AO727" s="7" t="s">
        <v>3</v>
      </c>
    </row>
    <row r="728" spans="22:41" ht="12.75">
      <c r="V728" s="7" t="s">
        <v>3</v>
      </c>
      <c r="AO728" s="7" t="s">
        <v>3</v>
      </c>
    </row>
    <row r="729" spans="2:41" ht="12.75">
      <c r="B729" t="s">
        <v>636</v>
      </c>
      <c r="C729" s="1">
        <v>1752</v>
      </c>
      <c r="D729" s="1">
        <v>3188</v>
      </c>
      <c r="E729" s="1">
        <f>(3596+3379)/2</f>
        <v>3487.5</v>
      </c>
      <c r="F729" s="1">
        <v>12030</v>
      </c>
      <c r="G729" s="1">
        <v>2492</v>
      </c>
      <c r="H729" s="1">
        <v>3692</v>
      </c>
      <c r="I729" s="1">
        <v>1892</v>
      </c>
      <c r="J729" s="1">
        <v>6290</v>
      </c>
      <c r="K729" s="1">
        <v>1395</v>
      </c>
      <c r="L729" s="1">
        <v>3195</v>
      </c>
      <c r="M729" s="1">
        <v>1395</v>
      </c>
      <c r="N729" s="1">
        <v>2805</v>
      </c>
      <c r="V729" s="7" t="s">
        <v>3</v>
      </c>
      <c r="W729" t="s">
        <v>636</v>
      </c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O729" s="7" t="s">
        <v>3</v>
      </c>
    </row>
    <row r="730" spans="2:41" ht="12.75">
      <c r="B730" t="s">
        <v>637</v>
      </c>
      <c r="C730" s="1">
        <f>(1130+1100)/2</f>
        <v>1115</v>
      </c>
      <c r="D730" s="1">
        <f>(2390+2360)/2</f>
        <v>2375</v>
      </c>
      <c r="E730" s="1">
        <v>3850</v>
      </c>
      <c r="F730" s="1">
        <v>7350</v>
      </c>
      <c r="G730" s="1"/>
      <c r="H730" s="1"/>
      <c r="I730" s="1"/>
      <c r="J730" s="1"/>
      <c r="K730" s="1"/>
      <c r="L730" s="1"/>
      <c r="M730" s="1"/>
      <c r="N730" s="1"/>
      <c r="V730" s="7" t="s">
        <v>3</v>
      </c>
      <c r="W730" t="s">
        <v>637</v>
      </c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O730" s="7" t="s">
        <v>3</v>
      </c>
    </row>
    <row r="731" spans="2:41" ht="12.75">
      <c r="B731" t="s">
        <v>638</v>
      </c>
      <c r="C731" s="1">
        <v>1371</v>
      </c>
      <c r="D731" s="1">
        <v>3923</v>
      </c>
      <c r="E731" s="1">
        <v>2912</v>
      </c>
      <c r="F731" s="1">
        <v>7172</v>
      </c>
      <c r="G731" s="1">
        <v>2912</v>
      </c>
      <c r="H731" s="1">
        <v>7172</v>
      </c>
      <c r="I731" s="1"/>
      <c r="J731" s="1"/>
      <c r="K731" s="1">
        <v>2912</v>
      </c>
      <c r="L731" s="1">
        <v>7172</v>
      </c>
      <c r="M731" s="1"/>
      <c r="N731" s="1"/>
      <c r="V731" s="7" t="s">
        <v>3</v>
      </c>
      <c r="W731" t="s">
        <v>638</v>
      </c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O731" s="7" t="s">
        <v>3</v>
      </c>
    </row>
    <row r="733" spans="2:41" ht="12.75">
      <c r="B733" t="s">
        <v>639</v>
      </c>
      <c r="C733" s="1">
        <f>(2985+1864)/2</f>
        <v>2424.5</v>
      </c>
      <c r="D733" s="1">
        <f>(6195+5310)/2</f>
        <v>5752.5</v>
      </c>
      <c r="E733" s="1">
        <v>3225</v>
      </c>
      <c r="F733" s="1">
        <v>9504</v>
      </c>
      <c r="G733" s="1">
        <v>3225</v>
      </c>
      <c r="H733" s="1">
        <v>9504</v>
      </c>
      <c r="I733" s="1"/>
      <c r="J733" s="1"/>
      <c r="K733" s="1">
        <v>2025</v>
      </c>
      <c r="L733" s="1">
        <v>2025</v>
      </c>
      <c r="M733" s="1">
        <v>1773</v>
      </c>
      <c r="N733" s="1">
        <v>3264</v>
      </c>
      <c r="V733" s="7" t="s">
        <v>3</v>
      </c>
      <c r="W733" t="s">
        <v>639</v>
      </c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O733" s="7" t="s">
        <v>3</v>
      </c>
    </row>
    <row r="734" spans="2:41" ht="12.75">
      <c r="B734" t="s">
        <v>640</v>
      </c>
      <c r="C734" s="1">
        <v>1645</v>
      </c>
      <c r="D734" s="1">
        <v>4923</v>
      </c>
      <c r="E734" s="1">
        <v>3630</v>
      </c>
      <c r="F734" s="1">
        <f>(8945+8929)/2</f>
        <v>8937</v>
      </c>
      <c r="G734" s="1">
        <f>(3014+2998)/2</f>
        <v>3006</v>
      </c>
      <c r="H734" s="1">
        <f>(7384+7368)/2</f>
        <v>7376</v>
      </c>
      <c r="I734" s="1"/>
      <c r="J734" s="1"/>
      <c r="K734" s="1"/>
      <c r="L734" s="1"/>
      <c r="M734" s="1">
        <v>1366</v>
      </c>
      <c r="N734" s="1">
        <v>3930</v>
      </c>
      <c r="V734" s="7" t="s">
        <v>3</v>
      </c>
      <c r="W734" t="s">
        <v>640</v>
      </c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O734" s="7" t="s">
        <v>3</v>
      </c>
    </row>
    <row r="735" spans="2:41" ht="12.75">
      <c r="B735" t="s">
        <v>641</v>
      </c>
      <c r="C735" s="1">
        <f>(1704+804)/2</f>
        <v>1254</v>
      </c>
      <c r="D735" s="1">
        <f>(3952+1724)/2</f>
        <v>2838</v>
      </c>
      <c r="E735" s="1">
        <v>2700</v>
      </c>
      <c r="F735" s="1">
        <v>8300</v>
      </c>
      <c r="G735" s="1">
        <v>2700</v>
      </c>
      <c r="H735" s="1">
        <v>8300</v>
      </c>
      <c r="I735" s="1"/>
      <c r="J735" s="1"/>
      <c r="K735" s="1">
        <v>1700</v>
      </c>
      <c r="L735" s="1">
        <v>8450</v>
      </c>
      <c r="M735" s="1"/>
      <c r="N735" s="1"/>
      <c r="V735" s="7" t="s">
        <v>3</v>
      </c>
      <c r="W735" t="s">
        <v>641</v>
      </c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O735" s="7" t="s">
        <v>3</v>
      </c>
    </row>
    <row r="737" spans="2:41" ht="12.75">
      <c r="B737" t="s">
        <v>642</v>
      </c>
      <c r="C737" s="1">
        <f>(3269+2920)/2</f>
        <v>3094.5</v>
      </c>
      <c r="D737" s="1">
        <f>(5875+5490)/2</f>
        <v>5682.5</v>
      </c>
      <c r="E737" s="1">
        <v>5520</v>
      </c>
      <c r="F737" s="1">
        <v>10766</v>
      </c>
      <c r="G737" s="1">
        <v>3269</v>
      </c>
      <c r="H737" s="1">
        <v>10436</v>
      </c>
      <c r="I737" s="1"/>
      <c r="J737" s="1"/>
      <c r="K737" s="1"/>
      <c r="L737" s="1"/>
      <c r="M737" s="1">
        <v>2419</v>
      </c>
      <c r="N737" s="1">
        <v>5261</v>
      </c>
      <c r="V737" s="7" t="s">
        <v>3</v>
      </c>
      <c r="W737" t="s">
        <v>642</v>
      </c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O737" s="7" t="s">
        <v>3</v>
      </c>
    </row>
    <row r="738" spans="2:41" ht="12.75">
      <c r="B738" t="s">
        <v>643</v>
      </c>
      <c r="C738" s="1">
        <v>1817</v>
      </c>
      <c r="D738" s="1">
        <v>2999</v>
      </c>
      <c r="E738" s="1">
        <v>5000</v>
      </c>
      <c r="F738" s="1">
        <v>11000</v>
      </c>
      <c r="G738" s="1">
        <v>4000</v>
      </c>
      <c r="H738" s="1">
        <v>10000</v>
      </c>
      <c r="I738" s="1"/>
      <c r="J738" s="1"/>
      <c r="K738" s="1">
        <v>2191</v>
      </c>
      <c r="L738" s="1">
        <v>0</v>
      </c>
      <c r="M738" s="1">
        <v>1295</v>
      </c>
      <c r="N738" s="1">
        <v>2477</v>
      </c>
      <c r="V738" s="7" t="s">
        <v>3</v>
      </c>
      <c r="W738" t="s">
        <v>643</v>
      </c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O738" s="7" t="s">
        <v>3</v>
      </c>
    </row>
    <row r="739" spans="2:41" ht="12.75">
      <c r="B739" t="s">
        <v>644</v>
      </c>
      <c r="C739" s="1">
        <f>(822+762)/2</f>
        <v>792</v>
      </c>
      <c r="D739" s="1">
        <f>(3742+3608)/2</f>
        <v>3675</v>
      </c>
      <c r="E739" s="1">
        <f>(1424+1389)/2</f>
        <v>1406.5</v>
      </c>
      <c r="F739" s="1">
        <f>(4550+4515)/2</f>
        <v>4532.5</v>
      </c>
      <c r="G739" s="1">
        <v>1637</v>
      </c>
      <c r="H739" s="1">
        <v>4763</v>
      </c>
      <c r="I739" s="1"/>
      <c r="J739" s="1"/>
      <c r="K739" s="1">
        <v>1400</v>
      </c>
      <c r="L739" s="1">
        <v>4426</v>
      </c>
      <c r="M739" s="1">
        <v>1320</v>
      </c>
      <c r="N739" s="1">
        <v>4506</v>
      </c>
      <c r="V739" s="7" t="s">
        <v>3</v>
      </c>
      <c r="W739" t="s">
        <v>644</v>
      </c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O739" s="7" t="s">
        <v>3</v>
      </c>
    </row>
    <row r="741" spans="2:41" ht="12.75">
      <c r="B741" t="s">
        <v>645</v>
      </c>
      <c r="C741" s="1">
        <v>1108</v>
      </c>
      <c r="D741" s="1">
        <v>3208</v>
      </c>
      <c r="E741" s="1">
        <v>2400</v>
      </c>
      <c r="F741" s="1">
        <v>5855</v>
      </c>
      <c r="G741" s="1">
        <v>2800</v>
      </c>
      <c r="H741" s="1">
        <v>6255</v>
      </c>
      <c r="I741" s="1"/>
      <c r="J741" s="1"/>
      <c r="K741" s="1">
        <v>1690</v>
      </c>
      <c r="L741" s="1">
        <v>5146</v>
      </c>
      <c r="M741" s="1">
        <f>(2625+1325)/2</f>
        <v>1975</v>
      </c>
      <c r="N741" s="1">
        <f>(5533+3880)/2</f>
        <v>4706.5</v>
      </c>
      <c r="V741" s="7" t="s">
        <v>3</v>
      </c>
      <c r="W741" t="s">
        <v>645</v>
      </c>
      <c r="AO741" s="7" t="s">
        <v>3</v>
      </c>
    </row>
    <row r="742" spans="2:41" ht="12.75">
      <c r="B742" t="s">
        <v>646</v>
      </c>
      <c r="C742" s="1">
        <v>1808</v>
      </c>
      <c r="D742" s="1">
        <v>3588</v>
      </c>
      <c r="E742" s="1">
        <f>(3600+3000)/2</f>
        <v>3300</v>
      </c>
      <c r="F742" s="1">
        <f>(7200+6000)/2</f>
        <v>6600</v>
      </c>
      <c r="G742" s="1">
        <v>2150</v>
      </c>
      <c r="H742" s="1">
        <v>4600</v>
      </c>
      <c r="I742" s="1"/>
      <c r="J742" s="1">
        <f>(J739+J740)/2</f>
        <v>0</v>
      </c>
      <c r="K742" s="1"/>
      <c r="L742" s="1"/>
      <c r="M742" s="1"/>
      <c r="N742" s="1"/>
      <c r="V742" s="7" t="s">
        <v>3</v>
      </c>
      <c r="W742" t="s">
        <v>646</v>
      </c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O742" s="7" t="s">
        <v>3</v>
      </c>
    </row>
    <row r="743" spans="2:41" ht="12.75">
      <c r="B743" t="s">
        <v>647</v>
      </c>
      <c r="C743" s="1">
        <f>(1454+1424)/2</f>
        <v>1439</v>
      </c>
      <c r="D743" s="1">
        <f>(3602+3576)/2</f>
        <v>3589</v>
      </c>
      <c r="E743" s="1">
        <f>(4620+4860)/2</f>
        <v>4740</v>
      </c>
      <c r="F743" s="1">
        <f>(7404+7644)/2</f>
        <v>7524</v>
      </c>
      <c r="G743" s="1">
        <v>3348</v>
      </c>
      <c r="H743" s="1">
        <v>6132</v>
      </c>
      <c r="I743" s="1"/>
      <c r="J743" s="1"/>
      <c r="K743" s="1">
        <v>2174</v>
      </c>
      <c r="L743" s="1">
        <v>4328</v>
      </c>
      <c r="M743" s="1"/>
      <c r="N743" s="1"/>
      <c r="V743" s="7" t="s">
        <v>3</v>
      </c>
      <c r="W743" t="s">
        <v>647</v>
      </c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O743" s="7" t="s">
        <v>3</v>
      </c>
    </row>
    <row r="745" spans="2:41" ht="12.75">
      <c r="B745" t="s">
        <v>648</v>
      </c>
      <c r="C745" s="1">
        <v>900</v>
      </c>
      <c r="D745" s="1">
        <v>3924</v>
      </c>
      <c r="E745" s="1">
        <v>1543</v>
      </c>
      <c r="F745" s="1">
        <v>5200</v>
      </c>
      <c r="G745" s="1">
        <v>1224</v>
      </c>
      <c r="H745" s="1">
        <v>3924</v>
      </c>
      <c r="I745" s="1">
        <v>720</v>
      </c>
      <c r="J745" s="1">
        <v>3960</v>
      </c>
      <c r="K745" s="1">
        <v>1124</v>
      </c>
      <c r="L745" s="1">
        <v>3524</v>
      </c>
      <c r="M745" s="1"/>
      <c r="N745" s="1"/>
      <c r="V745" s="7" t="s">
        <v>3</v>
      </c>
      <c r="W745" t="s">
        <v>648</v>
      </c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O745" s="7" t="s">
        <v>3</v>
      </c>
    </row>
    <row r="746" spans="2:41" ht="12.75">
      <c r="B746" t="s">
        <v>649</v>
      </c>
      <c r="C746" s="1">
        <v>2692</v>
      </c>
      <c r="D746" s="1">
        <v>6570</v>
      </c>
      <c r="E746" s="1">
        <f>(5426+5158)/2</f>
        <v>5292</v>
      </c>
      <c r="F746" s="1">
        <f>(10876+10358)/2</f>
        <v>10617</v>
      </c>
      <c r="G746" s="1">
        <v>4826</v>
      </c>
      <c r="H746" s="1">
        <v>9326</v>
      </c>
      <c r="K746" s="1">
        <v>4394</v>
      </c>
      <c r="L746" s="1">
        <v>18044</v>
      </c>
      <c r="M746" s="1"/>
      <c r="N746" s="1"/>
      <c r="V746" s="7" t="s">
        <v>3</v>
      </c>
      <c r="W746" t="s">
        <v>649</v>
      </c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O746" s="7" t="s">
        <v>3</v>
      </c>
    </row>
    <row r="747" spans="2:41" ht="12.75">
      <c r="B747" t="s">
        <v>650</v>
      </c>
      <c r="C747" s="1">
        <v>1220</v>
      </c>
      <c r="D747" s="1">
        <v>3340</v>
      </c>
      <c r="E747" s="1">
        <v>2260</v>
      </c>
      <c r="F747" s="1">
        <v>4870</v>
      </c>
      <c r="G747" s="1">
        <v>2090</v>
      </c>
      <c r="H747" s="1">
        <v>4790</v>
      </c>
      <c r="I747" s="1"/>
      <c r="J747" s="1"/>
      <c r="K747" s="1"/>
      <c r="L747" s="1"/>
      <c r="M747" s="1"/>
      <c r="N747" s="1"/>
      <c r="V747" s="7" t="s">
        <v>3</v>
      </c>
      <c r="W747" t="s">
        <v>650</v>
      </c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O747" s="7" t="s">
        <v>3</v>
      </c>
    </row>
    <row r="748" spans="3:41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V748" s="7" t="s">
        <v>3</v>
      </c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O748" s="7" t="s">
        <v>3</v>
      </c>
    </row>
    <row r="749" spans="2:41" ht="12.75">
      <c r="B749" t="s">
        <v>651</v>
      </c>
      <c r="C749" s="1">
        <v>1439</v>
      </c>
      <c r="D749" s="1">
        <v>3589</v>
      </c>
      <c r="E749" s="1">
        <v>3300</v>
      </c>
      <c r="F749" s="1">
        <v>7524</v>
      </c>
      <c r="G749" s="1">
        <v>2856</v>
      </c>
      <c r="H749" s="1">
        <v>6714</v>
      </c>
      <c r="I749" s="1">
        <v>1306</v>
      </c>
      <c r="J749" s="1">
        <v>5125</v>
      </c>
      <c r="K749" s="1">
        <f>(2025+1700)/2</f>
        <v>1862.5</v>
      </c>
      <c r="L749" s="1">
        <f>(4426+4328)/2</f>
        <v>4377</v>
      </c>
      <c r="M749" s="1">
        <v>1395</v>
      </c>
      <c r="N749" s="1">
        <v>3930</v>
      </c>
      <c r="V749" s="7" t="s">
        <v>3</v>
      </c>
      <c r="W749" t="s">
        <v>651</v>
      </c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O749" s="7" t="s">
        <v>3</v>
      </c>
    </row>
    <row r="750" spans="2:41" ht="12.75">
      <c r="B750" s="6" t="s">
        <v>57</v>
      </c>
      <c r="C750" s="6" t="s">
        <v>57</v>
      </c>
      <c r="D750" s="6" t="s">
        <v>57</v>
      </c>
      <c r="E750" s="6" t="s">
        <v>57</v>
      </c>
      <c r="F750" s="6" t="s">
        <v>57</v>
      </c>
      <c r="G750" s="6" t="s">
        <v>57</v>
      </c>
      <c r="H750" s="6" t="s">
        <v>57</v>
      </c>
      <c r="I750" s="6" t="s">
        <v>57</v>
      </c>
      <c r="J750" s="6" t="s">
        <v>57</v>
      </c>
      <c r="K750" s="6" t="s">
        <v>57</v>
      </c>
      <c r="L750" s="6" t="s">
        <v>57</v>
      </c>
      <c r="M750" s="6" t="s">
        <v>57</v>
      </c>
      <c r="N750" s="6" t="s">
        <v>57</v>
      </c>
      <c r="O750" s="6" t="s">
        <v>57</v>
      </c>
      <c r="P750" s="6" t="s">
        <v>57</v>
      </c>
      <c r="Q750" s="6" t="s">
        <v>57</v>
      </c>
      <c r="R750" s="6" t="s">
        <v>57</v>
      </c>
      <c r="S750" s="6" t="s">
        <v>57</v>
      </c>
      <c r="T750" s="6" t="s">
        <v>57</v>
      </c>
      <c r="V750" s="7" t="s">
        <v>3</v>
      </c>
      <c r="W750" s="6" t="s">
        <v>57</v>
      </c>
      <c r="X750" s="6" t="s">
        <v>57</v>
      </c>
      <c r="Y750" s="6" t="s">
        <v>57</v>
      </c>
      <c r="Z750" s="6" t="s">
        <v>57</v>
      </c>
      <c r="AA750" s="6" t="s">
        <v>57</v>
      </c>
      <c r="AB750" s="6" t="s">
        <v>57</v>
      </c>
      <c r="AC750" s="6" t="s">
        <v>57</v>
      </c>
      <c r="AD750" s="6" t="s">
        <v>57</v>
      </c>
      <c r="AE750" s="6" t="s">
        <v>57</v>
      </c>
      <c r="AF750" s="6" t="s">
        <v>57</v>
      </c>
      <c r="AG750" s="6" t="s">
        <v>57</v>
      </c>
      <c r="AH750" s="6" t="s">
        <v>57</v>
      </c>
      <c r="AI750" s="6" t="s">
        <v>57</v>
      </c>
      <c r="AJ750" s="6" t="s">
        <v>57</v>
      </c>
      <c r="AK750" s="6" t="s">
        <v>57</v>
      </c>
      <c r="AL750" s="6" t="s">
        <v>57</v>
      </c>
      <c r="AM750" s="6" t="s">
        <v>57</v>
      </c>
      <c r="AN750" s="6" t="s">
        <v>57</v>
      </c>
      <c r="AO750" s="7" t="s">
        <v>3</v>
      </c>
    </row>
    <row r="751" spans="22:41" ht="12.75">
      <c r="V751" s="7" t="s">
        <v>3</v>
      </c>
      <c r="AO751" s="7" t="s">
        <v>3</v>
      </c>
    </row>
    <row r="752" spans="22:41" ht="12.75">
      <c r="V752" s="7" t="s">
        <v>3</v>
      </c>
      <c r="W752" t="s">
        <v>678</v>
      </c>
      <c r="AO752" s="7" t="s">
        <v>3</v>
      </c>
    </row>
    <row r="753" spans="22:41" ht="12.75">
      <c r="V753" s="7" t="s">
        <v>3</v>
      </c>
      <c r="W753" t="s">
        <v>679</v>
      </c>
      <c r="AO753" s="7" t="s">
        <v>3</v>
      </c>
    </row>
    <row r="754" spans="22:41" ht="12.75">
      <c r="V754" s="7" t="s">
        <v>3</v>
      </c>
      <c r="W754" t="s">
        <v>680</v>
      </c>
      <c r="AO754" s="7" t="s">
        <v>3</v>
      </c>
    </row>
    <row r="755" spans="22:41" ht="12.75">
      <c r="V755" s="7" t="s">
        <v>3</v>
      </c>
      <c r="AO755" s="7" t="s">
        <v>3</v>
      </c>
    </row>
    <row r="756" ht="12.75">
      <c r="V756" s="7" t="s">
        <v>3</v>
      </c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2000-07-24T14:45:10Z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