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6588" activeTab="0"/>
  </bookViews>
  <sheets>
    <sheet name="Tuit88" sheetId="1" r:id="rId1"/>
    <sheet name="TUIT_T" sheetId="2" r:id="rId2"/>
    <sheet name="TUITS_T" sheetId="3" r:id="rId3"/>
    <sheet name="TUIT%PI_S" sheetId="4" r:id="rId4"/>
  </sheets>
  <definedNames>
    <definedName name="\p">'Tuit88'!$B$611</definedName>
    <definedName name="__123Graph_ATUIT%PI_S" hidden="1">'Tuit88'!$AB$88:$AB$106</definedName>
    <definedName name="__123Graph_ATUITS_T" hidden="1">'Tuit88'!$W$88:$W$106</definedName>
    <definedName name="__123Graph_DTUIT%PI_S" hidden="1">'Tuit88'!$AC$88:$AC$106</definedName>
    <definedName name="__123Graph_DTUITS_T" hidden="1">'Tuit88'!$X$88:$X$106</definedName>
    <definedName name="__123Graph_F" hidden="1">'Tuit88'!$AA$69:$AA$82</definedName>
    <definedName name="__123Graph_FTUIT%PI_S" hidden="1">'Tuit88'!$AD$88:$AD$106</definedName>
    <definedName name="__123Graph_FTUIT_T" hidden="1">'Tuit88'!$AA$69:$AA$82</definedName>
    <definedName name="__123Graph_FTUITS_T" hidden="1">'Tuit88'!$Y$88:$Y$106</definedName>
    <definedName name="__123Graph_LBL_F" hidden="1">'Tuit88'!$AA$69:$AA$84</definedName>
    <definedName name="__123Graph_LBL_FTUIT_T" hidden="1">'Tuit88'!$AA$69:$AA$84</definedName>
    <definedName name="__123Graph_X" hidden="1">'Tuit88'!$V$69:$V$82</definedName>
    <definedName name="__123Graph_XTUIT%PI_S" hidden="1">'Tuit88'!$V$88:$V$106</definedName>
    <definedName name="__123Graph_XTUIT_T" hidden="1">'Tuit88'!$V$69:$V$82</definedName>
    <definedName name="__123Graph_XTUITS_T" hidden="1">'Tuit88'!$V$88:$V$106</definedName>
    <definedName name="_Key1" hidden="1">'Tuit88'!$BD$20</definedName>
    <definedName name="_Order1" hidden="1">255</definedName>
    <definedName name="_Regression_Int" localSheetId="0" hidden="1">1</definedName>
    <definedName name="_Sort" hidden="1">'Tuit88'!$BD$21:$BL$39</definedName>
    <definedName name="CRITERIA">'Tuit88'!$AF$57:$AF$58</definedName>
    <definedName name="Criteria_MI">'Tuit88'!$AF$57:$AF$58</definedName>
    <definedName name="DATA">'Tuit88'!$B$46:$T$601</definedName>
    <definedName name="DATABASE">'Tuit88'!$B$46:$T$597</definedName>
    <definedName name="Database_MI">'Tuit88'!$B$46:$T$597</definedName>
    <definedName name="DB">'Tuit88'!$B$46:$T$597</definedName>
    <definedName name="FL_DAT">'Tuit88'!$B$85:$T$121</definedName>
    <definedName name="GA_DAT">'Tuit88'!$B$122:$T$188</definedName>
    <definedName name="H">'Tuit88'!$W$88</definedName>
    <definedName name="KY_DAT">'Tuit88'!$B$189:$T$224</definedName>
    <definedName name="LA_DAT">'Tuit88'!$B$225:$T$243</definedName>
    <definedName name="M">'Tuit88'!$D$611</definedName>
    <definedName name="MD_DAT">'Tuit88'!$T$272:$IV$8192</definedName>
    <definedName name="MS_DAT">'Tuit88'!$B$273:$T$296</definedName>
    <definedName name="N_10">'Tuit88'!$CF$17:$CO$37</definedName>
    <definedName name="N_7">'Tuit88'!$AN$19:$AY$39</definedName>
    <definedName name="N_8">'Tuit88'!$BE$19:$BL$38</definedName>
    <definedName name="N_9">'Tuit88'!$BP$19:$CA$39</definedName>
    <definedName name="NC_DAT">'Tuit88'!$B$297:$T$374</definedName>
    <definedName name="OK_DAT">'Tuit88'!$B$375:$IV$8192</definedName>
    <definedName name="_xlnm.Print_Area" localSheetId="0">'Tuit88'!$CC$3:$CO$42</definedName>
    <definedName name="Print_Area_MI" localSheetId="0">'Tuit88'!$CC$3:$CO$42</definedName>
    <definedName name="_xlnm.Print_Titles" localSheetId="0">'Tuit88'!$46:$46</definedName>
    <definedName name="Print_Titles_MI" localSheetId="0">'Tuit88'!$46:$46</definedName>
    <definedName name="R_">'Tuit88'!$BG$21:$BG$37</definedName>
    <definedName name="RNG_DATA_A">'Tuit88'!$AB$89:$AD$103</definedName>
    <definedName name="RNG_LABEL_X">'Tuit88'!$AB$86:$AD$86</definedName>
    <definedName name="RNG_LABEL_Y">'Tuit88'!$AA$89:$AA$103</definedName>
    <definedName name="SC_DAT">'Tuit88'!$B$407:$T$439</definedName>
    <definedName name="T_10">'Tuit88'!$CE$1:$CO$42</definedName>
    <definedName name="T_7">'Tuit88'!$AM$1:$AY$42</definedName>
    <definedName name="T_8">'Tuit88'!$BD$1:$BL$44</definedName>
    <definedName name="T_9">'Tuit88'!$BO$1:$BY$42</definedName>
    <definedName name="TAB_10">'Tuit88'!$CC$3:$CO$42</definedName>
    <definedName name="TAB_7">'Tuit88'!$AL$3:$AY$44</definedName>
    <definedName name="TAB_8">'Tuit88'!$BB$3:$BL$45</definedName>
    <definedName name="TAB_9">'Tuit88'!$BN$3:$BY$44</definedName>
    <definedName name="TABLES">'Tuit88'!$A$608:$P$758</definedName>
    <definedName name="TN_DAT">'Tuit88'!$B$440:$T$466</definedName>
    <definedName name="TX_DAT">'Tuit88'!$B$467:$IV$8192</definedName>
    <definedName name="VA_DAT">'Tuit88'!$B$568:$T$584</definedName>
    <definedName name="WV_DAT">'Tuit88'!$B$586:$T$601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<sst xmlns="http://schemas.openxmlformats.org/spreadsheetml/2006/main" count="2961" uniqueCount="669">
  <si>
    <t xml:space="preserve">          1987-88 SREB State Data Exchange</t>
  </si>
  <si>
    <t>|</t>
  </si>
  <si>
    <t>Part 5</t>
  </si>
  <si>
    <t xml:space="preserve">      Table 7</t>
  </si>
  <si>
    <t xml:space="preserve">      Table 9</t>
  </si>
  <si>
    <t>Table 10</t>
  </si>
  <si>
    <t xml:space="preserve">  This LOTUS 1-2-3 worksheet contains the following areas:</t>
  </si>
  <si>
    <t xml:space="preserve">      Table 8</t>
  </si>
  <si>
    <t>*</t>
  </si>
  <si>
    <t>*******</t>
  </si>
  <si>
    <t xml:space="preserve">     Median Annual Tuition and Required Fees</t>
  </si>
  <si>
    <t xml:space="preserve">        Median Annual Tuition and Required Fees</t>
  </si>
  <si>
    <t xml:space="preserve">   This Introduction</t>
  </si>
  <si>
    <t xml:space="preserve">     *</t>
  </si>
  <si>
    <t xml:space="preserve">  Full-Time Resident and Non-Resident Undergraduate Students</t>
  </si>
  <si>
    <t xml:space="preserve">     Full-Time Resident and Non-Resident Graduate Students</t>
  </si>
  <si>
    <t xml:space="preserve">                 Full-Time Resident and Non-Resident Professional Students</t>
  </si>
  <si>
    <t xml:space="preserve">  Public Four-Year Institutions</t>
  </si>
  <si>
    <t xml:space="preserve">              Full-Time Resident and Non-Resident Undergraduate Students</t>
  </si>
  <si>
    <t xml:space="preserve">   Public Institutions</t>
  </si>
  <si>
    <t xml:space="preserve">    SREB States</t>
  </si>
  <si>
    <t xml:space="preserve">   Public Two-Year Institutions</t>
  </si>
  <si>
    <t xml:space="preserve">       SREB States</t>
  </si>
  <si>
    <t>FB</t>
  </si>
  <si>
    <t>Tables</t>
  </si>
  <si>
    <t xml:space="preserve">      1987-88</t>
  </si>
  <si>
    <t xml:space="preserve"> 1987-88</t>
  </si>
  <si>
    <t xml:space="preserve">   Data Base from Surveys</t>
  </si>
  <si>
    <t>Table</t>
  </si>
  <si>
    <t>7-10</t>
  </si>
  <si>
    <t>Graph Settings</t>
  </si>
  <si>
    <t>_</t>
  </si>
  <si>
    <t xml:space="preserve">   Doctoral</t>
  </si>
  <si>
    <t xml:space="preserve">   Master's</t>
  </si>
  <si>
    <t xml:space="preserve">     Law</t>
  </si>
  <si>
    <t xml:space="preserve">   Medicine</t>
  </si>
  <si>
    <t xml:space="preserve">   Dentistry</t>
  </si>
  <si>
    <t xml:space="preserve">  Optometry</t>
  </si>
  <si>
    <t xml:space="preserve"> Vet. Medicine</t>
  </si>
  <si>
    <t>-</t>
  </si>
  <si>
    <t>------</t>
  </si>
  <si>
    <t xml:space="preserve"> Baccalaureate</t>
  </si>
  <si>
    <t xml:space="preserve">       I</t>
  </si>
  <si>
    <t xml:space="preserve">      II</t>
  </si>
  <si>
    <t xml:space="preserve">     III</t>
  </si>
  <si>
    <t xml:space="preserve">      III</t>
  </si>
  <si>
    <t xml:space="preserve">      IV</t>
  </si>
  <si>
    <t xml:space="preserve">  Res. Non-Res.</t>
  </si>
  <si>
    <t>Median SREB-State</t>
  </si>
  <si>
    <t>Median SREB State</t>
  </si>
  <si>
    <t>Alabama</t>
  </si>
  <si>
    <t>******</t>
  </si>
  <si>
    <t>Arkansas</t>
  </si>
  <si>
    <t>Florida</t>
  </si>
  <si>
    <t>Georgia</t>
  </si>
  <si>
    <t>na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</si>
  <si>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</si>
  <si>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</si>
  <si>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</si>
  <si>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</si>
  <si>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</si>
  <si>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</si>
  <si>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</si>
  <si>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</si>
  <si>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NA</t>
  </si>
  <si>
    <t>Texas</t>
  </si>
  <si>
    <t>Virginia</t>
  </si>
  <si>
    <t>West Virginia</t>
  </si>
  <si>
    <t>NOTES:  The amount shown for each state is the median of each states' institutions.  The "SREB</t>
  </si>
  <si>
    <t xml:space="preserve">Medians" are the medians of the state amounts for each respective category of institutions. </t>
  </si>
  <si>
    <t>NOTES:  The amount shown for each state is the median of each states' institutions.  The "SREB Medians"</t>
  </si>
  <si>
    <t>NOTES:  The amount shown for each state is the median of each states'</t>
  </si>
  <si>
    <t>NOTES:  The amount shown for each state is the median of each states' institutions.  The</t>
  </si>
  <si>
    <t>Non-resident veterinary medicine tuition and fees in Virginia includes a regional capitation</t>
  </si>
  <si>
    <t>are the medians of the state amounts for each respective category of institutions.</t>
  </si>
  <si>
    <t>institutions.  The "SREB Medians" are the medians of the state amounts for</t>
  </si>
  <si>
    <t>"SREB Medians" are the medians of the state amounts for each respective category of</t>
  </si>
  <si>
    <t>fee of $15,000.</t>
  </si>
  <si>
    <t>each respective category of institutions.  Tuition and fees data for Two-Year</t>
  </si>
  <si>
    <t>institutions.</t>
  </si>
  <si>
    <t>IV institutions in Arkansas, Florida, Georgia, and West Virginia were not</t>
  </si>
  <si>
    <t>reported.</t>
  </si>
  <si>
    <t>STATE</t>
  </si>
  <si>
    <t>INSTITUTION</t>
  </si>
  <si>
    <t>CODE</t>
  </si>
  <si>
    <t>U-R</t>
  </si>
  <si>
    <t>U-NR</t>
  </si>
  <si>
    <t>G-R</t>
  </si>
  <si>
    <t>G-NR</t>
  </si>
  <si>
    <t>L-R</t>
  </si>
  <si>
    <t>L-NR</t>
  </si>
  <si>
    <t>M-R</t>
  </si>
  <si>
    <t>M-NR</t>
  </si>
  <si>
    <t>D-R</t>
  </si>
  <si>
    <t>D-NR</t>
  </si>
  <si>
    <t>O-R</t>
  </si>
  <si>
    <t>O-NR</t>
  </si>
  <si>
    <t>V-R</t>
  </si>
  <si>
    <t>V-NR</t>
  </si>
  <si>
    <t>OT-R</t>
  </si>
  <si>
    <t>OT-NR</t>
  </si>
  <si>
    <t>Regional Mean Undergraduate Tuition</t>
  </si>
  <si>
    <t>&gt;</t>
  </si>
  <si>
    <t>AL</t>
  </si>
  <si>
    <t>AU</t>
  </si>
  <si>
    <t>1a</t>
  </si>
  <si>
    <t>5,058</t>
  </si>
  <si>
    <t>UA</t>
  </si>
  <si>
    <t>1b</t>
  </si>
  <si>
    <t xml:space="preserve">  </t>
  </si>
  <si>
    <t>Other 4-Year</t>
  </si>
  <si>
    <t xml:space="preserve">     Two-Year</t>
  </si>
  <si>
    <t xml:space="preserve">   Overall</t>
  </si>
  <si>
    <t xml:space="preserve">    Specialized</t>
  </si>
  <si>
    <t>UAB</t>
  </si>
  <si>
    <t>Res.</t>
  </si>
  <si>
    <t>Non-Res.</t>
  </si>
  <si>
    <t>UAH</t>
  </si>
  <si>
    <t>1c</t>
  </si>
  <si>
    <t>USA</t>
  </si>
  <si>
    <t>Resident</t>
  </si>
  <si>
    <t>A&amp;M</t>
  </si>
  <si>
    <t>2a</t>
  </si>
  <si>
    <t>JSU</t>
  </si>
  <si>
    <t>ASU</t>
  </si>
  <si>
    <t>2b</t>
  </si>
  <si>
    <t>AUM</t>
  </si>
  <si>
    <t>Criterion Ranges</t>
  </si>
  <si>
    <t>LU</t>
  </si>
  <si>
    <t>TSUD</t>
  </si>
  <si>
    <t>TSUM</t>
  </si>
  <si>
    <t>3</t>
  </si>
  <si>
    <t>4a</t>
  </si>
  <si>
    <t>4b</t>
  </si>
  <si>
    <t>4c</t>
  </si>
  <si>
    <t>4d</t>
  </si>
  <si>
    <t>TSU-Main</t>
  </si>
  <si>
    <t>UM</t>
  </si>
  <si>
    <t>MEDIAN UNDERGRADUATE RESIDENT TUITION &amp; FEES</t>
  </si>
  <si>
    <t>UNA</t>
  </si>
  <si>
    <t>ASC</t>
  </si>
  <si>
    <t>Two-Year II</t>
  </si>
  <si>
    <t>Two-Year IV</t>
  </si>
  <si>
    <t>AR</t>
  </si>
  <si>
    <t>UAF</t>
  </si>
  <si>
    <t>ASUJ</t>
  </si>
  <si>
    <t xml:space="preserve">     </t>
  </si>
  <si>
    <t>Averages</t>
  </si>
  <si>
    <t>Medians</t>
  </si>
  <si>
    <t>UALR</t>
  </si>
  <si>
    <t>Undergrad</t>
  </si>
  <si>
    <t>Grad</t>
  </si>
  <si>
    <t>UCA</t>
  </si>
  <si>
    <t>Res</t>
  </si>
  <si>
    <t>Non-Res</t>
  </si>
  <si>
    <t>ATU</t>
  </si>
  <si>
    <t>HSU</t>
  </si>
  <si>
    <t>SAUM</t>
  </si>
  <si>
    <t>Doctoral</t>
  </si>
  <si>
    <t>UAM</t>
  </si>
  <si>
    <t>UAPB</t>
  </si>
  <si>
    <t>ASUB</t>
  </si>
  <si>
    <t>EACC</t>
  </si>
  <si>
    <t xml:space="preserve"> Other 4-Year</t>
  </si>
  <si>
    <t>GCCC</t>
  </si>
  <si>
    <t>MCCC</t>
  </si>
  <si>
    <t>NACC</t>
  </si>
  <si>
    <t>PCCC</t>
  </si>
  <si>
    <t xml:space="preserve">  2-Year</t>
  </si>
  <si>
    <t>RMCC</t>
  </si>
  <si>
    <t>SAUE</t>
  </si>
  <si>
    <t>SUAT</t>
  </si>
  <si>
    <t>WCC</t>
  </si>
  <si>
    <t>ALL</t>
  </si>
  <si>
    <t>UAMSC</t>
  </si>
  <si>
    <t>5</t>
  </si>
  <si>
    <t>FL</t>
  </si>
  <si>
    <t>FSU</t>
  </si>
  <si>
    <t>Median In-State Undergraduate Tuition &amp; Fees</t>
  </si>
  <si>
    <t>tuit as a % of Disp PI</t>
  </si>
  <si>
    <t>UF</t>
  </si>
  <si>
    <t>2-Year</t>
  </si>
  <si>
    <t>p/c Disp PI '86</t>
  </si>
  <si>
    <t>USF</t>
  </si>
  <si>
    <t>FAU</t>
  </si>
  <si>
    <t>FIU</t>
  </si>
  <si>
    <t>UCF</t>
  </si>
  <si>
    <t>UWF</t>
  </si>
  <si>
    <t>FAMU</t>
  </si>
  <si>
    <t>GA</t>
  </si>
  <si>
    <t>UNF</t>
  </si>
  <si>
    <t>KY</t>
  </si>
  <si>
    <t>BREV</t>
  </si>
  <si>
    <t>LA</t>
  </si>
  <si>
    <t>BROW</t>
  </si>
  <si>
    <t>MD</t>
  </si>
  <si>
    <t>CFLA</t>
  </si>
  <si>
    <t>MS</t>
  </si>
  <si>
    <t>CHIP</t>
  </si>
  <si>
    <t>NC</t>
  </si>
  <si>
    <t>DAYT</t>
  </si>
  <si>
    <t>OK</t>
  </si>
  <si>
    <t>EDIS</t>
  </si>
  <si>
    <t>SC</t>
  </si>
  <si>
    <t>FJAX</t>
  </si>
  <si>
    <t>TN</t>
  </si>
  <si>
    <t>FKEY</t>
  </si>
  <si>
    <t>TX</t>
  </si>
  <si>
    <t>GULF</t>
  </si>
  <si>
    <t>VA</t>
  </si>
  <si>
    <t>HILL</t>
  </si>
  <si>
    <t>WV</t>
  </si>
  <si>
    <t>INDR</t>
  </si>
  <si>
    <t>LCTY</t>
  </si>
  <si>
    <t>SREB</t>
  </si>
  <si>
    <t>LSUM</t>
  </si>
  <si>
    <t>MANA</t>
  </si>
  <si>
    <t>MIAM</t>
  </si>
  <si>
    <t>NFLA</t>
  </si>
  <si>
    <t>OKLA</t>
  </si>
  <si>
    <t>PALM</t>
  </si>
  <si>
    <t>PASC</t>
  </si>
  <si>
    <t>PENS</t>
  </si>
  <si>
    <t>POLK</t>
  </si>
  <si>
    <t>SANF</t>
  </si>
  <si>
    <t>SEMI</t>
  </si>
  <si>
    <t>SFLA</t>
  </si>
  <si>
    <t>ST.J</t>
  </si>
  <si>
    <t>ST.P</t>
  </si>
  <si>
    <t>TALL</t>
  </si>
  <si>
    <t>VALE</t>
  </si>
  <si>
    <t>UGA</t>
  </si>
  <si>
    <t>GA STATE</t>
  </si>
  <si>
    <t>GA TECH</t>
  </si>
  <si>
    <t>GA SOUTHERN</t>
  </si>
  <si>
    <t>ALB ST</t>
  </si>
  <si>
    <t>ARM ST</t>
  </si>
  <si>
    <t>AUG COL</t>
  </si>
  <si>
    <t>COL COL</t>
  </si>
  <si>
    <t>FT VALLEY</t>
  </si>
  <si>
    <t>GA COL</t>
  </si>
  <si>
    <t>GA SOUTHWEST</t>
  </si>
  <si>
    <t>KEN COL</t>
  </si>
  <si>
    <t>NORTH GA</t>
  </si>
  <si>
    <t>SAV ST</t>
  </si>
  <si>
    <t>VALD ST</t>
  </si>
  <si>
    <t>WEST GA</t>
  </si>
  <si>
    <t>CLAY ST</t>
  </si>
  <si>
    <t>ABAC</t>
  </si>
  <si>
    <t>ATL JC</t>
  </si>
  <si>
    <t>DARTON COL</t>
  </si>
  <si>
    <t>DEKALB COL</t>
  </si>
  <si>
    <t>EMAN CO JC</t>
  </si>
  <si>
    <t>FLOYD COL</t>
  </si>
  <si>
    <t>GAINS COL</t>
  </si>
  <si>
    <t>GORDON COL</t>
  </si>
  <si>
    <t>MACON COL</t>
  </si>
  <si>
    <t>MID GA COL</t>
  </si>
  <si>
    <t>SOUTH GA COL</t>
  </si>
  <si>
    <t>WAYCROSS COL</t>
  </si>
  <si>
    <t>BAIN COL</t>
  </si>
  <si>
    <t>BRUN COL</t>
  </si>
  <si>
    <t>DALTON COL</t>
  </si>
  <si>
    <t>N/A</t>
  </si>
  <si>
    <t>MCG</t>
  </si>
  <si>
    <t>SOUTH TECH</t>
  </si>
  <si>
    <t>UK</t>
  </si>
  <si>
    <t>UL</t>
  </si>
  <si>
    <t>KSU</t>
  </si>
  <si>
    <t>MoSU</t>
  </si>
  <si>
    <t>WKU</t>
  </si>
  <si>
    <t>EKU</t>
  </si>
  <si>
    <t>MuSU</t>
  </si>
  <si>
    <t>NKU</t>
  </si>
  <si>
    <t>ACC</t>
  </si>
  <si>
    <t>ECC</t>
  </si>
  <si>
    <t>HeCC</t>
  </si>
  <si>
    <t>HoCC</t>
  </si>
  <si>
    <t>HzCC</t>
  </si>
  <si>
    <t>JCC</t>
  </si>
  <si>
    <t>LCC</t>
  </si>
  <si>
    <t>MaCC</t>
  </si>
  <si>
    <t>MdCC</t>
  </si>
  <si>
    <t>OCC</t>
  </si>
  <si>
    <t>PaCC</t>
  </si>
  <si>
    <t>PrCC</t>
  </si>
  <si>
    <t>SeCC</t>
  </si>
  <si>
    <t>SmCC</t>
  </si>
  <si>
    <t>Ashland SVTS</t>
  </si>
  <si>
    <t>Bowling Green SVTS</t>
  </si>
  <si>
    <t>Central Ky SVTS</t>
  </si>
  <si>
    <t>Daviess Co. SVTS</t>
  </si>
  <si>
    <t>Elizabethtown SVTS</t>
  </si>
  <si>
    <t>Hazard SVTS</t>
  </si>
  <si>
    <t>Jefferson SVTS</t>
  </si>
  <si>
    <t>Laurel Co. SVTS</t>
  </si>
  <si>
    <t>Madisonville SVTS</t>
  </si>
  <si>
    <t>Mayo SVTS</t>
  </si>
  <si>
    <t>Northern Ky SVTS</t>
  </si>
  <si>
    <t>Rowan Co. SVTS</t>
  </si>
  <si>
    <t>Somerset SVTS</t>
  </si>
  <si>
    <t>West Ky SVTS</t>
  </si>
  <si>
    <t>LSU-BR</t>
  </si>
  <si>
    <t>LA.TECH</t>
  </si>
  <si>
    <t>NORTHEAST</t>
  </si>
  <si>
    <t>NORTHWESTERN</t>
  </si>
  <si>
    <t>UNO</t>
  </si>
  <si>
    <t>USL</t>
  </si>
  <si>
    <t>GRAMBLING</t>
  </si>
  <si>
    <t>LSU-S</t>
  </si>
  <si>
    <t>MCNEESE</t>
  </si>
  <si>
    <t>NICHOLLS</t>
  </si>
  <si>
    <t>SOUTHEASTERN</t>
  </si>
  <si>
    <t>SO-BR</t>
  </si>
  <si>
    <t>SO-NO</t>
  </si>
  <si>
    <t>DELGADO</t>
  </si>
  <si>
    <t>LSU-A</t>
  </si>
  <si>
    <t>LSU-E</t>
  </si>
  <si>
    <t>SO-S</t>
  </si>
  <si>
    <t>LSU LAW CTR</t>
  </si>
  <si>
    <t>LSU MED CTR</t>
  </si>
  <si>
    <t>UMCP</t>
  </si>
  <si>
    <t>MSU</t>
  </si>
  <si>
    <t>UMBC</t>
  </si>
  <si>
    <t>UMES</t>
  </si>
  <si>
    <t>TSU</t>
  </si>
  <si>
    <t>BSC</t>
  </si>
  <si>
    <t>CSC</t>
  </si>
  <si>
    <t>SSC</t>
  </si>
  <si>
    <t>UB</t>
  </si>
  <si>
    <t>SMC</t>
  </si>
  <si>
    <t>ANN</t>
  </si>
  <si>
    <t>CAT</t>
  </si>
  <si>
    <t>CCE</t>
  </si>
  <si>
    <t>CEC</t>
  </si>
  <si>
    <t>CHA</t>
  </si>
  <si>
    <t>CHE</t>
  </si>
  <si>
    <t>DUN</t>
  </si>
  <si>
    <t>ESS</t>
  </si>
  <si>
    <t>FRE</t>
  </si>
  <si>
    <t>GAR</t>
  </si>
  <si>
    <t>HAG</t>
  </si>
  <si>
    <t>HAR</t>
  </si>
  <si>
    <t>HOW</t>
  </si>
  <si>
    <t>MON</t>
  </si>
  <si>
    <t>PRI</t>
  </si>
  <si>
    <t>WOR</t>
  </si>
  <si>
    <t>UMAB</t>
  </si>
  <si>
    <t>USM</t>
  </si>
  <si>
    <t>DSU</t>
  </si>
  <si>
    <t>MUW</t>
  </si>
  <si>
    <t>MVSU</t>
  </si>
  <si>
    <t>COAHOMA</t>
  </si>
  <si>
    <t>COPIAH-LINCOLN</t>
  </si>
  <si>
    <t>EAST CENTRAL</t>
  </si>
  <si>
    <t>EAST MISS.</t>
  </si>
  <si>
    <t>HINDS</t>
  </si>
  <si>
    <t>HOLMES</t>
  </si>
  <si>
    <t>ITAWAMBA</t>
  </si>
  <si>
    <t>JONES</t>
  </si>
  <si>
    <t>MERIDAN</t>
  </si>
  <si>
    <t>MISS.DELTA</t>
  </si>
  <si>
    <t>MISS.GULF COAST</t>
  </si>
  <si>
    <t>NORTHWEST</t>
  </si>
  <si>
    <t>PEARL RIVER</t>
  </si>
  <si>
    <t>SOUTHWEST</t>
  </si>
  <si>
    <t>UMMC</t>
  </si>
  <si>
    <t>NCSU</t>
  </si>
  <si>
    <t>UNC-CH</t>
  </si>
  <si>
    <t>UNC-G</t>
  </si>
  <si>
    <t>ECU</t>
  </si>
  <si>
    <t>NCA&amp;T</t>
  </si>
  <si>
    <t>NCCU</t>
  </si>
  <si>
    <t>UNC-C</t>
  </si>
  <si>
    <t>WCU</t>
  </si>
  <si>
    <t>PSU</t>
  </si>
  <si>
    <t>UNC-W</t>
  </si>
  <si>
    <t>ECSU</t>
  </si>
  <si>
    <t>UNC-A</t>
  </si>
  <si>
    <t>WSSU</t>
  </si>
  <si>
    <t>ALAMANCE</t>
  </si>
  <si>
    <t>ANSON</t>
  </si>
  <si>
    <t>ASHE-BUNC</t>
  </si>
  <si>
    <t>BEAUFORT</t>
  </si>
  <si>
    <t>BLADEN</t>
  </si>
  <si>
    <t>BLUE RIDGE</t>
  </si>
  <si>
    <t>BRUNSWICK</t>
  </si>
  <si>
    <t>C ALBEMARLE</t>
  </si>
  <si>
    <t>CALD CC &amp;TI</t>
  </si>
  <si>
    <t>CAPE FEAR</t>
  </si>
  <si>
    <t>CARTERET</t>
  </si>
  <si>
    <t xml:space="preserve">CATAWBA </t>
  </si>
  <si>
    <t>CENTRAL CAR</t>
  </si>
  <si>
    <t>CENTRAL PIED</t>
  </si>
  <si>
    <t>CLEVELAND</t>
  </si>
  <si>
    <t>COASTAL CAR</t>
  </si>
  <si>
    <t>CRAVEN</t>
  </si>
  <si>
    <t>DAVIDSON</t>
  </si>
  <si>
    <t>DURHAM</t>
  </si>
  <si>
    <t>EDGECOMBE</t>
  </si>
  <si>
    <t>FAYETTEVILLE</t>
  </si>
  <si>
    <t>FORSYTH</t>
  </si>
  <si>
    <t>GASTON</t>
  </si>
  <si>
    <t>GUILFORD</t>
  </si>
  <si>
    <t>HALIFAX</t>
  </si>
  <si>
    <t>HAYWOOD</t>
  </si>
  <si>
    <t>ISOTHERMAL</t>
  </si>
  <si>
    <t>JAMES SPRUNT</t>
  </si>
  <si>
    <t>JOHNSTON</t>
  </si>
  <si>
    <t>LENOIR</t>
  </si>
  <si>
    <t>MARTIN</t>
  </si>
  <si>
    <t>MAYLAND</t>
  </si>
  <si>
    <t>MCDOWELL</t>
  </si>
  <si>
    <t xml:space="preserve">           </t>
  </si>
  <si>
    <t>MITCHELL</t>
  </si>
  <si>
    <t>MONTGOMERY</t>
  </si>
  <si>
    <t>NASH</t>
  </si>
  <si>
    <t>PAMLICO</t>
  </si>
  <si>
    <t xml:space="preserve">PIEDMONT </t>
  </si>
  <si>
    <t>PITT</t>
  </si>
  <si>
    <t>RANDOLPH</t>
  </si>
  <si>
    <t>RICHMOND</t>
  </si>
  <si>
    <t>ROANOKE-CHOW</t>
  </si>
  <si>
    <t>ROBESON</t>
  </si>
  <si>
    <t>ROCKINGHAM</t>
  </si>
  <si>
    <t>ROWAN</t>
  </si>
  <si>
    <t>SAMPSON</t>
  </si>
  <si>
    <t>SANDHILLS</t>
  </si>
  <si>
    <t>SOUTHEAST CC</t>
  </si>
  <si>
    <t>SOUTHWEST TC</t>
  </si>
  <si>
    <t>STANLY</t>
  </si>
  <si>
    <t>SURRY</t>
  </si>
  <si>
    <t>TRI-COUNTY</t>
  </si>
  <si>
    <t>VANCE-GRAN</t>
  </si>
  <si>
    <t>WAKE</t>
  </si>
  <si>
    <t>WAYNE</t>
  </si>
  <si>
    <t>WESTERN PIED</t>
  </si>
  <si>
    <t>WILKES</t>
  </si>
  <si>
    <t>WILSON</t>
  </si>
  <si>
    <t>NCSA</t>
  </si>
  <si>
    <t>OSU</t>
  </si>
  <si>
    <t>OSU-VET MED</t>
  </si>
  <si>
    <t>OU</t>
  </si>
  <si>
    <t>OUHSC-MED/DEN</t>
  </si>
  <si>
    <t>OUHSC-PHY ASS</t>
  </si>
  <si>
    <t>OU-HSC</t>
  </si>
  <si>
    <t>OU-LAW CTR</t>
  </si>
  <si>
    <t>CSU</t>
  </si>
  <si>
    <t>NESU</t>
  </si>
  <si>
    <t>NWOSU</t>
  </si>
  <si>
    <t>SEOSU</t>
  </si>
  <si>
    <t>SWOSU</t>
  </si>
  <si>
    <t>CAMERON</t>
  </si>
  <si>
    <t>LANGSTON</t>
  </si>
  <si>
    <t>PANHANDLE</t>
  </si>
  <si>
    <t>USAO</t>
  </si>
  <si>
    <t>CAJC</t>
  </si>
  <si>
    <t>CONNORS</t>
  </si>
  <si>
    <t>EASTERN</t>
  </si>
  <si>
    <t>EL RENO</t>
  </si>
  <si>
    <t>MURRAY</t>
  </si>
  <si>
    <t>NEOAMC</t>
  </si>
  <si>
    <t>NOC</t>
  </si>
  <si>
    <t>OCCC</t>
  </si>
  <si>
    <t>OSU-TB, OK</t>
  </si>
  <si>
    <t>OSU-TB,OKC</t>
  </si>
  <si>
    <t>ROGERS</t>
  </si>
  <si>
    <t>ROSE</t>
  </si>
  <si>
    <t>SEMINOLE</t>
  </si>
  <si>
    <t>TJC</t>
  </si>
  <si>
    <t>WOSC</t>
  </si>
  <si>
    <t>USC-COLA</t>
  </si>
  <si>
    <t>CLEMSON</t>
  </si>
  <si>
    <t>SC STATE</t>
  </si>
  <si>
    <t>COLL OF CHAS</t>
  </si>
  <si>
    <t>FRAN. MARION</t>
  </si>
  <si>
    <t>LANDER</t>
  </si>
  <si>
    <t>THE CITADEL</t>
  </si>
  <si>
    <t>WINTHROP</t>
  </si>
  <si>
    <t>USC-AIKEN</t>
  </si>
  <si>
    <t>USC-COASTAL</t>
  </si>
  <si>
    <t>USC-SPARTNBG</t>
  </si>
  <si>
    <t>USC-BEAUFORT</t>
  </si>
  <si>
    <t>USC-LANCASTER</t>
  </si>
  <si>
    <t>USC-SALKE.</t>
  </si>
  <si>
    <t>USC-SUMTER</t>
  </si>
  <si>
    <t>USC-UNION</t>
  </si>
  <si>
    <t>AIKEN TEC</t>
  </si>
  <si>
    <t>BEAUFORT TEC</t>
  </si>
  <si>
    <t>CHST/MRLB TEC</t>
  </si>
  <si>
    <t>DENMARK TEC</t>
  </si>
  <si>
    <t>FLR/DARL TC</t>
  </si>
  <si>
    <t>GREENVILLE TC</t>
  </si>
  <si>
    <t>H/G-TOWN TEC</t>
  </si>
  <si>
    <t>MIDLANDS TEC</t>
  </si>
  <si>
    <t>ORGB/CAL TEC</t>
  </si>
  <si>
    <t>PIEDMONT TEC</t>
  </si>
  <si>
    <t>SPARTNBG.TEC</t>
  </si>
  <si>
    <t>SUMTER TEC</t>
  </si>
  <si>
    <t>TRIDENT TEC</t>
  </si>
  <si>
    <t>TRI-CNTY.TEC</t>
  </si>
  <si>
    <t>WMSBG. TEC</t>
  </si>
  <si>
    <t>YORK TEC</t>
  </si>
  <si>
    <t>MUSC</t>
  </si>
  <si>
    <t>UTK</t>
  </si>
  <si>
    <t>ETSU</t>
  </si>
  <si>
    <t>MTSU</t>
  </si>
  <si>
    <t>TTU</t>
  </si>
  <si>
    <t>APSU</t>
  </si>
  <si>
    <t>UTC</t>
  </si>
  <si>
    <t>UTM</t>
  </si>
  <si>
    <t>ClScc</t>
  </si>
  <si>
    <t>CoSCC</t>
  </si>
  <si>
    <t>CSTCC</t>
  </si>
  <si>
    <t>DSCC</t>
  </si>
  <si>
    <t>JSCC</t>
  </si>
  <si>
    <t>MSCC</t>
  </si>
  <si>
    <t>NSTI</t>
  </si>
  <si>
    <t>RSCC</t>
  </si>
  <si>
    <t>SSCC</t>
  </si>
  <si>
    <t>STIK</t>
  </si>
  <si>
    <t>STIM</t>
  </si>
  <si>
    <t>TCSTI</t>
  </si>
  <si>
    <t>VSCC</t>
  </si>
  <si>
    <t>WSCC</t>
  </si>
  <si>
    <t>AVTS</t>
  </si>
  <si>
    <t>UT Memphis</t>
  </si>
  <si>
    <t>UT Space Inst.</t>
  </si>
  <si>
    <t>UT Vet Med</t>
  </si>
  <si>
    <t>NTSU</t>
  </si>
  <si>
    <t>TX. A&amp;M</t>
  </si>
  <si>
    <t>TX.TECH</t>
  </si>
  <si>
    <t>U.HOUSTON-U PARK</t>
  </si>
  <si>
    <t>U.TEXAS-AUS</t>
  </si>
  <si>
    <t>ETSU-COM.</t>
  </si>
  <si>
    <t>TX. WOMAN'S U</t>
  </si>
  <si>
    <t>U.TEXAS-ARL</t>
  </si>
  <si>
    <t>U.TEXAS-DAL</t>
  </si>
  <si>
    <t>LAMAR</t>
  </si>
  <si>
    <t>SFASU</t>
  </si>
  <si>
    <t>SHSU</t>
  </si>
  <si>
    <t>TX. A&amp;I</t>
  </si>
  <si>
    <t>U.TEXAS-EP</t>
  </si>
  <si>
    <t>CCSU</t>
  </si>
  <si>
    <t>ETSU-TEX.</t>
  </si>
  <si>
    <t>MIDWESTERN</t>
  </si>
  <si>
    <t>PAN AM-EDINBURG</t>
  </si>
  <si>
    <t>PRAIRIE VIEW</t>
  </si>
  <si>
    <t>SRSU</t>
  </si>
  <si>
    <t>SWTSU</t>
  </si>
  <si>
    <t>TARLETON ST.</t>
  </si>
  <si>
    <t>U.HOUSTON-CL</t>
  </si>
  <si>
    <t>U.TEXAS-SA</t>
  </si>
  <si>
    <t>U.TEXAS-TYLER</t>
  </si>
  <si>
    <t>WTSU</t>
  </si>
  <si>
    <t>LSU</t>
  </si>
  <si>
    <t>PAN AM-BRNSVILLE</t>
  </si>
  <si>
    <t>U.HOUSTON-VC</t>
  </si>
  <si>
    <t>U.TEXAS-PB</t>
  </si>
  <si>
    <t>TX. A&amp;M-GALV.</t>
  </si>
  <si>
    <t>U.HOUSTON-DNTN</t>
  </si>
  <si>
    <t>ALVIN</t>
  </si>
  <si>
    <t>AMARILLO</t>
  </si>
  <si>
    <t>ANGELINA</t>
  </si>
  <si>
    <t>AUSTIN CC</t>
  </si>
  <si>
    <t>BEE COUNTY</t>
  </si>
  <si>
    <t>BLINN</t>
  </si>
  <si>
    <t>BRAZOSPORT</t>
  </si>
  <si>
    <t>BROOKHAVEN</t>
  </si>
  <si>
    <t>CEDAR VALLEY</t>
  </si>
  <si>
    <t>CENTRAL TEXAS</t>
  </si>
  <si>
    <t>CISCO</t>
  </si>
  <si>
    <t>CLARENDON</t>
  </si>
  <si>
    <t>COL MNLND</t>
  </si>
  <si>
    <t>COLLIN CO</t>
  </si>
  <si>
    <t>COOKE</t>
  </si>
  <si>
    <t>DEL MAR</t>
  </si>
  <si>
    <t>EASTFIELD</t>
  </si>
  <si>
    <t>EL CENTRO</t>
  </si>
  <si>
    <t>EL PASO CC</t>
  </si>
  <si>
    <t>FR PHILLIPS</t>
  </si>
  <si>
    <t>GALVESTON</t>
  </si>
  <si>
    <t>GRAYSON CO*</t>
  </si>
  <si>
    <t xml:space="preserve">HILL </t>
  </si>
  <si>
    <t>HOUSTON CC*</t>
  </si>
  <si>
    <t>HOWARD COL</t>
  </si>
  <si>
    <t>KILGORE*</t>
  </si>
  <si>
    <t>LAREDO JC</t>
  </si>
  <si>
    <t>LEE JC</t>
  </si>
  <si>
    <t>MCLENNAN COMM</t>
  </si>
  <si>
    <t>MIDLAND</t>
  </si>
  <si>
    <t>MT VIEW</t>
  </si>
  <si>
    <t>NAVARRO</t>
  </si>
  <si>
    <t>NE TX CC</t>
  </si>
  <si>
    <t>N. LAKE</t>
  </si>
  <si>
    <t>N.HARRIS CC</t>
  </si>
  <si>
    <t>ODESSA</t>
  </si>
  <si>
    <t>PALO ALTO</t>
  </si>
  <si>
    <t>PANOLA</t>
  </si>
  <si>
    <t>PARIS JC*</t>
  </si>
  <si>
    <t>RANGER JC</t>
  </si>
  <si>
    <t>RICHLAND</t>
  </si>
  <si>
    <t>S PLAINS</t>
  </si>
  <si>
    <t xml:space="preserve">SAN ANTONIO </t>
  </si>
  <si>
    <t>SAN JACINTO</t>
  </si>
  <si>
    <t>SOUTHWEST JC</t>
  </si>
  <si>
    <t>ST.PHILLIPS</t>
  </si>
  <si>
    <t>TARRANT CO.</t>
  </si>
  <si>
    <t>TEMPLE JC</t>
  </si>
  <si>
    <t>TEXARKANA</t>
  </si>
  <si>
    <t>TRINITY VALLEY*</t>
  </si>
  <si>
    <t>TX SOUTHMOST</t>
  </si>
  <si>
    <t>TYLER JC</t>
  </si>
  <si>
    <t>VERNON REGIONAL*</t>
  </si>
  <si>
    <t>VICTORIA*</t>
  </si>
  <si>
    <t>WEATHERFORD*</t>
  </si>
  <si>
    <t>WESTERN TEXAS</t>
  </si>
  <si>
    <t>WHARTON CO.</t>
  </si>
  <si>
    <t>TSTI-AM*</t>
  </si>
  <si>
    <t>TSTI-H*</t>
  </si>
  <si>
    <t>TSTI-S*</t>
  </si>
  <si>
    <t>TSTI-W*</t>
  </si>
  <si>
    <t>TCOM</t>
  </si>
  <si>
    <t>TTHSC</t>
  </si>
  <si>
    <t>UTHSC-D</t>
  </si>
  <si>
    <t>UTHSC-H</t>
  </si>
  <si>
    <t>UTHSC-SA</t>
  </si>
  <si>
    <t>UTMB-GAL</t>
  </si>
  <si>
    <t>UVA</t>
  </si>
  <si>
    <t>VPI&amp;SU</t>
  </si>
  <si>
    <t xml:space="preserve"> </t>
  </si>
  <si>
    <t>VCU</t>
  </si>
  <si>
    <t>W&amp;M</t>
  </si>
  <si>
    <t>GMU</t>
  </si>
  <si>
    <t>ODU</t>
  </si>
  <si>
    <t>JMU</t>
  </si>
  <si>
    <t>LC</t>
  </si>
  <si>
    <t>MWC</t>
  </si>
  <si>
    <t>NSU</t>
  </si>
  <si>
    <t>RU</t>
  </si>
  <si>
    <t>VSU</t>
  </si>
  <si>
    <t>CNC</t>
  </si>
  <si>
    <t>CVC</t>
  </si>
  <si>
    <t>RBC</t>
  </si>
  <si>
    <t>All</t>
  </si>
  <si>
    <t>VMI</t>
  </si>
  <si>
    <t>WVU</t>
  </si>
  <si>
    <t>MU</t>
  </si>
  <si>
    <t>WVIT</t>
  </si>
  <si>
    <t>CC</t>
  </si>
  <si>
    <t>FSC</t>
  </si>
  <si>
    <t>GSC</t>
  </si>
  <si>
    <t>WLSC</t>
  </si>
  <si>
    <t>WVSC</t>
  </si>
  <si>
    <t>PCC</t>
  </si>
  <si>
    <t>PSC</t>
  </si>
  <si>
    <t>SWVCC</t>
  </si>
  <si>
    <t>WVNCC</t>
  </si>
  <si>
    <t>COGS</t>
  </si>
  <si>
    <t>WVSOM</t>
  </si>
  <si>
    <t>CNT</t>
  </si>
  <si>
    <t>PRINT MACRO</t>
  </si>
  <si>
    <t>MEDIAN FORMULA</t>
  </si>
  <si>
    <t>\P</t>
  </si>
  <si>
    <t>/PPCRRTAB 7~AGP</t>
  </si>
  <si>
    <t>@IF(@MOD(@COUNT(R),2)=0,(@INDEX(R,0,@COUNT(R)/2)+@INDEX(R,0,@COUNT(R)/2-1))/2,@INDEX(R,0,@INT(@COUNT(R)/2)))</t>
  </si>
  <si>
    <t>CRRTAB 8~AGP</t>
  </si>
  <si>
    <t>CRRTAB 9~AGP</t>
  </si>
  <si>
    <t>CRRTAB 10~AGPPQ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</si>
</sst>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</numFmts>
  <fonts count="3">
    <font>
      <sz val="10"/>
      <name val="Courier"/>
      <family val="0"/>
    </font>
    <font>
      <sz val="8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Alignment="1" applyProtection="1" quotePrefix="1">
      <alignment horizontal="left"/>
      <protection/>
    </xf>
    <xf numFmtId="37" fontId="0" fillId="0" borderId="0" xfId="0" applyAlignment="1" applyProtection="1">
      <alignment/>
      <protection/>
    </xf>
    <xf numFmtId="37" fontId="0" fillId="0" borderId="0" xfId="0" applyAlignment="1" applyProtection="1">
      <alignment horizontal="fill"/>
      <protection/>
    </xf>
    <xf numFmtId="37" fontId="0" fillId="0" borderId="0" xfId="0" applyAlignment="1" applyProtection="1">
      <alignment horizontal="right"/>
      <protection/>
    </xf>
    <xf numFmtId="37" fontId="0" fillId="0" borderId="0" xfId="0" applyAlignment="1" applyProtection="1">
      <alignment horizontal="center"/>
      <protection/>
    </xf>
    <xf numFmtId="37" fontId="2" fillId="0" borderId="0" xfId="0" applyFont="1" applyAlignment="1" applyProtection="1">
      <alignment/>
      <protection locked="0"/>
    </xf>
    <xf numFmtId="5" fontId="0" fillId="0" borderId="0" xfId="0" applyNumberFormat="1" applyAlignment="1" applyProtection="1">
      <alignment/>
      <protection/>
    </xf>
    <xf numFmtId="5" fontId="2" fillId="0" borderId="0" xfId="0" applyNumberFormat="1" applyFont="1" applyAlignment="1" applyProtection="1">
      <alignment/>
      <protection locked="0"/>
    </xf>
    <xf numFmtId="37" fontId="2" fillId="0" borderId="0" xfId="0" applyFont="1" applyAlignment="1" applyProtection="1">
      <alignment horizontal="right"/>
      <protection locked="0"/>
    </xf>
    <xf numFmtId="37" fontId="2" fillId="0" borderId="0" xfId="0" applyFont="1" applyAlignment="1" applyProtection="1">
      <alignment horizontal="center"/>
      <protection locked="0"/>
    </xf>
    <xf numFmtId="37" fontId="0" fillId="0" borderId="0" xfId="0" applyNumberFormat="1" applyAlignment="1" applyProtection="1" quotePrefix="1">
      <alignment horizontal="left"/>
      <protection/>
    </xf>
    <xf numFmtId="37" fontId="2" fillId="0" borderId="0" xfId="0" applyFont="1" applyAlignment="1" applyProtection="1">
      <alignment horizontal="left"/>
      <protection locked="0"/>
    </xf>
    <xf numFmtId="37" fontId="2" fillId="0" borderId="0" xfId="0" applyNumberFormat="1" applyFont="1" applyAlignment="1" applyProtection="1">
      <alignment/>
      <protection locked="0"/>
    </xf>
    <xf numFmtId="37" fontId="2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/>
      <protection/>
    </xf>
    <xf numFmtId="164" fontId="2" fillId="0" borderId="0" xfId="0" applyNumberFormat="1" applyFont="1" applyAlignment="1" applyProtection="1">
      <alignment/>
      <protection locked="0"/>
    </xf>
    <xf numFmtId="37" fontId="2" fillId="0" borderId="0" xfId="0" applyNumberFormat="1" applyFont="1" applyAlignment="1" applyProtection="1">
      <alignment horizontal="center"/>
      <protection locked="0"/>
    </xf>
    <xf numFmtId="37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MEDIAN UNDERGRADUATE RESIDENT TUITION &amp; FEES
Public Institutions,SREB States,1987-88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Dn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Tuit88!$V$69:$V$82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Tuit88!$AA$69:$AA$82</c:f>
              <c:numCache>
                <c:ptCount val="1"/>
                <c:pt idx="0">
                  <c:v>1</c:v>
                </c:pt>
              </c:numCache>
            </c:numRef>
          </c:val>
        </c:ser>
        <c:axId val="18756140"/>
        <c:axId val="34587533"/>
      </c:barChart>
      <c:catAx>
        <c:axId val="18756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Type of Institution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34587533"/>
        <c:crosses val="autoZero"/>
        <c:auto val="1"/>
        <c:lblOffset val="100"/>
        <c:noMultiLvlLbl val="0"/>
      </c:catAx>
      <c:valAx>
        <c:axId val="34587533"/>
        <c:scaling>
          <c:orientation val="minMax"/>
          <c:max val="1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5614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MEDIAN UNDERGRADUATE RESIDENT TUITION &amp; FEES
Public Institutions,SREB States,1987-88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DOCTORAL</c:v>
          </c:tx>
          <c:spPr>
            <a:pattFill prst="trellis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Tuit88!$V$88:$V$106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Tuit88!$W$88:$W$106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OTHER 4-YEAR</c:v>
          </c:tx>
          <c:spPr>
            <a:pattFill prst="pct30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Tuit88!$V$88:$V$106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Tuit88!$X$88:$X$106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2-YEAR</c:v>
          </c:tx>
          <c:spPr>
            <a:pattFill prst="ltDn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Tuit88!$V$88:$V$106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Tuit88!$Y$88:$Y$106</c:f>
              <c:numCache>
                <c:ptCount val="1"/>
                <c:pt idx="0">
                  <c:v>1</c:v>
                </c:pt>
              </c:numCache>
            </c:numRef>
          </c:val>
        </c:ser>
        <c:axId val="42852342"/>
        <c:axId val="50126759"/>
      </c:barChart>
      <c:catAx>
        <c:axId val="42852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Type of Institution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0126759"/>
        <c:crosses val="autoZero"/>
        <c:auto val="1"/>
        <c:lblOffset val="100"/>
        <c:noMultiLvlLbl val="0"/>
      </c:catAx>
      <c:valAx>
        <c:axId val="501267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85234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TUITION AND FEES COMPARED TO INCOME
Public Institutions,SREB-States,1987-88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Doctoral</c:v>
          </c:tx>
          <c:spPr>
            <a:pattFill prst="trellis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Tuit88!$V$88:$V$106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Tuit88!$AB$88:$AB$106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Other 4-Year</c:v>
          </c:tx>
          <c:spPr>
            <a:pattFill prst="pct30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Tuit88!$V$88:$V$106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Tuit88!$AC$88:$AC$106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2-Year</c:v>
          </c:tx>
          <c:spPr>
            <a:pattFill prst="ltDn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Tuit88!$V$88:$V$106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Tuit88!$AD$88:$AD$106</c:f>
              <c:numCache>
                <c:ptCount val="1"/>
                <c:pt idx="0">
                  <c:v>1</c:v>
                </c:pt>
              </c:numCache>
            </c:numRef>
          </c:val>
        </c:ser>
        <c:axId val="48487648"/>
        <c:axId val="33735649"/>
      </c:barChart>
      <c:catAx>
        <c:axId val="48487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Type of Institution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33735649"/>
        <c:crosses val="autoZero"/>
        <c:auto val="1"/>
        <c:lblOffset val="100"/>
        <c:noMultiLvlLbl val="0"/>
      </c:catAx>
      <c:valAx>
        <c:axId val="33735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Per Capita Disposable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48764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P757"/>
  <sheetViews>
    <sheetView showGridLines="0" tabSelected="1" workbookViewId="0" topLeftCell="A1">
      <selection activeCell="A1" sqref="A1"/>
    </sheetView>
  </sheetViews>
  <sheetFormatPr defaultColWidth="9.75390625" defaultRowHeight="12.75"/>
  <cols>
    <col min="1" max="1" width="3.75390625" style="0" customWidth="1"/>
    <col min="2" max="2" width="5.75390625" style="0" customWidth="1"/>
    <col min="3" max="3" width="16.75390625" style="0" customWidth="1"/>
    <col min="4" max="4" width="5.75390625" style="0" customWidth="1"/>
    <col min="5" max="5" width="6.75390625" style="0" customWidth="1"/>
    <col min="6" max="6" width="7.75390625" style="0" customWidth="1"/>
    <col min="7" max="7" width="6.75390625" style="0" customWidth="1"/>
    <col min="8" max="8" width="7.75390625" style="0" customWidth="1"/>
    <col min="9" max="9" width="6.75390625" style="0" customWidth="1"/>
    <col min="10" max="10" width="7.75390625" style="0" customWidth="1"/>
    <col min="11" max="11" width="6.75390625" style="0" customWidth="1"/>
    <col min="12" max="12" width="7.75390625" style="0" customWidth="1"/>
    <col min="13" max="13" width="6.75390625" style="0" customWidth="1"/>
    <col min="14" max="14" width="7.75390625" style="0" customWidth="1"/>
    <col min="15" max="17" width="6.75390625" style="0" customWidth="1"/>
    <col min="18" max="18" width="7.75390625" style="0" customWidth="1"/>
    <col min="19" max="20" width="6.75390625" style="0" customWidth="1"/>
    <col min="21" max="21" width="4.75390625" style="0" customWidth="1"/>
    <col min="22" max="22" width="14.75390625" style="0" customWidth="1"/>
    <col min="23" max="25" width="8.75390625" style="0" customWidth="1"/>
    <col min="26" max="26" width="11.75390625" style="0" customWidth="1"/>
    <col min="27" max="36" width="8.75390625" style="0" customWidth="1"/>
    <col min="37" max="37" width="1.75390625" style="0" customWidth="1"/>
    <col min="39" max="39" width="18.75390625" style="0" customWidth="1"/>
    <col min="40" max="40" width="8.75390625" style="0" customWidth="1"/>
    <col min="41" max="41" width="7.75390625" style="0" customWidth="1"/>
    <col min="42" max="42" width="8.75390625" style="0" customWidth="1"/>
    <col min="43" max="43" width="7.75390625" style="0" customWidth="1"/>
    <col min="44" max="44" width="8.75390625" style="0" customWidth="1"/>
    <col min="45" max="45" width="7.75390625" style="0" customWidth="1"/>
    <col min="46" max="46" width="8.75390625" style="0" customWidth="1"/>
    <col min="47" max="47" width="7.75390625" style="0" customWidth="1"/>
    <col min="48" max="48" width="8.75390625" style="0" customWidth="1"/>
    <col min="49" max="49" width="7.75390625" style="0" customWidth="1"/>
    <col min="50" max="50" width="8.75390625" style="0" customWidth="1"/>
    <col min="51" max="51" width="7.75390625" style="0" customWidth="1"/>
    <col min="56" max="56" width="18.75390625" style="0" customWidth="1"/>
    <col min="57" max="57" width="8.75390625" style="0" customWidth="1"/>
    <col min="58" max="58" width="7.75390625" style="0" customWidth="1"/>
    <col min="59" max="59" width="8.75390625" style="0" customWidth="1"/>
    <col min="60" max="60" width="7.75390625" style="0" customWidth="1"/>
    <col min="61" max="61" width="8.75390625" style="0" customWidth="1"/>
    <col min="62" max="62" width="7.75390625" style="0" customWidth="1"/>
    <col min="63" max="63" width="8.75390625" style="0" customWidth="1"/>
    <col min="64" max="64" width="7.75390625" style="0" customWidth="1"/>
    <col min="67" max="67" width="18.75390625" style="0" customWidth="1"/>
    <col min="68" max="68" width="8.75390625" style="0" customWidth="1"/>
    <col min="69" max="69" width="7.75390625" style="0" customWidth="1"/>
    <col min="70" max="70" width="8.75390625" style="0" customWidth="1"/>
    <col min="71" max="71" width="7.75390625" style="0" customWidth="1"/>
    <col min="72" max="72" width="8.75390625" style="0" customWidth="1"/>
    <col min="73" max="73" width="7.75390625" style="0" customWidth="1"/>
    <col min="74" max="74" width="8.75390625" style="0" customWidth="1"/>
    <col min="75" max="75" width="7.75390625" style="0" customWidth="1"/>
    <col min="76" max="76" width="8.75390625" style="0" customWidth="1"/>
    <col min="77" max="77" width="7.75390625" style="0" customWidth="1"/>
    <col min="78" max="78" width="8.75390625" style="0" customWidth="1"/>
    <col min="79" max="79" width="7.75390625" style="0" customWidth="1"/>
    <col min="83" max="83" width="18.75390625" style="0" customWidth="1"/>
    <col min="84" max="84" width="8.75390625" style="0" customWidth="1"/>
    <col min="85" max="85" width="7.75390625" style="0" customWidth="1"/>
    <col min="86" max="88" width="8.75390625" style="0" customWidth="1"/>
    <col min="89" max="89" width="7.75390625" style="0" customWidth="1"/>
    <col min="90" max="90" width="8.75390625" style="0" customWidth="1"/>
    <col min="91" max="91" width="7.75390625" style="0" customWidth="1"/>
    <col min="92" max="92" width="8.75390625" style="0" customWidth="1"/>
  </cols>
  <sheetData>
    <row r="1" spans="3:93" ht="12">
      <c r="C1" s="1" t="s">
        <v>0</v>
      </c>
      <c r="AK1" s="2" t="s">
        <v>1</v>
      </c>
      <c r="AM1" s="3">
        <v>18</v>
      </c>
      <c r="AN1" s="3">
        <v>8</v>
      </c>
      <c r="AO1" s="3">
        <v>7</v>
      </c>
      <c r="AP1" s="3">
        <v>8</v>
      </c>
      <c r="AQ1" s="3">
        <v>7</v>
      </c>
      <c r="AR1" s="3">
        <v>8</v>
      </c>
      <c r="AS1" s="3">
        <v>7</v>
      </c>
      <c r="AT1" s="3">
        <v>8</v>
      </c>
      <c r="AU1" s="3">
        <v>7</v>
      </c>
      <c r="AV1" s="3">
        <v>8</v>
      </c>
      <c r="AW1" s="3">
        <v>7</v>
      </c>
      <c r="AX1" s="3">
        <v>8</v>
      </c>
      <c r="AY1" s="3">
        <v>7</v>
      </c>
      <c r="BD1" s="3">
        <v>18</v>
      </c>
      <c r="BE1" s="3">
        <v>8</v>
      </c>
      <c r="BF1" s="3">
        <v>7</v>
      </c>
      <c r="BG1" s="3">
        <v>8</v>
      </c>
      <c r="BH1" s="3">
        <v>7</v>
      </c>
      <c r="BI1" s="3">
        <v>8</v>
      </c>
      <c r="BJ1" s="3">
        <v>7</v>
      </c>
      <c r="BK1" s="3">
        <v>8</v>
      </c>
      <c r="BL1" s="3">
        <v>7</v>
      </c>
      <c r="BO1" s="3">
        <v>18</v>
      </c>
      <c r="BP1" s="3">
        <v>8</v>
      </c>
      <c r="BQ1" s="3">
        <v>7</v>
      </c>
      <c r="BR1" s="3">
        <v>8</v>
      </c>
      <c r="BS1" s="3">
        <v>7</v>
      </c>
      <c r="BT1" s="3">
        <v>8</v>
      </c>
      <c r="BU1" s="3">
        <v>7</v>
      </c>
      <c r="BV1" s="3">
        <v>8</v>
      </c>
      <c r="BW1" s="3">
        <v>7</v>
      </c>
      <c r="BX1" s="3">
        <v>8</v>
      </c>
      <c r="BY1" s="3">
        <v>7</v>
      </c>
      <c r="BZ1" s="3">
        <v>8</v>
      </c>
      <c r="CA1" s="3">
        <v>7</v>
      </c>
      <c r="CE1" s="3">
        <v>18</v>
      </c>
      <c r="CF1" s="3">
        <v>8</v>
      </c>
      <c r="CG1" s="3">
        <v>7</v>
      </c>
      <c r="CH1" s="3">
        <v>8</v>
      </c>
      <c r="CI1" s="3">
        <v>8</v>
      </c>
      <c r="CJ1" s="3">
        <v>8</v>
      </c>
      <c r="CK1" s="3">
        <v>7</v>
      </c>
      <c r="CL1" s="3">
        <v>8</v>
      </c>
      <c r="CM1" s="3">
        <v>7</v>
      </c>
      <c r="CN1" s="3">
        <v>8</v>
      </c>
      <c r="CO1" s="3">
        <v>9</v>
      </c>
    </row>
    <row r="2" spans="5:83" ht="12">
      <c r="E2" s="1" t="s">
        <v>2</v>
      </c>
      <c r="AK2" s="2" t="s">
        <v>1</v>
      </c>
      <c r="AM2" s="3">
        <f>SUM(AM1:AY1)+9</f>
        <v>117</v>
      </c>
      <c r="BD2" s="3">
        <f>SUM(BD1:BO1)+(5*9)</f>
        <v>141</v>
      </c>
      <c r="BO2" s="3">
        <f>SUM(BO1:CA1)+(2*9)</f>
        <v>126</v>
      </c>
      <c r="CE2" s="3">
        <f>SUM(CE1:CO1)+(4*9)</f>
        <v>132</v>
      </c>
    </row>
    <row r="3" spans="37:87" ht="12">
      <c r="AK3" s="2" t="s">
        <v>1</v>
      </c>
      <c r="AR3" s="1" t="s">
        <v>3</v>
      </c>
      <c r="BT3" s="1" t="s">
        <v>4</v>
      </c>
      <c r="CI3" s="1" t="s">
        <v>5</v>
      </c>
    </row>
    <row r="4" spans="2:59" ht="12">
      <c r="B4" s="1" t="s">
        <v>6</v>
      </c>
      <c r="AK4" s="2" t="s">
        <v>1</v>
      </c>
      <c r="BG4" s="1" t="s">
        <v>7</v>
      </c>
    </row>
    <row r="5" spans="2:84" ht="12">
      <c r="B5" s="4" t="s">
        <v>8</v>
      </c>
      <c r="C5" s="4" t="s">
        <v>8</v>
      </c>
      <c r="D5" s="4" t="s">
        <v>8</v>
      </c>
      <c r="E5" s="4" t="s">
        <v>8</v>
      </c>
      <c r="F5" s="4" t="s">
        <v>8</v>
      </c>
      <c r="G5" s="1" t="s">
        <v>9</v>
      </c>
      <c r="H5" s="1" t="s">
        <v>9</v>
      </c>
      <c r="I5" s="1" t="s">
        <v>9</v>
      </c>
      <c r="J5" s="1" t="s">
        <v>9</v>
      </c>
      <c r="AK5" s="2" t="s">
        <v>1</v>
      </c>
      <c r="AP5" s="1" t="s">
        <v>10</v>
      </c>
      <c r="BR5" s="1" t="s">
        <v>10</v>
      </c>
      <c r="CF5" s="1" t="s">
        <v>11</v>
      </c>
    </row>
    <row r="6" spans="2:83" ht="12">
      <c r="B6" s="1" t="s">
        <v>12</v>
      </c>
      <c r="I6" s="1" t="s">
        <v>13</v>
      </c>
      <c r="J6" s="5" t="s">
        <v>8</v>
      </c>
      <c r="AK6" s="2" t="s">
        <v>1</v>
      </c>
      <c r="AO6" s="1" t="s">
        <v>14</v>
      </c>
      <c r="BE6" s="1" t="s">
        <v>10</v>
      </c>
      <c r="BQ6" s="1" t="s">
        <v>15</v>
      </c>
      <c r="CE6" s="1" t="s">
        <v>16</v>
      </c>
    </row>
    <row r="7" spans="9:86" ht="12">
      <c r="I7" s="1" t="s">
        <v>13</v>
      </c>
      <c r="J7" s="5" t="s">
        <v>8</v>
      </c>
      <c r="AK7" s="2" t="s">
        <v>1</v>
      </c>
      <c r="AQ7" s="1" t="s">
        <v>17</v>
      </c>
      <c r="BD7" s="1" t="s">
        <v>18</v>
      </c>
      <c r="BS7" s="1" t="s">
        <v>17</v>
      </c>
      <c r="CH7" s="1" t="s">
        <v>19</v>
      </c>
    </row>
    <row r="8" spans="2:86" ht="12">
      <c r="B8" s="4" t="s">
        <v>8</v>
      </c>
      <c r="C8" s="4" t="s">
        <v>8</v>
      </c>
      <c r="D8" s="4" t="s">
        <v>8</v>
      </c>
      <c r="E8" s="4" t="s">
        <v>8</v>
      </c>
      <c r="F8" s="4" t="s">
        <v>8</v>
      </c>
      <c r="G8" s="1" t="s">
        <v>9</v>
      </c>
      <c r="H8" s="1" t="s">
        <v>9</v>
      </c>
      <c r="I8" s="1" t="s">
        <v>9</v>
      </c>
      <c r="J8" s="1" t="s">
        <v>9</v>
      </c>
      <c r="AK8" s="2" t="s">
        <v>1</v>
      </c>
      <c r="AR8" s="1" t="s">
        <v>20</v>
      </c>
      <c r="BF8" s="1" t="s">
        <v>21</v>
      </c>
      <c r="BT8" s="1" t="s">
        <v>20</v>
      </c>
      <c r="CH8" s="1" t="s">
        <v>22</v>
      </c>
    </row>
    <row r="9" spans="4:87" ht="12">
      <c r="D9" s="5" t="s">
        <v>8</v>
      </c>
      <c r="E9" s="1" t="s">
        <v>23</v>
      </c>
      <c r="G9" s="5" t="s">
        <v>8</v>
      </c>
      <c r="H9" s="1" t="s">
        <v>24</v>
      </c>
      <c r="I9" s="1" t="s">
        <v>13</v>
      </c>
      <c r="J9" s="5" t="s">
        <v>8</v>
      </c>
      <c r="AK9" s="2" t="s">
        <v>1</v>
      </c>
      <c r="AR9" s="1" t="s">
        <v>25</v>
      </c>
      <c r="BG9" s="1" t="s">
        <v>20</v>
      </c>
      <c r="BT9" s="1" t="s">
        <v>25</v>
      </c>
      <c r="CI9" s="1" t="s">
        <v>26</v>
      </c>
    </row>
    <row r="10" spans="2:59" ht="12">
      <c r="B10" s="1" t="s">
        <v>27</v>
      </c>
      <c r="D10" s="5" t="s">
        <v>8</v>
      </c>
      <c r="E10" s="1" t="s">
        <v>28</v>
      </c>
      <c r="G10" s="5" t="s">
        <v>8</v>
      </c>
      <c r="H10" s="1" t="s">
        <v>29</v>
      </c>
      <c r="I10" s="1" t="s">
        <v>13</v>
      </c>
      <c r="J10" s="5" t="s">
        <v>8</v>
      </c>
      <c r="AK10" s="2" t="s">
        <v>1</v>
      </c>
      <c r="BG10" s="1" t="s">
        <v>25</v>
      </c>
    </row>
    <row r="11" spans="4:93" ht="12">
      <c r="D11" s="5" t="s">
        <v>8</v>
      </c>
      <c r="E11" s="1" t="s">
        <v>30</v>
      </c>
      <c r="G11" s="5" t="s">
        <v>8</v>
      </c>
      <c r="I11" s="1" t="s">
        <v>13</v>
      </c>
      <c r="J11" s="5" t="s">
        <v>8</v>
      </c>
      <c r="AK11" s="2" t="s">
        <v>1</v>
      </c>
      <c r="AM11" s="4" t="s">
        <v>31</v>
      </c>
      <c r="AN11" s="4" t="s">
        <v>31</v>
      </c>
      <c r="AO11" s="4" t="s">
        <v>31</v>
      </c>
      <c r="AP11" s="4" t="s">
        <v>31</v>
      </c>
      <c r="AQ11" s="4" t="s">
        <v>31</v>
      </c>
      <c r="AR11" s="4" t="s">
        <v>31</v>
      </c>
      <c r="AS11" s="4" t="s">
        <v>31</v>
      </c>
      <c r="AT11" s="4" t="s">
        <v>31</v>
      </c>
      <c r="AU11" s="4" t="s">
        <v>31</v>
      </c>
      <c r="AV11" s="4" t="s">
        <v>31</v>
      </c>
      <c r="AW11" s="4" t="s">
        <v>31</v>
      </c>
      <c r="AX11" s="4" t="s">
        <v>31</v>
      </c>
      <c r="AY11" s="4" t="s">
        <v>31</v>
      </c>
      <c r="BO11" s="4" t="s">
        <v>31</v>
      </c>
      <c r="BP11" s="4" t="s">
        <v>31</v>
      </c>
      <c r="BQ11" s="4" t="s">
        <v>31</v>
      </c>
      <c r="BR11" s="4" t="s">
        <v>31</v>
      </c>
      <c r="BS11" s="4" t="s">
        <v>31</v>
      </c>
      <c r="BT11" s="4" t="s">
        <v>31</v>
      </c>
      <c r="BU11" s="4" t="s">
        <v>31</v>
      </c>
      <c r="BV11" s="4" t="s">
        <v>31</v>
      </c>
      <c r="BW11" s="4" t="s">
        <v>31</v>
      </c>
      <c r="BX11" s="4" t="s">
        <v>31</v>
      </c>
      <c r="BY11" s="4" t="s">
        <v>31</v>
      </c>
      <c r="CE11" s="4" t="s">
        <v>31</v>
      </c>
      <c r="CF11" s="4" t="s">
        <v>31</v>
      </c>
      <c r="CG11" s="4" t="s">
        <v>31</v>
      </c>
      <c r="CH11" s="4" t="s">
        <v>31</v>
      </c>
      <c r="CI11" s="4" t="s">
        <v>31</v>
      </c>
      <c r="CJ11" s="4" t="s">
        <v>31</v>
      </c>
      <c r="CK11" s="4" t="s">
        <v>31</v>
      </c>
      <c r="CL11" s="4" t="s">
        <v>31</v>
      </c>
      <c r="CM11" s="4" t="s">
        <v>31</v>
      </c>
      <c r="CN11" s="4" t="s">
        <v>31</v>
      </c>
      <c r="CO11" s="4" t="s">
        <v>31</v>
      </c>
    </row>
    <row r="12" spans="4:92" ht="12">
      <c r="D12" s="5" t="s">
        <v>8</v>
      </c>
      <c r="G12" s="5" t="s">
        <v>8</v>
      </c>
      <c r="I12" s="1" t="s">
        <v>13</v>
      </c>
      <c r="J12" s="5" t="s">
        <v>8</v>
      </c>
      <c r="AK12" s="2" t="s">
        <v>1</v>
      </c>
      <c r="AP12" s="1" t="s">
        <v>32</v>
      </c>
      <c r="AU12" s="1" t="s">
        <v>33</v>
      </c>
      <c r="BD12" s="4" t="s">
        <v>31</v>
      </c>
      <c r="BE12" s="4" t="s">
        <v>31</v>
      </c>
      <c r="BF12" s="4" t="s">
        <v>31</v>
      </c>
      <c r="BG12" s="4" t="s">
        <v>31</v>
      </c>
      <c r="BH12" s="4" t="s">
        <v>31</v>
      </c>
      <c r="BI12" s="4" t="s">
        <v>31</v>
      </c>
      <c r="BJ12" s="4" t="s">
        <v>31</v>
      </c>
      <c r="BK12" s="4" t="s">
        <v>31</v>
      </c>
      <c r="BL12" s="4" t="s">
        <v>31</v>
      </c>
      <c r="BR12" s="1" t="s">
        <v>32</v>
      </c>
      <c r="BW12" s="1" t="s">
        <v>33</v>
      </c>
      <c r="CF12" s="1" t="s">
        <v>34</v>
      </c>
      <c r="CH12" s="1" t="s">
        <v>35</v>
      </c>
      <c r="CJ12" s="1" t="s">
        <v>36</v>
      </c>
      <c r="CL12" s="1" t="s">
        <v>37</v>
      </c>
      <c r="CN12" s="1" t="s">
        <v>38</v>
      </c>
    </row>
    <row r="13" spans="2:93" ht="12">
      <c r="B13" s="4" t="s">
        <v>8</v>
      </c>
      <c r="C13" s="4" t="s">
        <v>8</v>
      </c>
      <c r="D13" s="4" t="s">
        <v>8</v>
      </c>
      <c r="E13" s="4" t="s">
        <v>8</v>
      </c>
      <c r="F13" s="4" t="s">
        <v>8</v>
      </c>
      <c r="G13" s="1" t="s">
        <v>9</v>
      </c>
      <c r="H13" s="1" t="s">
        <v>9</v>
      </c>
      <c r="I13" s="1" t="s">
        <v>9</v>
      </c>
      <c r="J13" s="1" t="s">
        <v>9</v>
      </c>
      <c r="AK13" s="2" t="s">
        <v>1</v>
      </c>
      <c r="AN13" s="4" t="s">
        <v>39</v>
      </c>
      <c r="AO13" s="4" t="s">
        <v>39</v>
      </c>
      <c r="AP13" s="4" t="s">
        <v>39</v>
      </c>
      <c r="AQ13" s="4" t="s">
        <v>39</v>
      </c>
      <c r="AR13" s="4" t="s">
        <v>39</v>
      </c>
      <c r="AS13" s="1" t="s">
        <v>40</v>
      </c>
      <c r="AT13" s="4" t="s">
        <v>39</v>
      </c>
      <c r="AU13" s="4" t="s">
        <v>39</v>
      </c>
      <c r="AV13" s="4" t="s">
        <v>39</v>
      </c>
      <c r="AW13" s="1" t="s">
        <v>40</v>
      </c>
      <c r="AX13" s="1" t="s">
        <v>41</v>
      </c>
      <c r="BP13" s="4" t="s">
        <v>39</v>
      </c>
      <c r="BQ13" s="4" t="s">
        <v>39</v>
      </c>
      <c r="BR13" s="4" t="s">
        <v>39</v>
      </c>
      <c r="BS13" s="4" t="s">
        <v>39</v>
      </c>
      <c r="BT13" s="4" t="s">
        <v>39</v>
      </c>
      <c r="BU13" s="1" t="s">
        <v>40</v>
      </c>
      <c r="BV13" s="4" t="s">
        <v>39</v>
      </c>
      <c r="BW13" s="4" t="s">
        <v>39</v>
      </c>
      <c r="BX13" s="4" t="s">
        <v>39</v>
      </c>
      <c r="BY13" s="1" t="s">
        <v>40</v>
      </c>
      <c r="CF13" s="4" t="s">
        <v>39</v>
      </c>
      <c r="CG13" s="1" t="s">
        <v>40</v>
      </c>
      <c r="CH13" s="4" t="s">
        <v>39</v>
      </c>
      <c r="CI13" s="1" t="s">
        <v>40</v>
      </c>
      <c r="CJ13" s="4" t="s">
        <v>39</v>
      </c>
      <c r="CK13" s="1" t="s">
        <v>40</v>
      </c>
      <c r="CL13" s="4" t="s">
        <v>39</v>
      </c>
      <c r="CM13" s="1" t="s">
        <v>40</v>
      </c>
      <c r="CN13" s="4" t="s">
        <v>39</v>
      </c>
      <c r="CO13" s="4" t="s">
        <v>39</v>
      </c>
    </row>
    <row r="14" spans="9:92" ht="12">
      <c r="I14" s="1" t="s">
        <v>13</v>
      </c>
      <c r="AK14" s="2" t="s">
        <v>1</v>
      </c>
      <c r="AN14" s="1" t="s">
        <v>42</v>
      </c>
      <c r="AP14" s="1" t="s">
        <v>43</v>
      </c>
      <c r="AR14" s="1" t="s">
        <v>44</v>
      </c>
      <c r="AT14" s="1" t="s">
        <v>42</v>
      </c>
      <c r="AV14" s="1" t="s">
        <v>43</v>
      </c>
      <c r="AX14" s="4" t="s">
        <v>39</v>
      </c>
      <c r="AY14" s="4" t="s">
        <v>39</v>
      </c>
      <c r="BE14" s="1" t="s">
        <v>42</v>
      </c>
      <c r="BG14" s="1" t="s">
        <v>43</v>
      </c>
      <c r="BI14" s="1" t="s">
        <v>45</v>
      </c>
      <c r="BK14" s="1" t="s">
        <v>46</v>
      </c>
      <c r="BP14" s="1" t="s">
        <v>42</v>
      </c>
      <c r="BR14" s="1" t="s">
        <v>43</v>
      </c>
      <c r="BT14" s="1" t="s">
        <v>44</v>
      </c>
      <c r="BV14" s="1" t="s">
        <v>42</v>
      </c>
      <c r="BX14" s="1" t="s">
        <v>43</v>
      </c>
      <c r="CF14" s="6" t="s">
        <v>47</v>
      </c>
      <c r="CH14" s="6" t="s">
        <v>47</v>
      </c>
      <c r="CJ14" s="6" t="s">
        <v>47</v>
      </c>
      <c r="CL14" s="6" t="s">
        <v>47</v>
      </c>
      <c r="CN14" s="6" t="s">
        <v>47</v>
      </c>
    </row>
    <row r="15" spans="9:93" ht="12">
      <c r="I15" s="1" t="s">
        <v>13</v>
      </c>
      <c r="AK15" s="2" t="s">
        <v>1</v>
      </c>
      <c r="AN15" s="4" t="s">
        <v>39</v>
      </c>
      <c r="AO15" s="1" t="s">
        <v>40</v>
      </c>
      <c r="AP15" s="4" t="s">
        <v>39</v>
      </c>
      <c r="AQ15" s="1" t="s">
        <v>40</v>
      </c>
      <c r="AR15" s="4" t="s">
        <v>39</v>
      </c>
      <c r="AS15" s="1" t="s">
        <v>40</v>
      </c>
      <c r="AT15" s="4" t="s">
        <v>39</v>
      </c>
      <c r="AU15" s="1" t="s">
        <v>40</v>
      </c>
      <c r="AV15" s="4" t="s">
        <v>39</v>
      </c>
      <c r="AW15" s="1" t="s">
        <v>40</v>
      </c>
      <c r="BE15" s="4" t="s">
        <v>39</v>
      </c>
      <c r="BF15" s="1" t="s">
        <v>40</v>
      </c>
      <c r="BG15" s="4" t="s">
        <v>39</v>
      </c>
      <c r="BH15" s="1" t="s">
        <v>40</v>
      </c>
      <c r="BI15" s="4" t="s">
        <v>39</v>
      </c>
      <c r="BJ15" s="1" t="s">
        <v>40</v>
      </c>
      <c r="BK15" s="4" t="s">
        <v>39</v>
      </c>
      <c r="BL15" s="1" t="s">
        <v>40</v>
      </c>
      <c r="BP15" s="4" t="s">
        <v>39</v>
      </c>
      <c r="BQ15" s="1" t="s">
        <v>40</v>
      </c>
      <c r="BR15" s="4" t="s">
        <v>39</v>
      </c>
      <c r="BS15" s="1" t="s">
        <v>40</v>
      </c>
      <c r="BT15" s="4" t="s">
        <v>39</v>
      </c>
      <c r="BU15" s="1" t="s">
        <v>40</v>
      </c>
      <c r="BV15" s="4" t="s">
        <v>39</v>
      </c>
      <c r="BW15" s="1" t="s">
        <v>40</v>
      </c>
      <c r="BX15" s="4" t="s">
        <v>39</v>
      </c>
      <c r="BY15" s="1" t="s">
        <v>40</v>
      </c>
      <c r="CE15" s="4" t="s">
        <v>31</v>
      </c>
      <c r="CF15" s="4" t="s">
        <v>31</v>
      </c>
      <c r="CG15" s="4" t="s">
        <v>31</v>
      </c>
      <c r="CH15" s="4" t="s">
        <v>31</v>
      </c>
      <c r="CI15" s="4" t="s">
        <v>31</v>
      </c>
      <c r="CJ15" s="4" t="s">
        <v>31</v>
      </c>
      <c r="CK15" s="4" t="s">
        <v>31</v>
      </c>
      <c r="CL15" s="4" t="s">
        <v>31</v>
      </c>
      <c r="CM15" s="4" t="s">
        <v>31</v>
      </c>
      <c r="CN15" s="4" t="s">
        <v>31</v>
      </c>
      <c r="CO15" s="4" t="s">
        <v>31</v>
      </c>
    </row>
    <row r="16" spans="9:94" ht="12">
      <c r="I16" s="1" t="s">
        <v>13</v>
      </c>
      <c r="AK16" s="2" t="s">
        <v>1</v>
      </c>
      <c r="AN16" s="6" t="s">
        <v>47</v>
      </c>
      <c r="AP16" s="6" t="s">
        <v>47</v>
      </c>
      <c r="AR16" s="6" t="s">
        <v>47</v>
      </c>
      <c r="AT16" s="6" t="s">
        <v>47</v>
      </c>
      <c r="AV16" s="6" t="s">
        <v>47</v>
      </c>
      <c r="AX16" s="6" t="s">
        <v>47</v>
      </c>
      <c r="BE16" s="6" t="s">
        <v>47</v>
      </c>
      <c r="BG16" s="6" t="s">
        <v>47</v>
      </c>
      <c r="BI16" s="6" t="s">
        <v>47</v>
      </c>
      <c r="BK16" s="6" t="s">
        <v>47</v>
      </c>
      <c r="BP16" s="6" t="s">
        <v>47</v>
      </c>
      <c r="BR16" s="6" t="s">
        <v>47</v>
      </c>
      <c r="BT16" s="6" t="s">
        <v>47</v>
      </c>
      <c r="BV16" s="6" t="s">
        <v>47</v>
      </c>
      <c r="BX16" s="6" t="s">
        <v>47</v>
      </c>
      <c r="CP16" s="7"/>
    </row>
    <row r="17" spans="9:94" ht="12">
      <c r="I17" s="1" t="s">
        <v>13</v>
      </c>
      <c r="AK17" s="2" t="s">
        <v>1</v>
      </c>
      <c r="AM17" s="4" t="s">
        <v>31</v>
      </c>
      <c r="AN17" s="4" t="s">
        <v>31</v>
      </c>
      <c r="AO17" s="4" t="s">
        <v>31</v>
      </c>
      <c r="AP17" s="4" t="s">
        <v>31</v>
      </c>
      <c r="AQ17" s="4" t="s">
        <v>31</v>
      </c>
      <c r="AR17" s="4" t="s">
        <v>31</v>
      </c>
      <c r="AS17" s="4" t="s">
        <v>31</v>
      </c>
      <c r="AT17" s="4" t="s">
        <v>31</v>
      </c>
      <c r="AU17" s="4" t="s">
        <v>31</v>
      </c>
      <c r="AV17" s="4" t="s">
        <v>31</v>
      </c>
      <c r="AW17" s="4" t="s">
        <v>31</v>
      </c>
      <c r="AX17" s="4" t="s">
        <v>31</v>
      </c>
      <c r="AY17" s="4" t="s">
        <v>31</v>
      </c>
      <c r="BD17" s="4" t="s">
        <v>31</v>
      </c>
      <c r="BE17" s="4" t="s">
        <v>31</v>
      </c>
      <c r="BF17" s="4" t="s">
        <v>31</v>
      </c>
      <c r="BG17" s="4" t="s">
        <v>31</v>
      </c>
      <c r="BH17" s="4" t="s">
        <v>31</v>
      </c>
      <c r="BI17" s="4" t="s">
        <v>31</v>
      </c>
      <c r="BJ17" s="4" t="s">
        <v>31</v>
      </c>
      <c r="BK17" s="4" t="s">
        <v>31</v>
      </c>
      <c r="BL17" s="4" t="s">
        <v>31</v>
      </c>
      <c r="BO17" s="4" t="s">
        <v>31</v>
      </c>
      <c r="BP17" s="4" t="s">
        <v>31</v>
      </c>
      <c r="BQ17" s="4" t="s">
        <v>31</v>
      </c>
      <c r="BR17" s="4" t="s">
        <v>31</v>
      </c>
      <c r="BS17" s="4" t="s">
        <v>31</v>
      </c>
      <c r="BT17" s="4" t="s">
        <v>31</v>
      </c>
      <c r="BU17" s="4" t="s">
        <v>31</v>
      </c>
      <c r="BV17" s="4" t="s">
        <v>31</v>
      </c>
      <c r="BW17" s="4" t="s">
        <v>31</v>
      </c>
      <c r="BX17" s="4" t="s">
        <v>31</v>
      </c>
      <c r="BY17" s="4" t="s">
        <v>31</v>
      </c>
      <c r="CE17" s="1" t="s">
        <v>48</v>
      </c>
      <c r="CF17" s="8">
        <v>1982</v>
      </c>
      <c r="CG17" s="8">
        <v>4549.5</v>
      </c>
      <c r="CH17" s="8">
        <v>4462.5</v>
      </c>
      <c r="CI17" s="8">
        <v>11385.5</v>
      </c>
      <c r="CJ17" s="8">
        <v>3668</v>
      </c>
      <c r="CK17" s="8">
        <v>9119.5</v>
      </c>
      <c r="CL17" s="8">
        <v>2560</v>
      </c>
      <c r="CM17" s="8">
        <v>6290</v>
      </c>
      <c r="CN17" s="8">
        <v>2321.5</v>
      </c>
      <c r="CO17" s="8">
        <v>7025</v>
      </c>
      <c r="CP17" s="7"/>
    </row>
    <row r="18" spans="9:94" ht="12">
      <c r="I18" s="1" t="s">
        <v>13</v>
      </c>
      <c r="AK18" s="2" t="s">
        <v>1</v>
      </c>
      <c r="CP18" s="7"/>
    </row>
    <row r="19" spans="9:93" ht="12">
      <c r="I19" s="1" t="s">
        <v>13</v>
      </c>
      <c r="AK19" s="2" t="s">
        <v>1</v>
      </c>
      <c r="AM19" s="1" t="s">
        <v>48</v>
      </c>
      <c r="AN19" s="8">
        <v>1385</v>
      </c>
      <c r="AO19" s="8">
        <v>4030</v>
      </c>
      <c r="AP19" s="8">
        <v>1504.5</v>
      </c>
      <c r="AQ19" s="8">
        <v>4036.5</v>
      </c>
      <c r="AR19" s="8">
        <v>1388.5</v>
      </c>
      <c r="AS19" s="8">
        <v>3726.5</v>
      </c>
      <c r="AT19" s="8">
        <v>1093.5</v>
      </c>
      <c r="AU19" s="8">
        <v>3344</v>
      </c>
      <c r="AV19" s="8">
        <v>1134.75</v>
      </c>
      <c r="AW19" s="8">
        <v>3073</v>
      </c>
      <c r="AX19" s="8">
        <v>1080</v>
      </c>
      <c r="AY19" s="8">
        <v>2841.5</v>
      </c>
      <c r="AZ19" s="7"/>
      <c r="BA19" s="7"/>
      <c r="BD19" s="1" t="s">
        <v>48</v>
      </c>
      <c r="BE19" s="8">
        <v>886.5</v>
      </c>
      <c r="BF19" s="8">
        <v>2464.5</v>
      </c>
      <c r="BG19" s="8">
        <f>(653+605)/2</f>
        <v>629</v>
      </c>
      <c r="BH19" s="8">
        <v>1730</v>
      </c>
      <c r="BI19" s="8">
        <v>693</v>
      </c>
      <c r="BJ19" s="8">
        <v>4052</v>
      </c>
      <c r="BK19" s="8">
        <v>170.5</v>
      </c>
      <c r="BL19" s="8">
        <v>960</v>
      </c>
      <c r="BO19" s="1" t="s">
        <v>49</v>
      </c>
      <c r="BP19" s="8">
        <v>1581</v>
      </c>
      <c r="BQ19" s="8">
        <v>4338.75</v>
      </c>
      <c r="BR19" s="8">
        <v>1572.5</v>
      </c>
      <c r="BS19" s="8">
        <v>4328</v>
      </c>
      <c r="BT19" s="8">
        <v>1468</v>
      </c>
      <c r="BU19" s="8">
        <v>3639.5</v>
      </c>
      <c r="BV19" s="8">
        <v>1415.5</v>
      </c>
      <c r="BW19" s="8">
        <v>3199.25</v>
      </c>
      <c r="BX19" s="8">
        <v>1344</v>
      </c>
      <c r="BY19" s="8">
        <v>2980</v>
      </c>
      <c r="BZ19" s="9"/>
      <c r="CA19" s="9"/>
      <c r="CB19" s="7"/>
      <c r="CE19" s="1" t="s">
        <v>50</v>
      </c>
      <c r="CF19" s="7">
        <v>2124</v>
      </c>
      <c r="CG19" s="7">
        <v>4040</v>
      </c>
      <c r="CH19" s="7">
        <f>(4315+4610)/2</f>
        <v>4462.5</v>
      </c>
      <c r="CI19" s="7">
        <f>(13027+12615)/2</f>
        <v>12821</v>
      </c>
      <c r="CJ19" s="7">
        <v>3506</v>
      </c>
      <c r="CK19" s="7">
        <v>4706</v>
      </c>
      <c r="CL19" s="7">
        <v>2906</v>
      </c>
      <c r="CM19" s="7">
        <v>7304</v>
      </c>
      <c r="CN19" s="7">
        <v>1686</v>
      </c>
      <c r="CO19" s="7">
        <v>5058</v>
      </c>
    </row>
    <row r="20" spans="2:94" ht="12">
      <c r="B20" s="4" t="s">
        <v>8</v>
      </c>
      <c r="C20" s="4" t="s">
        <v>8</v>
      </c>
      <c r="D20" s="4" t="s">
        <v>8</v>
      </c>
      <c r="E20" s="4" t="s">
        <v>8</v>
      </c>
      <c r="F20" s="4" t="s">
        <v>8</v>
      </c>
      <c r="G20" s="1" t="s">
        <v>9</v>
      </c>
      <c r="H20" s="1" t="s">
        <v>9</v>
      </c>
      <c r="I20" s="1" t="s">
        <v>51</v>
      </c>
      <c r="AK20" s="2" t="s">
        <v>1</v>
      </c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CB20" s="7"/>
      <c r="CE20" s="1" t="s">
        <v>52</v>
      </c>
      <c r="CF20" s="7">
        <f>(1610+1580)/2</f>
        <v>1595</v>
      </c>
      <c r="CG20" s="7">
        <f>(3430+3400)/2</f>
        <v>3415</v>
      </c>
      <c r="CH20" s="7">
        <v>5040</v>
      </c>
      <c r="CI20" s="7">
        <v>10080</v>
      </c>
      <c r="CJ20" s="7"/>
      <c r="CK20" s="7"/>
      <c r="CL20" s="7"/>
      <c r="CM20" s="7"/>
      <c r="CN20" s="7"/>
      <c r="CO20" s="7"/>
      <c r="CP20" s="7"/>
    </row>
    <row r="21" spans="37:94" ht="12">
      <c r="AK21" s="2" t="s">
        <v>1</v>
      </c>
      <c r="AM21" s="1" t="s">
        <v>50</v>
      </c>
      <c r="AN21" s="7">
        <v>1323</v>
      </c>
      <c r="AO21" s="7">
        <v>3969</v>
      </c>
      <c r="AP21" s="7">
        <f>(1590+1572)/2</f>
        <v>1581</v>
      </c>
      <c r="AQ21" s="7">
        <f>(3488+3090)/2</f>
        <v>3289</v>
      </c>
      <c r="AR21" s="7">
        <f>(1503+1581)/2</f>
        <v>1542</v>
      </c>
      <c r="AS21" s="7">
        <f>(3009+2181)/2</f>
        <v>2595</v>
      </c>
      <c r="AT21" s="7">
        <f>(1134+1000)/2</f>
        <v>1067</v>
      </c>
      <c r="AU21" s="7">
        <f>(2026+1400)/2</f>
        <v>1713</v>
      </c>
      <c r="AV21" s="7">
        <f>(1110+1125)/2</f>
        <v>1117.5</v>
      </c>
      <c r="AW21" s="7">
        <f>(1450+1800)/2</f>
        <v>1625</v>
      </c>
      <c r="AX21" s="7">
        <v>1080</v>
      </c>
      <c r="AY21" s="7">
        <v>2160</v>
      </c>
      <c r="AZ21" s="7"/>
      <c r="BA21" s="7"/>
      <c r="BD21" s="1" t="s">
        <v>50</v>
      </c>
      <c r="BF21" s="7"/>
      <c r="BG21" s="7">
        <v>600</v>
      </c>
      <c r="BH21" s="7">
        <v>1050</v>
      </c>
      <c r="BI21" s="7"/>
      <c r="BJ21" s="7"/>
      <c r="BK21" s="7">
        <v>600</v>
      </c>
      <c r="BL21" s="7">
        <v>1050</v>
      </c>
      <c r="BO21" s="1" t="s">
        <v>50</v>
      </c>
      <c r="BP21" s="7">
        <v>1323</v>
      </c>
      <c r="BQ21" s="7">
        <v>3969</v>
      </c>
      <c r="BR21" s="7">
        <f>(1572+1740)/2</f>
        <v>1656</v>
      </c>
      <c r="BS21" s="7">
        <f>(3488+3390)/2</f>
        <v>3439</v>
      </c>
      <c r="BT21" s="7">
        <f>(1509+1413)/2</f>
        <v>1461</v>
      </c>
      <c r="BU21" s="7">
        <f>(2826+2109)/2</f>
        <v>2467.5</v>
      </c>
      <c r="BV21" s="7">
        <f>(1810+1050)/2</f>
        <v>1430</v>
      </c>
      <c r="BW21" s="7">
        <f>(2290+1455)/2</f>
        <v>1872.5</v>
      </c>
      <c r="BX21" s="7">
        <v>1156</v>
      </c>
      <c r="BY21" s="7">
        <f>(1556+1620)/2</f>
        <v>1588</v>
      </c>
      <c r="BZ21" s="7"/>
      <c r="CA21" s="7"/>
      <c r="CB21" s="7"/>
      <c r="CE21" s="1" t="s">
        <v>53</v>
      </c>
      <c r="CF21" s="7">
        <f>(1550+1552)/2</f>
        <v>1551</v>
      </c>
      <c r="CG21" s="7">
        <f>(4549+4550)/2</f>
        <v>4549.5</v>
      </c>
      <c r="CH21" s="7">
        <f>(4693+4680)/2</f>
        <v>4686.5</v>
      </c>
      <c r="CI21" s="7">
        <f>(11392+11379)/2</f>
        <v>11385.5</v>
      </c>
      <c r="CJ21" s="7">
        <v>4693</v>
      </c>
      <c r="CK21" s="7">
        <v>11392</v>
      </c>
      <c r="CL21" s="7"/>
      <c r="CM21" s="7"/>
      <c r="CN21" s="7">
        <v>4693</v>
      </c>
      <c r="CO21" s="7">
        <v>11392</v>
      </c>
      <c r="CP21" s="7"/>
    </row>
    <row r="22" spans="37:94" ht="12">
      <c r="AK22" s="2" t="s">
        <v>1</v>
      </c>
      <c r="AM22" s="1" t="s">
        <v>52</v>
      </c>
      <c r="AN22" s="7">
        <v>1230</v>
      </c>
      <c r="AO22" s="7">
        <v>3050</v>
      </c>
      <c r="AP22" s="7"/>
      <c r="AQ22" s="7"/>
      <c r="AR22" s="7"/>
      <c r="AS22" s="7"/>
      <c r="AT22" s="7">
        <v>1080</v>
      </c>
      <c r="AU22" s="7">
        <v>3020</v>
      </c>
      <c r="AV22" s="7">
        <v>1060</v>
      </c>
      <c r="AW22" s="7">
        <v>2100</v>
      </c>
      <c r="AX22" s="7">
        <f>(1100+1060)/2</f>
        <v>1080</v>
      </c>
      <c r="AY22" s="7">
        <f>(1440+2500)/2</f>
        <v>1970</v>
      </c>
      <c r="BD22" s="1" t="s">
        <v>52</v>
      </c>
      <c r="BG22" s="7">
        <f>(580+552)/2</f>
        <v>566</v>
      </c>
      <c r="BH22" s="7">
        <v>1080</v>
      </c>
      <c r="BI22" s="7"/>
      <c r="BJ22" s="7"/>
      <c r="BK22" s="7"/>
      <c r="BL22" s="7"/>
      <c r="BO22" s="1" t="s">
        <v>52</v>
      </c>
      <c r="BP22" s="7">
        <v>1610</v>
      </c>
      <c r="BQ22" s="7">
        <v>3430</v>
      </c>
      <c r="BR22" s="7"/>
      <c r="BS22" s="7"/>
      <c r="BT22" s="7"/>
      <c r="BU22" s="7"/>
      <c r="BV22" s="7">
        <v>1580</v>
      </c>
      <c r="BW22" s="7">
        <v>2480</v>
      </c>
      <c r="BX22" s="7">
        <v>1344</v>
      </c>
      <c r="BY22" s="7">
        <v>2344</v>
      </c>
      <c r="BZ22" s="7"/>
      <c r="CA22" s="7"/>
      <c r="CP22" s="7"/>
    </row>
    <row r="23" spans="37:93" ht="12">
      <c r="AK23" s="2" t="s">
        <v>1</v>
      </c>
      <c r="AM23" s="1" t="s">
        <v>53</v>
      </c>
      <c r="AN23" s="7">
        <f>(1108+1110)/2</f>
        <v>1109</v>
      </c>
      <c r="AO23" s="7">
        <f>(3660+3662)/2</f>
        <v>3661</v>
      </c>
      <c r="AP23" s="7">
        <v>1126</v>
      </c>
      <c r="AQ23" s="7">
        <v>2630</v>
      </c>
      <c r="AR23" s="7">
        <v>1096</v>
      </c>
      <c r="AS23" s="7">
        <v>3710</v>
      </c>
      <c r="AT23" s="7">
        <v>1102</v>
      </c>
      <c r="AU23" s="7">
        <v>3717</v>
      </c>
      <c r="AV23" s="7">
        <f>(1129+1170)/2</f>
        <v>1149.5</v>
      </c>
      <c r="AW23" s="7">
        <f>(3725+3784)/2</f>
        <v>3754.5</v>
      </c>
      <c r="AX23" s="7"/>
      <c r="AY23" s="7"/>
      <c r="AZ23" s="7"/>
      <c r="BA23" s="7"/>
      <c r="BD23" s="1" t="s">
        <v>53</v>
      </c>
      <c r="BE23" s="7"/>
      <c r="BF23" s="7"/>
      <c r="BG23" s="7">
        <v>600</v>
      </c>
      <c r="BH23" s="7">
        <v>1260</v>
      </c>
      <c r="BI23" s="7"/>
      <c r="BJ23" s="7"/>
      <c r="BK23" s="7"/>
      <c r="BL23" s="7"/>
      <c r="BO23" s="1" t="s">
        <v>53</v>
      </c>
      <c r="BP23" s="7">
        <f>(1550+1552)/2</f>
        <v>1551</v>
      </c>
      <c r="BQ23" s="7">
        <f>(4549+4550)/2</f>
        <v>4549.5</v>
      </c>
      <c r="BR23" s="7">
        <v>1577</v>
      </c>
      <c r="BS23" s="7">
        <v>4576</v>
      </c>
      <c r="BT23" s="7">
        <v>1540</v>
      </c>
      <c r="BU23" s="7">
        <v>4539</v>
      </c>
      <c r="BV23" s="7">
        <v>1537</v>
      </c>
      <c r="BW23" s="7">
        <v>4536</v>
      </c>
      <c r="BX23" s="7">
        <f>(1544+1605)/2</f>
        <v>1574.5</v>
      </c>
      <c r="BY23" s="7">
        <f>(4542+4604)/2</f>
        <v>4573</v>
      </c>
      <c r="BZ23" s="7"/>
      <c r="CA23" s="7"/>
      <c r="CB23" s="7"/>
      <c r="CE23" s="1" t="s">
        <v>54</v>
      </c>
      <c r="CF23" s="7">
        <f>(2418+2124)/2</f>
        <v>2271</v>
      </c>
      <c r="CG23" s="7">
        <f>(7098+5752)/2</f>
        <v>6425</v>
      </c>
      <c r="CH23" s="7">
        <v>3696</v>
      </c>
      <c r="CI23" s="7">
        <v>10701</v>
      </c>
      <c r="CJ23" s="7">
        <v>3696</v>
      </c>
      <c r="CK23" s="7">
        <v>10701</v>
      </c>
      <c r="CL23" s="7"/>
      <c r="CM23" s="7"/>
      <c r="CN23" s="7">
        <v>2307</v>
      </c>
      <c r="CO23" s="10" t="s">
        <v>55</v>
      </c>
    </row>
    <row r="24" spans="83:93" ht="12">
      <c r="CE24" s="1" t="s">
        <v>56</v>
      </c>
      <c r="CF24" s="7">
        <v>1982</v>
      </c>
      <c r="CG24" s="7">
        <v>6662</v>
      </c>
      <c r="CH24" s="7">
        <f>(4382+4398)/2</f>
        <v>4390</v>
      </c>
      <c r="CI24" s="7">
        <f>(14522+14538)/2</f>
        <v>14530</v>
      </c>
      <c r="CJ24" s="7">
        <f>(3632+3648)/2</f>
        <v>3640</v>
      </c>
      <c r="CK24" s="7">
        <f>(13712+13728)/2</f>
        <v>13720</v>
      </c>
      <c r="CL24" s="7"/>
      <c r="CM24" s="7"/>
      <c r="CN24" s="7"/>
      <c r="CO24" s="7"/>
    </row>
    <row r="25" spans="37:94" ht="12">
      <c r="AK25" s="2" t="s">
        <v>1</v>
      </c>
      <c r="AM25" s="1" t="s">
        <v>54</v>
      </c>
      <c r="AN25" s="7">
        <v>1770</v>
      </c>
      <c r="AO25" s="7">
        <v>4689</v>
      </c>
      <c r="AP25" s="7">
        <f>(1806+1518)/2</f>
        <v>1662</v>
      </c>
      <c r="AQ25" s="7">
        <f>(5367+5073)/2</f>
        <v>5220</v>
      </c>
      <c r="AR25" s="7"/>
      <c r="AS25" s="7"/>
      <c r="AT25" s="7">
        <v>1401</v>
      </c>
      <c r="AU25" s="7">
        <v>3603</v>
      </c>
      <c r="AV25" s="7">
        <f>(1344+1332)/2</f>
        <v>1338</v>
      </c>
      <c r="AW25" s="7">
        <f>(3546+3534)/2</f>
        <v>3540</v>
      </c>
      <c r="AX25" s="7">
        <v>1146</v>
      </c>
      <c r="AY25" s="7">
        <v>3348</v>
      </c>
      <c r="BD25" s="1" t="s">
        <v>54</v>
      </c>
      <c r="BE25" s="7">
        <f>(894+879)/2</f>
        <v>886.5</v>
      </c>
      <c r="BF25" s="7">
        <f>(2472+2457)/2</f>
        <v>2464.5</v>
      </c>
      <c r="BG25" s="7">
        <v>867</v>
      </c>
      <c r="BH25" s="7">
        <v>2445</v>
      </c>
      <c r="BI25" s="7"/>
      <c r="BJ25" s="7"/>
      <c r="BK25" s="7"/>
      <c r="BL25" s="7"/>
      <c r="BO25" s="1" t="s">
        <v>54</v>
      </c>
      <c r="BP25" s="7">
        <v>1770</v>
      </c>
      <c r="BQ25" s="7">
        <v>4689</v>
      </c>
      <c r="BR25" s="7">
        <f>(1518+1806)/2</f>
        <v>1662</v>
      </c>
      <c r="BS25" s="7">
        <f>(5073+5367)/2</f>
        <v>5220</v>
      </c>
      <c r="BT25" s="7"/>
      <c r="BU25" s="7"/>
      <c r="BV25" s="7">
        <v>1401</v>
      </c>
      <c r="BW25" s="7">
        <v>3603</v>
      </c>
      <c r="BX25" s="7">
        <v>1344</v>
      </c>
      <c r="BY25" s="7">
        <f>(3546+3534)/2</f>
        <v>3540</v>
      </c>
      <c r="BZ25" s="7"/>
      <c r="CA25" s="7"/>
      <c r="CE25" s="1" t="s">
        <v>57</v>
      </c>
      <c r="CF25" s="7">
        <v>3000</v>
      </c>
      <c r="CG25" s="7">
        <v>6600</v>
      </c>
      <c r="CH25" s="7">
        <v>4500</v>
      </c>
      <c r="CI25" s="7">
        <v>12300</v>
      </c>
      <c r="CJ25" s="7">
        <v>3500</v>
      </c>
      <c r="CK25" s="7">
        <v>8100</v>
      </c>
      <c r="CL25" s="7"/>
      <c r="CM25" s="7"/>
      <c r="CN25" s="7">
        <v>2216</v>
      </c>
      <c r="CO25" s="7">
        <v>9716</v>
      </c>
      <c r="CP25" s="7"/>
    </row>
    <row r="26" spans="37:80" ht="12">
      <c r="AK26" s="2" t="s">
        <v>1</v>
      </c>
      <c r="AM26" s="1" t="s">
        <v>56</v>
      </c>
      <c r="AN26" s="7">
        <v>1412</v>
      </c>
      <c r="AO26" s="7">
        <v>4052</v>
      </c>
      <c r="AP26" s="7">
        <v>1428</v>
      </c>
      <c r="AQ26" s="7">
        <v>4068</v>
      </c>
      <c r="AR26" s="7"/>
      <c r="AS26" s="7"/>
      <c r="AT26" s="7">
        <f>(1090+1080)/2</f>
        <v>1085</v>
      </c>
      <c r="AU26" s="7">
        <f>(3090+3080)/2</f>
        <v>3085</v>
      </c>
      <c r="AV26" s="7">
        <v>1120</v>
      </c>
      <c r="AW26" s="7">
        <v>3120</v>
      </c>
      <c r="AX26" s="7"/>
      <c r="AY26" s="7"/>
      <c r="AZ26" s="7"/>
      <c r="BA26" s="7"/>
      <c r="BD26" s="1" t="s">
        <v>56</v>
      </c>
      <c r="BE26" s="7">
        <v>560</v>
      </c>
      <c r="BF26" s="7">
        <v>1680</v>
      </c>
      <c r="BH26" s="7"/>
      <c r="BJ26" s="7"/>
      <c r="BK26" s="7">
        <v>176</v>
      </c>
      <c r="BL26" s="7">
        <v>960</v>
      </c>
      <c r="BO26" s="1" t="s">
        <v>56</v>
      </c>
      <c r="BP26" s="7">
        <v>1552</v>
      </c>
      <c r="BQ26" s="7">
        <v>4472</v>
      </c>
      <c r="BR26" s="7">
        <v>1568</v>
      </c>
      <c r="BS26" s="7">
        <v>4488</v>
      </c>
      <c r="BT26" s="7"/>
      <c r="BU26" s="7"/>
      <c r="BV26" s="7">
        <f>(1190+1180)/2</f>
        <v>1185</v>
      </c>
      <c r="BW26" s="7">
        <f>(3390+3380)/2</f>
        <v>3385</v>
      </c>
      <c r="BX26" s="7">
        <v>1220</v>
      </c>
      <c r="BY26" s="7">
        <v>3420</v>
      </c>
      <c r="BZ26" s="7"/>
      <c r="CA26" s="7"/>
      <c r="CB26" s="7"/>
    </row>
    <row r="27" spans="37:93" ht="12">
      <c r="AK27" s="2" t="s">
        <v>1</v>
      </c>
      <c r="AM27" s="1" t="s">
        <v>57</v>
      </c>
      <c r="AN27" s="7">
        <v>1724</v>
      </c>
      <c r="AO27" s="7">
        <v>4524</v>
      </c>
      <c r="AP27" s="7"/>
      <c r="AQ27" s="7"/>
      <c r="AR27" s="7">
        <v>1327</v>
      </c>
      <c r="AS27" s="7">
        <v>2677</v>
      </c>
      <c r="AT27" s="7"/>
      <c r="AU27" s="7"/>
      <c r="AV27" s="7">
        <v>1238</v>
      </c>
      <c r="AW27" s="7">
        <v>2702</v>
      </c>
      <c r="AX27" s="7"/>
      <c r="AY27" s="7"/>
      <c r="BD27" s="1" t="s">
        <v>57</v>
      </c>
      <c r="BE27" s="3">
        <v>694</v>
      </c>
      <c r="BF27" s="3">
        <v>2063</v>
      </c>
      <c r="BH27" s="7"/>
      <c r="BI27" s="7"/>
      <c r="BJ27" s="7"/>
      <c r="BK27" s="7">
        <v>100</v>
      </c>
      <c r="BL27" s="7">
        <v>200</v>
      </c>
      <c r="BO27" s="1" t="s">
        <v>57</v>
      </c>
      <c r="BP27" s="3">
        <v>1724</v>
      </c>
      <c r="BQ27" s="7">
        <v>4524</v>
      </c>
      <c r="BR27" s="7"/>
      <c r="BS27" s="7"/>
      <c r="BT27" s="3">
        <v>1293</v>
      </c>
      <c r="BU27" s="3">
        <v>2643</v>
      </c>
      <c r="BV27" s="7"/>
      <c r="BW27" s="7"/>
      <c r="BX27" s="3">
        <v>1200</v>
      </c>
      <c r="BY27" s="3">
        <v>2880</v>
      </c>
      <c r="BZ27" s="7"/>
      <c r="CA27" s="7"/>
      <c r="CE27" s="1" t="s">
        <v>58</v>
      </c>
      <c r="CF27" s="7">
        <f>(3340+3726)/2</f>
        <v>3533</v>
      </c>
      <c r="CG27" s="7">
        <f>(6030+6806)/2</f>
        <v>6418</v>
      </c>
      <c r="CH27" s="7">
        <v>6288</v>
      </c>
      <c r="CI27" s="7">
        <v>12470</v>
      </c>
      <c r="CJ27" s="7">
        <v>5434</v>
      </c>
      <c r="CK27" s="7">
        <v>12086</v>
      </c>
      <c r="CL27" s="7"/>
      <c r="CM27" s="7"/>
      <c r="CN27" s="7"/>
      <c r="CO27" s="7"/>
    </row>
    <row r="28" spans="83:93" ht="12">
      <c r="CE28" s="1" t="s">
        <v>59</v>
      </c>
      <c r="CF28" s="7">
        <v>2080</v>
      </c>
      <c r="CG28" s="7">
        <v>3262</v>
      </c>
      <c r="CH28" s="7">
        <v>6050</v>
      </c>
      <c r="CI28" s="7">
        <v>12050</v>
      </c>
      <c r="CJ28" s="7">
        <v>4050</v>
      </c>
      <c r="CK28" s="7">
        <v>10050</v>
      </c>
      <c r="CL28" s="7"/>
      <c r="CM28" s="7"/>
      <c r="CN28" s="7">
        <v>2199</v>
      </c>
      <c r="CO28" s="7">
        <v>3381</v>
      </c>
    </row>
    <row r="29" spans="37:94" ht="12">
      <c r="AK29" s="2" t="s">
        <v>1</v>
      </c>
      <c r="AM29" s="1" t="s">
        <v>58</v>
      </c>
      <c r="AN29" s="7">
        <v>1740</v>
      </c>
      <c r="AO29" s="7">
        <v>4846</v>
      </c>
      <c r="AP29" s="7"/>
      <c r="AQ29" s="7"/>
      <c r="AR29" s="7">
        <v>1684</v>
      </c>
      <c r="AS29" s="7">
        <v>4630</v>
      </c>
      <c r="AT29" s="7">
        <v>1683</v>
      </c>
      <c r="AU29" s="7">
        <v>3081</v>
      </c>
      <c r="AV29" s="7">
        <v>1710</v>
      </c>
      <c r="AW29" s="7">
        <v>3110</v>
      </c>
      <c r="AX29" s="7">
        <v>2270</v>
      </c>
      <c r="AY29" s="7">
        <v>3770</v>
      </c>
      <c r="BD29" s="1" t="s">
        <v>58</v>
      </c>
      <c r="BG29" s="3">
        <v>900</v>
      </c>
      <c r="BH29" s="3">
        <v>2940</v>
      </c>
      <c r="BI29" s="7"/>
      <c r="BJ29" s="7"/>
      <c r="BK29" s="7"/>
      <c r="BL29" s="7"/>
      <c r="BO29" s="1" t="s">
        <v>58</v>
      </c>
      <c r="BP29" s="3">
        <v>2557</v>
      </c>
      <c r="BQ29" s="7">
        <v>4405</v>
      </c>
      <c r="BR29" s="7"/>
      <c r="BS29" s="7"/>
      <c r="BT29" s="7">
        <v>2400</v>
      </c>
      <c r="BU29" s="7">
        <v>4248</v>
      </c>
      <c r="BV29" s="7">
        <v>1848</v>
      </c>
      <c r="BW29" s="7">
        <v>1848</v>
      </c>
      <c r="BX29" s="3">
        <v>1848</v>
      </c>
      <c r="BY29" s="3">
        <v>1848</v>
      </c>
      <c r="BZ29" s="7"/>
      <c r="CA29" s="7"/>
      <c r="CE29" s="1" t="s">
        <v>60</v>
      </c>
      <c r="CF29" s="7">
        <f>(889+864)/2</f>
        <v>876.5</v>
      </c>
      <c r="CG29" s="7">
        <f>(5033+4882)/2</f>
        <v>4957.5</v>
      </c>
      <c r="CH29" s="7">
        <f>(1470+1534)/2</f>
        <v>1502</v>
      </c>
      <c r="CI29" s="7">
        <v>7470</v>
      </c>
      <c r="CJ29" s="7">
        <v>1720</v>
      </c>
      <c r="CK29" s="7">
        <v>7222</v>
      </c>
      <c r="CL29" s="7"/>
      <c r="CM29" s="7"/>
      <c r="CN29" s="7">
        <v>1516</v>
      </c>
      <c r="CO29" s="7">
        <v>6878</v>
      </c>
      <c r="CP29" s="7"/>
    </row>
    <row r="30" spans="37:80" ht="12">
      <c r="AK30" s="2" t="s">
        <v>1</v>
      </c>
      <c r="AM30" s="1" t="s">
        <v>59</v>
      </c>
      <c r="AN30" s="7"/>
      <c r="AO30" s="7"/>
      <c r="AP30" s="7">
        <v>1778</v>
      </c>
      <c r="AQ30" s="7">
        <v>2960</v>
      </c>
      <c r="AR30" s="7">
        <f>(1490+1500)/2</f>
        <v>1495</v>
      </c>
      <c r="AS30" s="7">
        <f>(2672+2576)/2</f>
        <v>2624</v>
      </c>
      <c r="AT30" s="7"/>
      <c r="AU30" s="7"/>
      <c r="AV30" s="7">
        <v>1580</v>
      </c>
      <c r="AW30" s="7">
        <v>2762</v>
      </c>
      <c r="AX30" s="7"/>
      <c r="AY30" s="7"/>
      <c r="AZ30" s="7"/>
      <c r="BA30" s="7"/>
      <c r="BD30" s="1" t="s">
        <v>59</v>
      </c>
      <c r="BE30" s="7"/>
      <c r="BF30" s="7"/>
      <c r="BG30" s="7">
        <v>600</v>
      </c>
      <c r="BH30" s="7">
        <v>1200</v>
      </c>
      <c r="BJ30" s="7"/>
      <c r="BK30" s="7"/>
      <c r="BL30" s="7"/>
      <c r="BO30" s="1" t="s">
        <v>59</v>
      </c>
      <c r="BP30" s="7"/>
      <c r="BQ30" s="7"/>
      <c r="BR30" s="7">
        <v>1778</v>
      </c>
      <c r="BS30" s="7">
        <v>2960</v>
      </c>
      <c r="BT30" s="7">
        <f>(1490+1500)/2</f>
        <v>1495</v>
      </c>
      <c r="BU30" s="7">
        <f>(2672+2576)/2</f>
        <v>2624</v>
      </c>
      <c r="BV30" s="7"/>
      <c r="BW30" s="7"/>
      <c r="BX30" s="7">
        <v>1580</v>
      </c>
      <c r="BY30" s="7">
        <v>2762</v>
      </c>
      <c r="BZ30" s="7"/>
      <c r="CA30" s="7"/>
      <c r="CB30" s="7"/>
    </row>
    <row r="31" spans="37:93" ht="12">
      <c r="AK31" s="2" t="s">
        <v>1</v>
      </c>
      <c r="AM31" s="1" t="s">
        <v>60</v>
      </c>
      <c r="AN31" s="7">
        <f>(896+845)/2</f>
        <v>870.5</v>
      </c>
      <c r="AO31" s="7">
        <f>(4498+4447)/2</f>
        <v>4472.5</v>
      </c>
      <c r="AP31" s="7">
        <v>989</v>
      </c>
      <c r="AQ31" s="7">
        <v>4591</v>
      </c>
      <c r="AR31" s="7">
        <v>842</v>
      </c>
      <c r="AS31" s="7">
        <v>4342</v>
      </c>
      <c r="AT31" s="7">
        <v>870</v>
      </c>
      <c r="AU31" s="7">
        <v>4370</v>
      </c>
      <c r="AV31" s="7">
        <v>822</v>
      </c>
      <c r="AW31" s="7">
        <v>4322</v>
      </c>
      <c r="AX31" s="7">
        <v>798</v>
      </c>
      <c r="AY31" s="7">
        <v>3874</v>
      </c>
      <c r="BD31" s="1" t="s">
        <v>60</v>
      </c>
      <c r="BF31" s="7"/>
      <c r="BG31" s="3">
        <v>244.5</v>
      </c>
      <c r="BH31" s="3">
        <v>2125.5</v>
      </c>
      <c r="BI31" s="7"/>
      <c r="BJ31" s="7"/>
      <c r="BK31" s="7"/>
      <c r="BL31" s="7"/>
      <c r="BO31" s="1" t="s">
        <v>60</v>
      </c>
      <c r="BP31" s="3">
        <f>(896+841)/2</f>
        <v>868.5</v>
      </c>
      <c r="BQ31" s="3">
        <f>(4498+4443)/2</f>
        <v>4470.5</v>
      </c>
      <c r="BR31" s="3">
        <v>989</v>
      </c>
      <c r="BS31" s="3">
        <v>4591</v>
      </c>
      <c r="BT31" s="3">
        <v>842</v>
      </c>
      <c r="BU31" s="3">
        <v>4342</v>
      </c>
      <c r="BV31" s="3">
        <v>883</v>
      </c>
      <c r="BW31" s="3">
        <v>4383</v>
      </c>
      <c r="BX31" s="3">
        <v>822</v>
      </c>
      <c r="BY31" s="3">
        <v>4322</v>
      </c>
      <c r="CE31" s="1" t="s">
        <v>61</v>
      </c>
      <c r="CF31" s="7">
        <v>1157</v>
      </c>
      <c r="CG31" s="7">
        <v>3646</v>
      </c>
      <c r="CH31" s="7">
        <v>3318</v>
      </c>
      <c r="CI31" s="7">
        <v>8285</v>
      </c>
      <c r="CJ31" s="7">
        <v>3718</v>
      </c>
      <c r="CK31" s="7">
        <v>8189</v>
      </c>
      <c r="CL31" s="7">
        <v>2560</v>
      </c>
      <c r="CM31" s="7">
        <v>6200</v>
      </c>
      <c r="CN31" s="7">
        <v>2336</v>
      </c>
      <c r="CO31" s="7">
        <v>7025</v>
      </c>
    </row>
    <row r="32" spans="83:93" ht="12">
      <c r="CE32" s="1" t="s">
        <v>62</v>
      </c>
      <c r="CF32" s="7">
        <v>2228</v>
      </c>
      <c r="CG32" s="7">
        <v>4448</v>
      </c>
      <c r="CH32" s="7">
        <f>(4000+3630)/2</f>
        <v>3815</v>
      </c>
      <c r="CI32" s="7">
        <f>(8000+7260)/2</f>
        <v>7630</v>
      </c>
      <c r="CJ32" s="7">
        <v>2530</v>
      </c>
      <c r="CK32" s="7">
        <v>5060</v>
      </c>
      <c r="CL32" s="7"/>
      <c r="CM32" s="7"/>
      <c r="CN32" s="7"/>
      <c r="CO32" s="7"/>
    </row>
    <row r="33" spans="37:94" ht="12">
      <c r="AK33" s="2" t="s">
        <v>1</v>
      </c>
      <c r="AM33" s="1" t="s">
        <v>61</v>
      </c>
      <c r="AN33" s="7">
        <v>1061</v>
      </c>
      <c r="AO33" s="7">
        <v>3302</v>
      </c>
      <c r="AP33" s="7"/>
      <c r="AQ33" s="7"/>
      <c r="AR33" s="7"/>
      <c r="AS33" s="7"/>
      <c r="AT33" s="7"/>
      <c r="AU33" s="7"/>
      <c r="AV33" s="7">
        <v>792</v>
      </c>
      <c r="AW33" s="7">
        <v>2252.5</v>
      </c>
      <c r="AX33" s="7">
        <v>813.5</v>
      </c>
      <c r="AY33" s="7">
        <v>2273.5</v>
      </c>
      <c r="BD33" s="1" t="s">
        <v>61</v>
      </c>
      <c r="BF33" s="7"/>
      <c r="BG33" s="3">
        <v>605</v>
      </c>
      <c r="BH33" s="3">
        <v>1730</v>
      </c>
      <c r="BI33" s="7"/>
      <c r="BJ33" s="7"/>
      <c r="BK33" s="7"/>
      <c r="BL33" s="7"/>
      <c r="BO33" s="1" t="s">
        <v>61</v>
      </c>
      <c r="BP33" s="7">
        <v>1122</v>
      </c>
      <c r="BQ33" s="7">
        <v>3611</v>
      </c>
      <c r="BX33" s="3">
        <v>796.5</v>
      </c>
      <c r="BY33" s="3">
        <v>2290.5</v>
      </c>
      <c r="CE33" s="1" t="s">
        <v>63</v>
      </c>
      <c r="CF33" s="7">
        <f>(1886+1936)/2</f>
        <v>1911</v>
      </c>
      <c r="CG33" s="7">
        <f>(4490+4540)/2</f>
        <v>4515</v>
      </c>
      <c r="CH33" s="7">
        <f>(5756+5850)/2</f>
        <v>5803</v>
      </c>
      <c r="CI33" s="7">
        <f>(9122+9216)/2</f>
        <v>9169</v>
      </c>
      <c r="CJ33" s="7">
        <v>3921</v>
      </c>
      <c r="CK33" s="7">
        <v>7290</v>
      </c>
      <c r="CL33" s="7"/>
      <c r="CM33" s="7"/>
      <c r="CN33" s="7">
        <v>2757</v>
      </c>
      <c r="CO33" s="7">
        <v>5361</v>
      </c>
      <c r="CP33" s="7"/>
    </row>
    <row r="34" spans="37:94" ht="12">
      <c r="AK34" s="2" t="s">
        <v>1</v>
      </c>
      <c r="AM34" s="1" t="s">
        <v>62</v>
      </c>
      <c r="AN34" s="7">
        <v>2048</v>
      </c>
      <c r="AO34" s="7">
        <v>4148</v>
      </c>
      <c r="AP34" s="7">
        <v>2090</v>
      </c>
      <c r="AQ34" s="7">
        <v>5130</v>
      </c>
      <c r="AR34" s="7">
        <v>1450</v>
      </c>
      <c r="AS34" s="7">
        <v>2980</v>
      </c>
      <c r="AT34" s="7"/>
      <c r="AU34" s="7"/>
      <c r="AV34" s="7">
        <v>2060</v>
      </c>
      <c r="AW34" s="7">
        <v>3036</v>
      </c>
      <c r="AX34" s="7">
        <v>1400</v>
      </c>
      <c r="AY34" s="7">
        <v>2940</v>
      </c>
      <c r="AZ34" s="7"/>
      <c r="BA34" s="7"/>
      <c r="BD34" s="1" t="s">
        <v>62</v>
      </c>
      <c r="BE34" s="7">
        <v>1200</v>
      </c>
      <c r="BF34" s="7">
        <v>2570</v>
      </c>
      <c r="BG34" s="7">
        <v>600</v>
      </c>
      <c r="BH34" s="7">
        <f>(1050+953)/2</f>
        <v>1001.5</v>
      </c>
      <c r="BI34" s="7"/>
      <c r="BJ34" s="7"/>
      <c r="BK34" s="7"/>
      <c r="BL34" s="7"/>
      <c r="BO34" s="1" t="s">
        <v>62</v>
      </c>
      <c r="BP34" s="7">
        <v>2028</v>
      </c>
      <c r="BQ34" s="7">
        <v>2028</v>
      </c>
      <c r="BR34" s="7">
        <v>2090</v>
      </c>
      <c r="BS34" s="7">
        <v>2090</v>
      </c>
      <c r="BT34" s="7">
        <v>1450</v>
      </c>
      <c r="BU34" s="7">
        <v>1450</v>
      </c>
      <c r="BV34" s="7"/>
      <c r="BW34" s="7"/>
      <c r="BX34" s="7">
        <v>1440</v>
      </c>
      <c r="BY34" s="7">
        <v>1440</v>
      </c>
      <c r="BZ34" s="7"/>
      <c r="CA34" s="7"/>
      <c r="CB34" s="7"/>
      <c r="CP34" s="7"/>
    </row>
    <row r="35" spans="37:93" ht="12">
      <c r="AK35" s="2" t="s">
        <v>1</v>
      </c>
      <c r="AM35" s="1" t="s">
        <v>63</v>
      </c>
      <c r="AN35" s="7">
        <v>1404</v>
      </c>
      <c r="AO35" s="7">
        <v>4008</v>
      </c>
      <c r="AP35" s="7">
        <v>1296</v>
      </c>
      <c r="AQ35" s="7">
        <v>3900</v>
      </c>
      <c r="AR35" s="7">
        <v>1139</v>
      </c>
      <c r="AS35" s="7">
        <v>3743</v>
      </c>
      <c r="AT35" s="7"/>
      <c r="AU35" s="7"/>
      <c r="AV35" s="7">
        <v>1228</v>
      </c>
      <c r="AW35" s="7">
        <v>3832</v>
      </c>
      <c r="AX35" s="7"/>
      <c r="AY35" s="7"/>
      <c r="BD35" s="1" t="s">
        <v>63</v>
      </c>
      <c r="BE35" s="7"/>
      <c r="BF35" s="7"/>
      <c r="BG35" s="7">
        <v>681</v>
      </c>
      <c r="BH35" s="7">
        <v>3111</v>
      </c>
      <c r="BI35" s="7"/>
      <c r="BJ35" s="7"/>
      <c r="BK35" s="7">
        <v>165</v>
      </c>
      <c r="BL35" s="11" t="s">
        <v>64</v>
      </c>
      <c r="BO35" s="1" t="s">
        <v>63</v>
      </c>
      <c r="BP35" s="7">
        <v>1704</v>
      </c>
      <c r="BQ35" s="7">
        <v>4308</v>
      </c>
      <c r="BR35" s="7">
        <v>1564</v>
      </c>
      <c r="BS35" s="7">
        <v>4168</v>
      </c>
      <c r="BT35" s="7">
        <v>1475</v>
      </c>
      <c r="BU35" s="7">
        <v>4079</v>
      </c>
      <c r="BV35" s="7"/>
      <c r="BW35" s="7"/>
      <c r="BX35" s="7">
        <v>1566</v>
      </c>
      <c r="BY35" s="7">
        <v>4170</v>
      </c>
      <c r="BZ35" s="7"/>
      <c r="CA35" s="7"/>
      <c r="CE35" s="1" t="s">
        <v>65</v>
      </c>
      <c r="CF35" s="7">
        <v>1836</v>
      </c>
      <c r="CG35" s="7">
        <v>4896</v>
      </c>
      <c r="CH35" s="3">
        <v>3937</v>
      </c>
      <c r="CI35" s="3">
        <v>14737</v>
      </c>
      <c r="CJ35" s="7">
        <f>(2837+2560)/2</f>
        <v>2698.5</v>
      </c>
      <c r="CK35" s="7">
        <f>(10337+10060)/2</f>
        <v>10198.5</v>
      </c>
      <c r="CL35" s="7">
        <v>744</v>
      </c>
      <c r="CM35" s="7">
        <v>6290</v>
      </c>
      <c r="CN35" s="7">
        <v>3245</v>
      </c>
      <c r="CO35" s="7">
        <v>10445</v>
      </c>
    </row>
    <row r="36" spans="83:93" ht="12">
      <c r="CE36" s="1" t="s">
        <v>66</v>
      </c>
      <c r="CF36" s="7">
        <v>3186</v>
      </c>
      <c r="CG36" s="7">
        <v>7670</v>
      </c>
      <c r="CH36" s="7">
        <f>(5785+6288)/2</f>
        <v>6036.5</v>
      </c>
      <c r="CI36" s="7">
        <f>(11655+12283)/2</f>
        <v>11969</v>
      </c>
      <c r="CJ36" s="7">
        <v>5583</v>
      </c>
      <c r="CK36" s="7">
        <v>10673</v>
      </c>
      <c r="CN36" s="7">
        <v>4914</v>
      </c>
      <c r="CO36" s="7">
        <v>19914</v>
      </c>
    </row>
    <row r="37" spans="37:93" ht="12">
      <c r="AK37" s="2" t="s">
        <v>1</v>
      </c>
      <c r="AM37" s="1" t="s">
        <v>65</v>
      </c>
      <c r="AN37" s="7">
        <v>900</v>
      </c>
      <c r="AO37" s="7">
        <v>3976</v>
      </c>
      <c r="AP37" s="7">
        <v>885</v>
      </c>
      <c r="AQ37" s="7">
        <v>4005</v>
      </c>
      <c r="AR37" s="7">
        <v>880</v>
      </c>
      <c r="AS37" s="7">
        <v>4000</v>
      </c>
      <c r="AT37" s="7">
        <v>880</v>
      </c>
      <c r="AU37" s="7">
        <v>3987.5</v>
      </c>
      <c r="AV37" s="7">
        <v>855</v>
      </c>
      <c r="AW37" s="7">
        <v>3975</v>
      </c>
      <c r="AX37" s="7">
        <v>843.5</v>
      </c>
      <c r="AY37" s="7">
        <v>3963.5</v>
      </c>
      <c r="BD37" s="1" t="s">
        <v>65</v>
      </c>
      <c r="BF37" s="7"/>
      <c r="BG37" s="3">
        <v>425</v>
      </c>
      <c r="BH37" s="3">
        <v>1344</v>
      </c>
      <c r="BI37" s="3">
        <v>623</v>
      </c>
      <c r="BJ37" s="3">
        <v>4369</v>
      </c>
      <c r="BK37" s="7"/>
      <c r="BL37" s="7"/>
      <c r="BO37" s="1" t="s">
        <v>65</v>
      </c>
      <c r="BP37" s="3">
        <v>720</v>
      </c>
      <c r="BQ37" s="3">
        <v>3216</v>
      </c>
      <c r="BR37" s="3">
        <v>737</v>
      </c>
      <c r="BS37" s="3">
        <v>3233</v>
      </c>
      <c r="BT37" s="3">
        <v>704</v>
      </c>
      <c r="BU37" s="3">
        <v>3200</v>
      </c>
      <c r="BV37" s="3">
        <v>705</v>
      </c>
      <c r="BW37" s="3">
        <v>3202.5</v>
      </c>
      <c r="BX37" s="3">
        <v>684</v>
      </c>
      <c r="BY37" s="3">
        <v>3180</v>
      </c>
      <c r="BZ37" s="7"/>
      <c r="CA37" s="7"/>
      <c r="CB37" s="7"/>
      <c r="CE37" s="1" t="s">
        <v>67</v>
      </c>
      <c r="CF37" s="7">
        <v>1726</v>
      </c>
      <c r="CG37" s="7">
        <v>3846</v>
      </c>
      <c r="CH37" s="7">
        <f>(3456+3336)/2</f>
        <v>3396</v>
      </c>
      <c r="CI37" s="7">
        <f>(6556+6346)/2</f>
        <v>6451</v>
      </c>
      <c r="CJ37" s="7">
        <v>2296</v>
      </c>
      <c r="CK37" s="7">
        <v>4996</v>
      </c>
      <c r="CL37" s="7"/>
      <c r="CM37" s="7"/>
      <c r="CN37" s="7"/>
      <c r="CO37" s="7"/>
    </row>
    <row r="38" spans="37:93" ht="12">
      <c r="AK38" s="2" t="s">
        <v>1</v>
      </c>
      <c r="AM38" s="1" t="s">
        <v>66</v>
      </c>
      <c r="AN38" s="7">
        <v>2342.5</v>
      </c>
      <c r="AO38" s="7">
        <v>5227.5</v>
      </c>
      <c r="AP38" s="7">
        <v>2532.5</v>
      </c>
      <c r="AQ38" s="7">
        <v>6274.5</v>
      </c>
      <c r="AR38" s="7">
        <v>2023</v>
      </c>
      <c r="AS38" s="7">
        <v>3859</v>
      </c>
      <c r="AT38" s="7">
        <v>2472</v>
      </c>
      <c r="AU38" s="7">
        <v>4452</v>
      </c>
      <c r="AV38" s="7">
        <v>2122</v>
      </c>
      <c r="AW38" s="7">
        <v>4126</v>
      </c>
      <c r="AX38" s="7">
        <v>1703.5</v>
      </c>
      <c r="AY38" s="7">
        <v>2743</v>
      </c>
      <c r="AZ38" s="9"/>
      <c r="BA38" s="9"/>
      <c r="BD38" s="1" t="s">
        <v>66</v>
      </c>
      <c r="BE38" s="7">
        <v>1260</v>
      </c>
      <c r="BF38" s="7">
        <v>3110</v>
      </c>
      <c r="BG38" s="7">
        <v>763</v>
      </c>
      <c r="BH38" s="7">
        <v>3735</v>
      </c>
      <c r="BI38" s="7">
        <v>763</v>
      </c>
      <c r="BJ38" s="7">
        <v>3735</v>
      </c>
      <c r="BK38" s="7"/>
      <c r="BL38" s="7"/>
      <c r="BO38" s="1" t="s">
        <v>66</v>
      </c>
      <c r="BP38" s="7">
        <f>(2366+2673)/2</f>
        <v>2519.5</v>
      </c>
      <c r="BQ38" s="7">
        <f>(5796+2943)/2</f>
        <v>4369.5</v>
      </c>
      <c r="BR38" s="7">
        <f>(2750+2641)/2</f>
        <v>2695.5</v>
      </c>
      <c r="BS38" s="7">
        <f>(7234+5301)/2</f>
        <v>6267.5</v>
      </c>
      <c r="BT38" s="7">
        <f>(2582+1824)/2</f>
        <v>2203</v>
      </c>
      <c r="BU38" s="7">
        <f>(5510+3648)/2</f>
        <v>4579</v>
      </c>
      <c r="BV38" s="7">
        <v>2148</v>
      </c>
      <c r="BW38" s="7">
        <v>4284</v>
      </c>
      <c r="BX38" s="3">
        <v>2016</v>
      </c>
      <c r="BY38" s="3">
        <v>3096</v>
      </c>
      <c r="BZ38" s="7"/>
      <c r="CA38" s="7"/>
      <c r="CB38" s="9"/>
      <c r="CE38" s="4" t="s">
        <v>31</v>
      </c>
      <c r="CF38" s="4" t="s">
        <v>31</v>
      </c>
      <c r="CG38" s="4" t="s">
        <v>31</v>
      </c>
      <c r="CH38" s="4" t="s">
        <v>31</v>
      </c>
      <c r="CI38" s="4" t="s">
        <v>31</v>
      </c>
      <c r="CJ38" s="4" t="s">
        <v>31</v>
      </c>
      <c r="CK38" s="4" t="s">
        <v>31</v>
      </c>
      <c r="CL38" s="4" t="s">
        <v>31</v>
      </c>
      <c r="CM38" s="4" t="s">
        <v>31</v>
      </c>
      <c r="CN38" s="4" t="s">
        <v>31</v>
      </c>
      <c r="CO38" s="4" t="s">
        <v>31</v>
      </c>
    </row>
    <row r="39" spans="37:83" ht="12">
      <c r="AK39" s="2" t="s">
        <v>1</v>
      </c>
      <c r="AM39" s="1" t="s">
        <v>67</v>
      </c>
      <c r="AN39" s="7">
        <v>1366</v>
      </c>
      <c r="AO39" s="7">
        <v>3346</v>
      </c>
      <c r="AP39" s="7"/>
      <c r="AQ39" s="7"/>
      <c r="AR39" s="7"/>
      <c r="AS39" s="7"/>
      <c r="AT39" s="7">
        <v>1146</v>
      </c>
      <c r="AU39" s="7">
        <v>2896</v>
      </c>
      <c r="AV39" s="7">
        <v>1020</v>
      </c>
      <c r="AW39" s="7">
        <v>2580</v>
      </c>
      <c r="AX39" s="7">
        <v>980</v>
      </c>
      <c r="AY39" s="7">
        <v>2490</v>
      </c>
      <c r="BD39" s="1" t="s">
        <v>67</v>
      </c>
      <c r="BE39" s="7"/>
      <c r="BF39" s="7"/>
      <c r="BG39" s="7">
        <f>(650+656)/2</f>
        <v>653</v>
      </c>
      <c r="BH39" s="7">
        <f>(2070+2076)/2</f>
        <v>2073</v>
      </c>
      <c r="BI39" s="7"/>
      <c r="BJ39" s="7"/>
      <c r="BK39" s="7"/>
      <c r="BL39" s="7"/>
      <c r="BO39" s="1" t="s">
        <v>67</v>
      </c>
      <c r="BP39" s="7">
        <v>1426</v>
      </c>
      <c r="BQ39" s="7">
        <v>3546</v>
      </c>
      <c r="BR39" s="7"/>
      <c r="BS39" s="7"/>
      <c r="BT39" s="7"/>
      <c r="BU39" s="7"/>
      <c r="BV39" s="7">
        <v>1226</v>
      </c>
      <c r="BW39" s="7">
        <v>3196</v>
      </c>
      <c r="BX39" s="7">
        <v>1110</v>
      </c>
      <c r="BY39" s="7">
        <v>2980</v>
      </c>
      <c r="BZ39" s="7"/>
      <c r="CA39" s="7"/>
      <c r="CE39" s="1" t="s">
        <v>68</v>
      </c>
    </row>
    <row r="40" spans="37:83" ht="12">
      <c r="AK40" s="2" t="s">
        <v>1</v>
      </c>
      <c r="AM40" s="4" t="s">
        <v>31</v>
      </c>
      <c r="AN40" s="4" t="s">
        <v>31</v>
      </c>
      <c r="AO40" s="4" t="s">
        <v>31</v>
      </c>
      <c r="AP40" s="4" t="s">
        <v>31</v>
      </c>
      <c r="AQ40" s="4" t="s">
        <v>31</v>
      </c>
      <c r="AR40" s="4" t="s">
        <v>31</v>
      </c>
      <c r="AS40" s="4" t="s">
        <v>31</v>
      </c>
      <c r="AT40" s="4" t="s">
        <v>31</v>
      </c>
      <c r="AU40" s="4" t="s">
        <v>31</v>
      </c>
      <c r="AV40" s="4" t="s">
        <v>31</v>
      </c>
      <c r="AW40" s="4" t="s">
        <v>31</v>
      </c>
      <c r="AX40" s="4" t="s">
        <v>31</v>
      </c>
      <c r="AY40" s="4" t="s">
        <v>31</v>
      </c>
      <c r="BD40" s="4" t="s">
        <v>31</v>
      </c>
      <c r="BE40" s="4" t="s">
        <v>31</v>
      </c>
      <c r="BF40" s="4" t="s">
        <v>31</v>
      </c>
      <c r="BG40" s="4" t="s">
        <v>31</v>
      </c>
      <c r="BH40" s="4" t="s">
        <v>31</v>
      </c>
      <c r="BI40" s="4" t="s">
        <v>31</v>
      </c>
      <c r="BJ40" s="4" t="s">
        <v>31</v>
      </c>
      <c r="BK40" s="4" t="s">
        <v>31</v>
      </c>
      <c r="BL40" s="4" t="s">
        <v>31</v>
      </c>
      <c r="BO40" s="4" t="s">
        <v>31</v>
      </c>
      <c r="BP40" s="4" t="s">
        <v>31</v>
      </c>
      <c r="BQ40" s="4" t="s">
        <v>31</v>
      </c>
      <c r="BR40" s="4" t="s">
        <v>31</v>
      </c>
      <c r="BS40" s="4" t="s">
        <v>31</v>
      </c>
      <c r="BT40" s="4" t="s">
        <v>31</v>
      </c>
      <c r="BU40" s="4" t="s">
        <v>31</v>
      </c>
      <c r="BV40" s="4" t="s">
        <v>31</v>
      </c>
      <c r="BW40" s="4" t="s">
        <v>31</v>
      </c>
      <c r="BX40" s="4" t="s">
        <v>31</v>
      </c>
      <c r="BY40" s="4" t="s">
        <v>31</v>
      </c>
      <c r="CE40" s="1" t="s">
        <v>69</v>
      </c>
    </row>
    <row r="41" spans="37:83" ht="12">
      <c r="AK41" s="2" t="s">
        <v>1</v>
      </c>
      <c r="AM41" s="1" t="s">
        <v>70</v>
      </c>
      <c r="BD41" s="1" t="s">
        <v>71</v>
      </c>
      <c r="BO41" s="1" t="s">
        <v>72</v>
      </c>
      <c r="CE41" s="1" t="s">
        <v>73</v>
      </c>
    </row>
    <row r="42" spans="37:83" ht="12">
      <c r="AK42" s="2" t="s">
        <v>1</v>
      </c>
      <c r="AM42" s="1" t="s">
        <v>74</v>
      </c>
      <c r="BD42" s="1" t="s">
        <v>75</v>
      </c>
      <c r="BO42" s="1" t="s">
        <v>76</v>
      </c>
      <c r="CE42" s="1" t="s">
        <v>77</v>
      </c>
    </row>
    <row r="43" spans="37:67" ht="12">
      <c r="AK43" s="2" t="s">
        <v>1</v>
      </c>
      <c r="BD43" s="1" t="s">
        <v>78</v>
      </c>
      <c r="BO43" s="1" t="s">
        <v>79</v>
      </c>
    </row>
    <row r="44" spans="37:56" ht="12">
      <c r="AK44" s="2" t="s">
        <v>1</v>
      </c>
      <c r="BD44" s="1" t="s">
        <v>80</v>
      </c>
    </row>
    <row r="45" spans="2:56" ht="12">
      <c r="B45" s="3">
        <v>5</v>
      </c>
      <c r="C45" s="3">
        <v>16</v>
      </c>
      <c r="D45" s="3">
        <v>5</v>
      </c>
      <c r="E45" s="3">
        <v>6</v>
      </c>
      <c r="F45" s="3">
        <v>7</v>
      </c>
      <c r="G45" s="3">
        <v>6</v>
      </c>
      <c r="H45" s="3">
        <v>7</v>
      </c>
      <c r="I45" s="3">
        <v>6</v>
      </c>
      <c r="J45" s="3">
        <v>7</v>
      </c>
      <c r="K45" s="3">
        <v>6</v>
      </c>
      <c r="L45" s="3">
        <v>7</v>
      </c>
      <c r="M45" s="3">
        <v>6</v>
      </c>
      <c r="N45" s="3">
        <v>7</v>
      </c>
      <c r="O45" s="3">
        <v>6</v>
      </c>
      <c r="P45" s="3">
        <v>6</v>
      </c>
      <c r="Q45" s="3">
        <v>6</v>
      </c>
      <c r="R45" s="3">
        <v>7</v>
      </c>
      <c r="S45" s="3">
        <v>6</v>
      </c>
      <c r="T45" s="3">
        <v>6</v>
      </c>
      <c r="U45" s="3">
        <f>SUM(B45:T45)</f>
        <v>128</v>
      </c>
      <c r="AK45" s="2" t="s">
        <v>1</v>
      </c>
      <c r="BD45" s="1" t="s">
        <v>81</v>
      </c>
    </row>
    <row r="46" spans="2:37" ht="12">
      <c r="B46" s="6" t="s">
        <v>82</v>
      </c>
      <c r="C46" s="6" t="s">
        <v>83</v>
      </c>
      <c r="D46" s="6" t="s">
        <v>84</v>
      </c>
      <c r="E46" s="6" t="s">
        <v>85</v>
      </c>
      <c r="F46" s="6" t="s">
        <v>86</v>
      </c>
      <c r="G46" s="6" t="s">
        <v>87</v>
      </c>
      <c r="H46" s="6" t="s">
        <v>88</v>
      </c>
      <c r="I46" s="6" t="s">
        <v>89</v>
      </c>
      <c r="J46" s="6" t="s">
        <v>90</v>
      </c>
      <c r="K46" s="6" t="s">
        <v>91</v>
      </c>
      <c r="L46" s="6" t="s">
        <v>92</v>
      </c>
      <c r="M46" s="6" t="s">
        <v>93</v>
      </c>
      <c r="N46" s="6" t="s">
        <v>94</v>
      </c>
      <c r="O46" s="6" t="s">
        <v>95</v>
      </c>
      <c r="P46" s="6" t="s">
        <v>96</v>
      </c>
      <c r="Q46" s="6" t="s">
        <v>97</v>
      </c>
      <c r="R46" s="6" t="s">
        <v>98</v>
      </c>
      <c r="S46" s="6" t="s">
        <v>99</v>
      </c>
      <c r="T46" s="6" t="s">
        <v>100</v>
      </c>
      <c r="U46" s="12" t="s">
        <v>1</v>
      </c>
      <c r="V46" s="1" t="s">
        <v>101</v>
      </c>
      <c r="AK46" s="2" t="s">
        <v>1</v>
      </c>
    </row>
    <row r="47" spans="1:37" ht="12">
      <c r="A47" s="1" t="s">
        <v>102</v>
      </c>
      <c r="B47" s="13" t="s">
        <v>103</v>
      </c>
      <c r="C47" s="13" t="s">
        <v>104</v>
      </c>
      <c r="D47" s="11" t="s">
        <v>105</v>
      </c>
      <c r="E47" s="14">
        <v>1323</v>
      </c>
      <c r="F47" s="14">
        <v>3969</v>
      </c>
      <c r="G47" s="14">
        <v>1323</v>
      </c>
      <c r="H47" s="14">
        <v>3969</v>
      </c>
      <c r="I47" s="7"/>
      <c r="J47" s="7"/>
      <c r="K47" s="7"/>
      <c r="L47" s="7"/>
      <c r="M47" s="7"/>
      <c r="N47" s="7"/>
      <c r="O47" s="7"/>
      <c r="P47" s="7"/>
      <c r="Q47" s="14">
        <v>1686</v>
      </c>
      <c r="R47" s="15" t="s">
        <v>106</v>
      </c>
      <c r="S47" s="14">
        <v>1623</v>
      </c>
      <c r="T47" s="14">
        <v>4269</v>
      </c>
      <c r="U47" s="12" t="s">
        <v>1</v>
      </c>
      <c r="AK47" s="2" t="s">
        <v>1</v>
      </c>
    </row>
    <row r="48" spans="2:37" ht="12">
      <c r="B48" s="13" t="s">
        <v>103</v>
      </c>
      <c r="C48" s="16" t="s">
        <v>107</v>
      </c>
      <c r="D48" s="11" t="s">
        <v>108</v>
      </c>
      <c r="E48" s="14">
        <v>1572</v>
      </c>
      <c r="F48" s="14">
        <v>3488</v>
      </c>
      <c r="G48" s="14">
        <v>1572</v>
      </c>
      <c r="H48" s="14">
        <v>3488</v>
      </c>
      <c r="I48" s="14">
        <v>2124</v>
      </c>
      <c r="J48" s="14">
        <v>4040</v>
      </c>
      <c r="K48" s="14">
        <v>4315</v>
      </c>
      <c r="L48" s="14">
        <v>13027</v>
      </c>
      <c r="M48" s="7"/>
      <c r="N48" s="7"/>
      <c r="O48" s="7"/>
      <c r="P48" s="7"/>
      <c r="Q48" s="7"/>
      <c r="R48" s="7"/>
      <c r="S48" s="13" t="s">
        <v>109</v>
      </c>
      <c r="T48" s="7"/>
      <c r="U48" s="12" t="s">
        <v>1</v>
      </c>
      <c r="W48" s="1" t="s">
        <v>32</v>
      </c>
      <c r="Y48" s="1" t="s">
        <v>110</v>
      </c>
      <c r="Z48" s="1" t="s">
        <v>111</v>
      </c>
      <c r="AB48" s="1" t="s">
        <v>112</v>
      </c>
      <c r="AG48" s="1" t="s">
        <v>113</v>
      </c>
      <c r="AK48" s="2" t="s">
        <v>1</v>
      </c>
    </row>
    <row r="49" spans="2:37" ht="12">
      <c r="B49" s="13" t="s">
        <v>103</v>
      </c>
      <c r="C49" s="13" t="s">
        <v>114</v>
      </c>
      <c r="D49" s="11" t="s">
        <v>108</v>
      </c>
      <c r="E49" s="14">
        <v>1590</v>
      </c>
      <c r="F49" s="14">
        <v>3090</v>
      </c>
      <c r="G49" s="14">
        <v>1740</v>
      </c>
      <c r="H49" s="14">
        <v>3390</v>
      </c>
      <c r="I49" s="7"/>
      <c r="J49" s="7"/>
      <c r="K49" s="14">
        <v>4610</v>
      </c>
      <c r="L49" s="14">
        <v>13322</v>
      </c>
      <c r="M49" s="14">
        <v>3506</v>
      </c>
      <c r="N49" s="14">
        <v>4706</v>
      </c>
      <c r="O49" s="14">
        <v>2906</v>
      </c>
      <c r="P49" s="14">
        <v>7304</v>
      </c>
      <c r="Q49" s="7"/>
      <c r="R49" s="7"/>
      <c r="S49" s="7"/>
      <c r="T49" s="7"/>
      <c r="U49" s="12" t="s">
        <v>1</v>
      </c>
      <c r="W49" s="6" t="s">
        <v>115</v>
      </c>
      <c r="AB49" s="6" t="s">
        <v>115</v>
      </c>
      <c r="AC49" s="6" t="s">
        <v>116</v>
      </c>
      <c r="AG49" s="6" t="s">
        <v>115</v>
      </c>
      <c r="AH49" s="6" t="s">
        <v>116</v>
      </c>
      <c r="AK49" s="2" t="s">
        <v>1</v>
      </c>
    </row>
    <row r="50" spans="2:37" ht="12">
      <c r="B50" s="13" t="s">
        <v>103</v>
      </c>
      <c r="C50" s="16" t="s">
        <v>117</v>
      </c>
      <c r="D50" s="11" t="s">
        <v>118</v>
      </c>
      <c r="E50" s="14">
        <v>1503</v>
      </c>
      <c r="F50" s="14">
        <v>3009</v>
      </c>
      <c r="G50" s="14">
        <v>1413</v>
      </c>
      <c r="H50" s="14">
        <v>2826</v>
      </c>
      <c r="I50" s="7"/>
      <c r="J50" s="7"/>
      <c r="K50" s="14">
        <v>3903</v>
      </c>
      <c r="L50" s="14">
        <v>12615</v>
      </c>
      <c r="M50" s="7"/>
      <c r="N50" s="7"/>
      <c r="O50" s="7"/>
      <c r="P50" s="7"/>
      <c r="Q50" s="7"/>
      <c r="R50" s="7"/>
      <c r="S50" s="7"/>
      <c r="T50" s="7"/>
      <c r="U50" s="12" t="s">
        <v>1</v>
      </c>
      <c r="AK50" s="2" t="s">
        <v>1</v>
      </c>
    </row>
    <row r="51" spans="2:37" ht="12">
      <c r="B51" s="13" t="s">
        <v>103</v>
      </c>
      <c r="C51" s="16" t="s">
        <v>119</v>
      </c>
      <c r="D51" s="11" t="s">
        <v>118</v>
      </c>
      <c r="E51" s="14">
        <v>1581</v>
      </c>
      <c r="F51" s="14">
        <v>2181</v>
      </c>
      <c r="G51" s="14">
        <v>1509</v>
      </c>
      <c r="H51" s="14">
        <v>2109</v>
      </c>
      <c r="I51" s="7"/>
      <c r="J51" s="7"/>
      <c r="K51" s="14">
        <v>5241</v>
      </c>
      <c r="L51" s="14">
        <v>10041</v>
      </c>
      <c r="M51" s="7"/>
      <c r="N51" s="7"/>
      <c r="O51" s="7"/>
      <c r="P51" s="7"/>
      <c r="Q51" s="7"/>
      <c r="R51" s="7"/>
      <c r="S51" s="7"/>
      <c r="T51" s="7"/>
      <c r="U51" s="12" t="s">
        <v>1</v>
      </c>
      <c r="V51" s="1" t="s">
        <v>120</v>
      </c>
      <c r="W51" s="9">
        <f>DAVERAGE(B46:T597,4,AA57:AA61)</f>
        <v>825.0649700598802</v>
      </c>
      <c r="Y51" s="8">
        <f>DAVERAGE(B46:T597,4,AC63:AC66)</f>
        <v>1189.2384615384615</v>
      </c>
      <c r="Z51" s="9">
        <f>DAVERAGE(B46:T597,4,AD57:AD61)</f>
        <v>825.0649700598802</v>
      </c>
      <c r="AK51" s="2" t="s">
        <v>1</v>
      </c>
    </row>
    <row r="52" spans="2:37" ht="12">
      <c r="B52" s="13" t="s">
        <v>103</v>
      </c>
      <c r="C52" s="16" t="s">
        <v>121</v>
      </c>
      <c r="D52" s="17" t="s">
        <v>122</v>
      </c>
      <c r="E52" s="14">
        <v>1134</v>
      </c>
      <c r="F52" s="14">
        <v>2026</v>
      </c>
      <c r="G52" s="14">
        <v>1810</v>
      </c>
      <c r="H52" s="14">
        <v>2290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12" t="s">
        <v>1</v>
      </c>
      <c r="AK52" s="2" t="s">
        <v>1</v>
      </c>
    </row>
    <row r="53" spans="2:37" ht="12">
      <c r="B53" s="13" t="s">
        <v>103</v>
      </c>
      <c r="C53" s="16" t="s">
        <v>123</v>
      </c>
      <c r="D53" s="17" t="s">
        <v>122</v>
      </c>
      <c r="E53" s="14">
        <v>1000</v>
      </c>
      <c r="F53" s="14">
        <v>1400</v>
      </c>
      <c r="G53" s="14">
        <v>1050</v>
      </c>
      <c r="H53" s="14">
        <v>1425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12" t="s">
        <v>1</v>
      </c>
      <c r="V53" s="4" t="s">
        <v>31</v>
      </c>
      <c r="W53" s="4" t="s">
        <v>31</v>
      </c>
      <c r="X53" s="4" t="s">
        <v>31</v>
      </c>
      <c r="Y53" s="4" t="s">
        <v>31</v>
      </c>
      <c r="Z53" s="4" t="s">
        <v>31</v>
      </c>
      <c r="AA53" s="4" t="s">
        <v>31</v>
      </c>
      <c r="AB53" s="4" t="s">
        <v>31</v>
      </c>
      <c r="AC53" s="4" t="s">
        <v>31</v>
      </c>
      <c r="AD53" s="4" t="s">
        <v>31</v>
      </c>
      <c r="AE53" s="4" t="s">
        <v>31</v>
      </c>
      <c r="AF53" s="4" t="s">
        <v>31</v>
      </c>
      <c r="AG53" s="4" t="s">
        <v>31</v>
      </c>
      <c r="AH53" s="4" t="s">
        <v>31</v>
      </c>
      <c r="AI53" s="4" t="s">
        <v>31</v>
      </c>
      <c r="AJ53" s="4" t="s">
        <v>31</v>
      </c>
      <c r="AK53" s="2" t="s">
        <v>1</v>
      </c>
    </row>
    <row r="54" spans="2:37" ht="12">
      <c r="B54" s="13" t="s">
        <v>103</v>
      </c>
      <c r="C54" s="16" t="s">
        <v>124</v>
      </c>
      <c r="D54" s="11" t="s">
        <v>125</v>
      </c>
      <c r="E54" s="14">
        <v>1044</v>
      </c>
      <c r="F54" s="14">
        <v>2004</v>
      </c>
      <c r="G54" s="14">
        <v>1156</v>
      </c>
      <c r="H54" s="14">
        <v>2236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12" t="s">
        <v>1</v>
      </c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2" t="s">
        <v>1</v>
      </c>
    </row>
    <row r="55" spans="2:37" ht="12">
      <c r="B55" s="13" t="s">
        <v>103</v>
      </c>
      <c r="C55" s="16" t="s">
        <v>126</v>
      </c>
      <c r="D55" s="11" t="s">
        <v>125</v>
      </c>
      <c r="E55" s="14">
        <v>1095</v>
      </c>
      <c r="F55" s="14">
        <v>3285</v>
      </c>
      <c r="G55" s="14">
        <v>1095</v>
      </c>
      <c r="H55" s="14">
        <v>3285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12" t="s">
        <v>1</v>
      </c>
      <c r="W55" s="13" t="s">
        <v>127</v>
      </c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2" t="s">
        <v>1</v>
      </c>
    </row>
    <row r="56" spans="2:37" ht="12">
      <c r="B56" s="13" t="s">
        <v>103</v>
      </c>
      <c r="C56" s="16" t="s">
        <v>128</v>
      </c>
      <c r="D56" s="11" t="s">
        <v>125</v>
      </c>
      <c r="E56" s="14">
        <v>1311</v>
      </c>
      <c r="F56" s="14">
        <v>1311</v>
      </c>
      <c r="G56" s="14">
        <v>1116</v>
      </c>
      <c r="H56" s="14">
        <v>1116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12" t="s">
        <v>1</v>
      </c>
      <c r="AK56" s="2" t="s">
        <v>1</v>
      </c>
    </row>
    <row r="57" spans="2:37" ht="12">
      <c r="B57" s="13" t="s">
        <v>103</v>
      </c>
      <c r="C57" s="16" t="s">
        <v>129</v>
      </c>
      <c r="D57" s="11" t="s">
        <v>125</v>
      </c>
      <c r="E57" s="14">
        <v>1110</v>
      </c>
      <c r="F57" s="14">
        <v>1374</v>
      </c>
      <c r="G57" s="14">
        <v>1268</v>
      </c>
      <c r="H57" s="14">
        <v>1556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12" t="s">
        <v>1</v>
      </c>
      <c r="W57" s="6" t="s">
        <v>84</v>
      </c>
      <c r="X57" s="6" t="s">
        <v>84</v>
      </c>
      <c r="Y57" s="6" t="s">
        <v>84</v>
      </c>
      <c r="Z57" s="6" t="s">
        <v>84</v>
      </c>
      <c r="AA57" s="6" t="s">
        <v>84</v>
      </c>
      <c r="AB57" s="6" t="s">
        <v>84</v>
      </c>
      <c r="AC57" s="6" t="s">
        <v>84</v>
      </c>
      <c r="AD57" s="6" t="s">
        <v>84</v>
      </c>
      <c r="AE57" s="6" t="s">
        <v>84</v>
      </c>
      <c r="AF57" s="6" t="s">
        <v>84</v>
      </c>
      <c r="AG57" s="6" t="s">
        <v>84</v>
      </c>
      <c r="AI57" s="7"/>
      <c r="AJ57" s="7"/>
      <c r="AK57" s="2" t="s">
        <v>1</v>
      </c>
    </row>
    <row r="58" spans="2:37" ht="12">
      <c r="B58" s="13" t="s">
        <v>103</v>
      </c>
      <c r="C58" s="16" t="s">
        <v>130</v>
      </c>
      <c r="D58" s="11" t="s">
        <v>125</v>
      </c>
      <c r="E58" s="14">
        <v>1125</v>
      </c>
      <c r="F58" s="14">
        <v>1125</v>
      </c>
      <c r="G58" s="14">
        <v>1008</v>
      </c>
      <c r="H58" s="14">
        <v>1008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12" t="s">
        <v>1</v>
      </c>
      <c r="W58" s="1" t="s">
        <v>105</v>
      </c>
      <c r="X58" s="1" t="s">
        <v>108</v>
      </c>
      <c r="Y58" s="1" t="s">
        <v>118</v>
      </c>
      <c r="Z58" s="1" t="s">
        <v>122</v>
      </c>
      <c r="AA58" s="1" t="s">
        <v>125</v>
      </c>
      <c r="AB58" s="1" t="s">
        <v>131</v>
      </c>
      <c r="AC58" s="1" t="s">
        <v>132</v>
      </c>
      <c r="AD58" s="1" t="s">
        <v>133</v>
      </c>
      <c r="AE58" s="1" t="s">
        <v>134</v>
      </c>
      <c r="AF58" s="1" t="s">
        <v>135</v>
      </c>
      <c r="AH58" s="7"/>
      <c r="AI58" s="7"/>
      <c r="AJ58" s="7"/>
      <c r="AK58" s="2" t="s">
        <v>1</v>
      </c>
    </row>
    <row r="59" spans="2:37" ht="12">
      <c r="B59" s="13" t="s">
        <v>103</v>
      </c>
      <c r="C59" s="16" t="s">
        <v>136</v>
      </c>
      <c r="D59" s="11" t="s">
        <v>125</v>
      </c>
      <c r="E59" s="14">
        <v>1200</v>
      </c>
      <c r="F59" s="14">
        <v>1800</v>
      </c>
      <c r="G59" s="14">
        <v>1386</v>
      </c>
      <c r="H59" s="14">
        <v>1620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12" t="s">
        <v>1</v>
      </c>
      <c r="AK59" s="2" t="s">
        <v>1</v>
      </c>
    </row>
    <row r="60" spans="2:37" ht="12">
      <c r="B60" s="13" t="s">
        <v>103</v>
      </c>
      <c r="C60" s="16" t="s">
        <v>137</v>
      </c>
      <c r="D60" s="11" t="s">
        <v>125</v>
      </c>
      <c r="E60" s="14">
        <v>1394</v>
      </c>
      <c r="F60" s="14">
        <v>2290</v>
      </c>
      <c r="G60" s="14">
        <v>1590</v>
      </c>
      <c r="H60" s="14">
        <v>2570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2" t="s">
        <v>1</v>
      </c>
      <c r="V60" s="1" t="s">
        <v>138</v>
      </c>
      <c r="AK60" s="2" t="s">
        <v>1</v>
      </c>
    </row>
    <row r="61" spans="2:37" ht="12">
      <c r="B61" s="13" t="s">
        <v>103</v>
      </c>
      <c r="C61" s="16" t="s">
        <v>139</v>
      </c>
      <c r="D61" s="11" t="s">
        <v>125</v>
      </c>
      <c r="E61" s="14">
        <v>1050</v>
      </c>
      <c r="F61" s="14">
        <v>1450</v>
      </c>
      <c r="G61" s="14">
        <v>1156</v>
      </c>
      <c r="H61" s="14">
        <v>1556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12" t="s">
        <v>1</v>
      </c>
      <c r="W61" s="7"/>
      <c r="X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2" t="s">
        <v>1</v>
      </c>
    </row>
    <row r="62" spans="2:37" ht="12">
      <c r="B62" s="13" t="s">
        <v>103</v>
      </c>
      <c r="C62" s="16" t="s">
        <v>140</v>
      </c>
      <c r="D62" s="11" t="s">
        <v>131</v>
      </c>
      <c r="E62" s="14">
        <v>1080</v>
      </c>
      <c r="F62" s="14">
        <v>2160</v>
      </c>
      <c r="G62" s="14"/>
      <c r="H62" s="14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12" t="s">
        <v>1</v>
      </c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2" t="s">
        <v>1</v>
      </c>
    </row>
    <row r="63" spans="2:37" ht="12">
      <c r="B63" s="13" t="s">
        <v>103</v>
      </c>
      <c r="C63" s="16" t="s">
        <v>141</v>
      </c>
      <c r="D63" s="11" t="s">
        <v>133</v>
      </c>
      <c r="E63" s="14">
        <v>600</v>
      </c>
      <c r="F63" s="14">
        <v>1050</v>
      </c>
      <c r="G63" s="14"/>
      <c r="H63" s="14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12" t="s">
        <v>1</v>
      </c>
      <c r="AC63" s="6" t="s">
        <v>84</v>
      </c>
      <c r="AK63" s="2" t="s">
        <v>1</v>
      </c>
    </row>
    <row r="64" spans="2:37" ht="12">
      <c r="B64" s="13" t="s">
        <v>103</v>
      </c>
      <c r="C64" s="16" t="s">
        <v>142</v>
      </c>
      <c r="D64" s="11" t="s">
        <v>135</v>
      </c>
      <c r="E64" s="14">
        <v>600</v>
      </c>
      <c r="F64" s="14">
        <v>1050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12" t="s">
        <v>1</v>
      </c>
      <c r="W64" s="7"/>
      <c r="Y64" s="7"/>
      <c r="Z64" s="7"/>
      <c r="AA64" s="7"/>
      <c r="AB64" s="7"/>
      <c r="AC64" s="1" t="s">
        <v>122</v>
      </c>
      <c r="AD64" s="7"/>
      <c r="AE64" s="7"/>
      <c r="AF64" s="7"/>
      <c r="AG64" s="7"/>
      <c r="AH64" s="7"/>
      <c r="AI64" s="7"/>
      <c r="AJ64" s="7"/>
      <c r="AK64" s="2" t="s">
        <v>1</v>
      </c>
    </row>
    <row r="65" spans="1:37" ht="12">
      <c r="A65" s="1" t="s">
        <v>102</v>
      </c>
      <c r="B65" s="13" t="s">
        <v>143</v>
      </c>
      <c r="C65" s="16" t="s">
        <v>144</v>
      </c>
      <c r="D65" s="11" t="s">
        <v>105</v>
      </c>
      <c r="E65" s="7">
        <v>1230</v>
      </c>
      <c r="F65" s="7">
        <v>2050</v>
      </c>
      <c r="G65" s="7">
        <v>1610</v>
      </c>
      <c r="H65" s="7">
        <v>3430</v>
      </c>
      <c r="I65" s="7">
        <v>1610</v>
      </c>
      <c r="J65" s="7">
        <v>3430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12" t="s">
        <v>1</v>
      </c>
      <c r="W65" s="3">
        <v>3</v>
      </c>
      <c r="X65" s="3">
        <v>4</v>
      </c>
      <c r="Y65" s="3">
        <v>5</v>
      </c>
      <c r="Z65" s="3">
        <v>6</v>
      </c>
      <c r="AC65" s="1" t="s">
        <v>125</v>
      </c>
      <c r="AK65" s="2" t="s">
        <v>1</v>
      </c>
    </row>
    <row r="66" spans="2:37" ht="12">
      <c r="B66" s="13" t="s">
        <v>143</v>
      </c>
      <c r="C66" s="16" t="s">
        <v>145</v>
      </c>
      <c r="D66" s="17" t="s">
        <v>122</v>
      </c>
      <c r="E66" s="7">
        <v>1050</v>
      </c>
      <c r="F66" s="7">
        <v>2300</v>
      </c>
      <c r="G66" s="7">
        <v>1230</v>
      </c>
      <c r="H66" s="7">
        <v>2480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13" t="s">
        <v>146</v>
      </c>
      <c r="T66" s="7"/>
      <c r="U66" s="12" t="s">
        <v>1</v>
      </c>
      <c r="W66" s="13" t="s">
        <v>147</v>
      </c>
      <c r="AA66" s="13" t="s">
        <v>148</v>
      </c>
      <c r="AC66" s="1" t="s">
        <v>131</v>
      </c>
      <c r="AK66" s="2" t="s">
        <v>1</v>
      </c>
    </row>
    <row r="67" spans="2:37" ht="12">
      <c r="B67" s="13" t="s">
        <v>143</v>
      </c>
      <c r="C67" s="13" t="s">
        <v>149</v>
      </c>
      <c r="D67" s="17" t="s">
        <v>122</v>
      </c>
      <c r="E67" s="7">
        <v>1200</v>
      </c>
      <c r="F67" s="7">
        <v>3020</v>
      </c>
      <c r="G67" s="7">
        <v>1580</v>
      </c>
      <c r="H67" s="7">
        <v>3400</v>
      </c>
      <c r="I67" s="7">
        <v>1580</v>
      </c>
      <c r="J67" s="7">
        <v>3400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12" t="s">
        <v>1</v>
      </c>
      <c r="W67" s="1" t="s">
        <v>150</v>
      </c>
      <c r="X67" s="1" t="s">
        <v>151</v>
      </c>
      <c r="Y67" s="1" t="s">
        <v>150</v>
      </c>
      <c r="Z67" s="1" t="s">
        <v>151</v>
      </c>
      <c r="AA67" s="1" t="s">
        <v>150</v>
      </c>
      <c r="AB67" s="1" t="s">
        <v>151</v>
      </c>
      <c r="AC67" s="1" t="s">
        <v>150</v>
      </c>
      <c r="AD67" s="1" t="s">
        <v>151</v>
      </c>
      <c r="AK67" s="2" t="s">
        <v>1</v>
      </c>
    </row>
    <row r="68" spans="2:37" ht="12">
      <c r="B68" s="13" t="s">
        <v>143</v>
      </c>
      <c r="C68" s="13" t="s">
        <v>152</v>
      </c>
      <c r="D68" s="17" t="s">
        <v>122</v>
      </c>
      <c r="E68" s="7">
        <v>1080</v>
      </c>
      <c r="F68" s="7">
        <v>3130</v>
      </c>
      <c r="G68" s="7">
        <v>1980</v>
      </c>
      <c r="H68" s="7">
        <v>2130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12" t="s">
        <v>1</v>
      </c>
      <c r="W68" s="1" t="s">
        <v>153</v>
      </c>
      <c r="X68" s="1" t="s">
        <v>153</v>
      </c>
      <c r="Y68" s="1" t="s">
        <v>154</v>
      </c>
      <c r="Z68" s="1" t="s">
        <v>154</v>
      </c>
      <c r="AA68" s="1" t="s">
        <v>153</v>
      </c>
      <c r="AB68" s="1" t="s">
        <v>153</v>
      </c>
      <c r="AC68" s="1" t="s">
        <v>154</v>
      </c>
      <c r="AD68" s="1" t="s">
        <v>154</v>
      </c>
      <c r="AK68" s="2" t="s">
        <v>1</v>
      </c>
    </row>
    <row r="69" spans="2:37" ht="12">
      <c r="B69" s="13" t="s">
        <v>143</v>
      </c>
      <c r="C69" s="13" t="s">
        <v>155</v>
      </c>
      <c r="D69" s="11" t="s">
        <v>125</v>
      </c>
      <c r="E69" s="7">
        <v>1050</v>
      </c>
      <c r="F69" s="7">
        <v>2150</v>
      </c>
      <c r="G69" s="7">
        <v>1192</v>
      </c>
      <c r="H69" s="7">
        <v>2344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12" t="s">
        <v>1</v>
      </c>
      <c r="W69" s="8"/>
      <c r="AA69" s="8"/>
      <c r="AK69" s="2" t="s">
        <v>1</v>
      </c>
    </row>
    <row r="70" spans="2:37" ht="12">
      <c r="B70" s="13" t="s">
        <v>143</v>
      </c>
      <c r="C70" s="13" t="s">
        <v>156</v>
      </c>
      <c r="D70" s="11" t="s">
        <v>125</v>
      </c>
      <c r="E70" s="7">
        <v>1090</v>
      </c>
      <c r="F70" s="7">
        <v>2100</v>
      </c>
      <c r="G70" s="7">
        <v>1344</v>
      </c>
      <c r="H70" s="7">
        <v>2688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12" t="s">
        <v>1</v>
      </c>
      <c r="W70" s="8">
        <f>DAVERAGE(B46:T597,4,W57:W58)</f>
        <v>1332.6521739130435</v>
      </c>
      <c r="X70" s="3">
        <f>DAVERAGE(B46:T597,6,W57:W58)</f>
        <v>1418.3478260869565</v>
      </c>
      <c r="Y70" s="3">
        <f>DAVERAGE(B46:T597,5,W57:W58)</f>
        <v>3968.1304347826085</v>
      </c>
      <c r="Z70" s="3">
        <f>DAVERAGE(B46:T597,7,W57:W58)</f>
        <v>4008.5652173913045</v>
      </c>
      <c r="AA70" s="8">
        <f>AN19</f>
        <v>1385</v>
      </c>
      <c r="AB70" s="3">
        <v>1426</v>
      </c>
      <c r="AC70" s="3">
        <v>4008</v>
      </c>
      <c r="AD70" s="3">
        <v>3969</v>
      </c>
      <c r="AK70" s="2" t="s">
        <v>1</v>
      </c>
    </row>
    <row r="71" spans="2:37" ht="12">
      <c r="B71" s="13" t="s">
        <v>143</v>
      </c>
      <c r="C71" s="13" t="s">
        <v>157</v>
      </c>
      <c r="D71" s="11" t="s">
        <v>125</v>
      </c>
      <c r="E71" s="7">
        <v>1060</v>
      </c>
      <c r="F71" s="7">
        <v>1700</v>
      </c>
      <c r="G71" s="7">
        <v>1844</v>
      </c>
      <c r="H71" s="7">
        <v>1892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12" t="s">
        <v>1</v>
      </c>
      <c r="V71" s="1" t="s">
        <v>158</v>
      </c>
      <c r="W71" s="8">
        <f>DAVERAGE(B46:T597,4,X57:X58)</f>
        <v>1518.388888888889</v>
      </c>
      <c r="X71" s="3">
        <f>DAVERAGE(B46:T597,6,X57:X58)</f>
        <v>1556.9444444444443</v>
      </c>
      <c r="Y71" s="3">
        <f>DAVERAGE(B46:T597,5,X57:X58)</f>
        <v>4209.5</v>
      </c>
      <c r="Z71" s="3">
        <f>DAVERAGE(B46:T597,7,X57:X58)</f>
        <v>3972.9444444444443</v>
      </c>
      <c r="AA71" s="8">
        <f>AP19</f>
        <v>1504.5</v>
      </c>
      <c r="AB71" s="3">
        <v>1574.5</v>
      </c>
      <c r="AC71" s="3">
        <v>4005</v>
      </c>
      <c r="AD71" s="3">
        <v>3439</v>
      </c>
      <c r="AK71" s="2" t="s">
        <v>1</v>
      </c>
    </row>
    <row r="72" spans="2:37" ht="12">
      <c r="B72" s="13" t="s">
        <v>143</v>
      </c>
      <c r="C72" s="13" t="s">
        <v>159</v>
      </c>
      <c r="D72" s="11" t="s">
        <v>131</v>
      </c>
      <c r="E72" s="7">
        <v>1100</v>
      </c>
      <c r="F72" s="7">
        <v>1440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12" t="s">
        <v>1</v>
      </c>
      <c r="W72" s="8">
        <f>DAVERAGE(B46:T597,4,Y57:Y58)</f>
        <v>1292.344827586207</v>
      </c>
      <c r="X72" s="3">
        <f>DAVERAGE(B46:T597,6,Y57:Y58)</f>
        <v>1379.5862068965516</v>
      </c>
      <c r="Y72" s="3">
        <f>DAVERAGE(B46:T597,5,Y57:Y58)</f>
        <v>3537.9310344827586</v>
      </c>
      <c r="Z72" s="3">
        <f>DAVERAGE(B46:T597,7,Y57:Y58)</f>
        <v>3371.6206896551726</v>
      </c>
      <c r="AA72" s="8">
        <f>AR19</f>
        <v>1388.5</v>
      </c>
      <c r="AB72" s="3">
        <v>1448</v>
      </c>
      <c r="AC72" s="3">
        <v>3742</v>
      </c>
      <c r="AD72" s="3">
        <v>3204</v>
      </c>
      <c r="AK72" s="2" t="s">
        <v>1</v>
      </c>
    </row>
    <row r="73" spans="2:37" ht="12">
      <c r="B73" s="13" t="s">
        <v>143</v>
      </c>
      <c r="C73" s="13" t="s">
        <v>160</v>
      </c>
      <c r="D73" s="11" t="s">
        <v>131</v>
      </c>
      <c r="E73" s="7">
        <v>1060</v>
      </c>
      <c r="F73" s="7">
        <v>2500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12" t="s">
        <v>1</v>
      </c>
      <c r="W73" s="8"/>
      <c r="AA73" s="8"/>
      <c r="AK73" s="2" t="s">
        <v>1</v>
      </c>
    </row>
    <row r="74" spans="2:37" ht="12">
      <c r="B74" s="13" t="s">
        <v>143</v>
      </c>
      <c r="C74" s="13" t="s">
        <v>161</v>
      </c>
      <c r="D74" s="11" t="s">
        <v>133</v>
      </c>
      <c r="E74" s="7">
        <v>772</v>
      </c>
      <c r="F74" s="7">
        <v>1290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12" t="s">
        <v>1</v>
      </c>
      <c r="W74" s="8">
        <f>DAVERAGE(B46:T597,4,Z57:Z58)</f>
        <v>1038.5666666666666</v>
      </c>
      <c r="X74" s="3">
        <f>DAVERAGE(B46:T597,6,Z57:Z58)</f>
        <v>1069.4333333333334</v>
      </c>
      <c r="Y74" s="3">
        <f>DAVERAGE(B46:T597,5,Z57:Z58)</f>
        <v>3615.9333333333334</v>
      </c>
      <c r="Z74" s="3">
        <f>DAVERAGE(B46:T597,7,Z57:Z58)</f>
        <v>3320.3</v>
      </c>
      <c r="AA74" s="8">
        <f>AT19</f>
        <v>1093.5</v>
      </c>
      <c r="AB74" s="3">
        <v>886</v>
      </c>
      <c r="AC74" s="3">
        <v>3955</v>
      </c>
      <c r="AD74" s="3">
        <v>3232.5</v>
      </c>
      <c r="AK74" s="2" t="s">
        <v>1</v>
      </c>
    </row>
    <row r="75" spans="2:37" ht="12">
      <c r="B75" s="13" t="s">
        <v>143</v>
      </c>
      <c r="C75" s="13" t="s">
        <v>162</v>
      </c>
      <c r="D75" s="11" t="s">
        <v>133</v>
      </c>
      <c r="E75" s="7">
        <v>504</v>
      </c>
      <c r="F75" s="7">
        <v>840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12" t="s">
        <v>1</v>
      </c>
      <c r="V75" s="1" t="s">
        <v>163</v>
      </c>
      <c r="W75" s="8">
        <f>DAVERAGE(B46:T597,4,AA57:AA58)</f>
        <v>1302.7042253521126</v>
      </c>
      <c r="X75" s="3">
        <f>DAVERAGE(B46:T597,6,AA57:AA58)</f>
        <v>1348.5774647887324</v>
      </c>
      <c r="Y75" s="3">
        <f>DAVERAGE(B46:T597,5,AA57:AA58)</f>
        <v>3059.478873239437</v>
      </c>
      <c r="Z75" s="3">
        <f>DAVERAGE(B46:T597,7,AA57:AA58)</f>
        <v>2856.281690140845</v>
      </c>
      <c r="AA75" s="8">
        <f>AV19</f>
        <v>1134.75</v>
      </c>
      <c r="AB75" s="3">
        <v>1296</v>
      </c>
      <c r="AC75" s="3">
        <v>3110</v>
      </c>
      <c r="AD75" s="3">
        <v>2770</v>
      </c>
      <c r="AK75" s="2" t="s">
        <v>1</v>
      </c>
    </row>
    <row r="76" spans="2:37" ht="12">
      <c r="B76" s="13" t="s">
        <v>143</v>
      </c>
      <c r="C76" s="13" t="s">
        <v>164</v>
      </c>
      <c r="D76" s="11" t="s">
        <v>133</v>
      </c>
      <c r="E76" s="7">
        <v>552</v>
      </c>
      <c r="F76" s="7">
        <v>1704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12" t="s">
        <v>1</v>
      </c>
      <c r="W76" s="8">
        <f>DAVERAGE(B46:T597,4,AB57:AB58)</f>
        <v>1067.3103448275863</v>
      </c>
      <c r="Y76" s="3">
        <f>DAVERAGE(B46:T597,5,AB57:AB58)</f>
        <v>2942.0344827586205</v>
      </c>
      <c r="AA76" s="8">
        <f>AX19</f>
        <v>1080</v>
      </c>
      <c r="AC76" s="3">
        <v>2500</v>
      </c>
      <c r="AK76" s="2" t="s">
        <v>1</v>
      </c>
    </row>
    <row r="77" spans="2:37" ht="12">
      <c r="B77" s="13" t="s">
        <v>143</v>
      </c>
      <c r="C77" s="13" t="s">
        <v>165</v>
      </c>
      <c r="D77" s="11" t="s">
        <v>133</v>
      </c>
      <c r="E77" s="7">
        <v>552</v>
      </c>
      <c r="F77" s="7">
        <v>1704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12" t="s">
        <v>1</v>
      </c>
      <c r="W77" s="8"/>
      <c r="AA77" s="8"/>
      <c r="AK77" s="2" t="s">
        <v>1</v>
      </c>
    </row>
    <row r="78" spans="2:37" ht="12">
      <c r="B78" s="13" t="s">
        <v>143</v>
      </c>
      <c r="C78" s="13" t="s">
        <v>166</v>
      </c>
      <c r="D78" s="11" t="s">
        <v>133</v>
      </c>
      <c r="E78" s="7">
        <v>468</v>
      </c>
      <c r="F78" s="7">
        <v>972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12" t="s">
        <v>1</v>
      </c>
      <c r="W78" s="8">
        <f>DAVERAGE(B46:T597,4,AC57:AC58)</f>
        <v>805.5833333333334</v>
      </c>
      <c r="Y78" s="3">
        <f>DAVERAGE(B46:T597,5,AC57:AC58)</f>
        <v>2151.527777777778</v>
      </c>
      <c r="AA78" s="8">
        <f>BE19</f>
        <v>886.5</v>
      </c>
      <c r="AC78" s="3">
        <v>2311</v>
      </c>
      <c r="AK78" s="2" t="s">
        <v>1</v>
      </c>
    </row>
    <row r="79" spans="2:37" ht="12">
      <c r="B79" s="13" t="s">
        <v>143</v>
      </c>
      <c r="C79" s="13" t="s">
        <v>167</v>
      </c>
      <c r="D79" s="11" t="s">
        <v>133</v>
      </c>
      <c r="E79" s="7">
        <v>528</v>
      </c>
      <c r="F79" s="7">
        <v>984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12" t="s">
        <v>1</v>
      </c>
      <c r="V79" s="1" t="s">
        <v>168</v>
      </c>
      <c r="W79" s="8">
        <f>DAVERAGE(B46:T597,4,AD57:AD58)</f>
        <v>470.52574468085106</v>
      </c>
      <c r="Y79" s="3">
        <f>DAVERAGE(B46:T597,5,AD57:AD58)</f>
        <v>1723.6244680851064</v>
      </c>
      <c r="AA79" s="8">
        <f>BG19</f>
        <v>602.5</v>
      </c>
      <c r="AC79" s="3">
        <f>IF(MOD(COUNT(F289:F525),2)=0,(INDEX(F289:F525,COUNT(F289:F525)/2+1,1)+INDEX(F289:F525,COUNT(F289:F525)/2,1))/2,INDEX(F289:F525,TRUNC(COUNT(F289:F525)/2)+1,1))</f>
        <v>1709.5</v>
      </c>
      <c r="AK79" s="2" t="s">
        <v>1</v>
      </c>
    </row>
    <row r="80" spans="2:37" ht="12">
      <c r="B80" s="13" t="s">
        <v>143</v>
      </c>
      <c r="C80" s="13" t="s">
        <v>169</v>
      </c>
      <c r="D80" s="11" t="s">
        <v>133</v>
      </c>
      <c r="E80" s="7">
        <v>580</v>
      </c>
      <c r="F80" s="7">
        <v>1822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12" t="s">
        <v>1</v>
      </c>
      <c r="W80" s="8">
        <f>DAVERAGE(B46:T597,4,AE57:AE58)</f>
        <v>657</v>
      </c>
      <c r="Y80" s="3">
        <f>DAVERAGE(B46:T597,5,AE57:AE58)</f>
        <v>4261.8</v>
      </c>
      <c r="AA80" s="8">
        <f>BI19</f>
        <v>693</v>
      </c>
      <c r="AC80" s="3">
        <v>4290</v>
      </c>
      <c r="AK80" s="2" t="s">
        <v>1</v>
      </c>
    </row>
    <row r="81" spans="2:37" ht="12">
      <c r="B81" s="13" t="s">
        <v>143</v>
      </c>
      <c r="C81" s="13" t="s">
        <v>170</v>
      </c>
      <c r="D81" s="11" t="s">
        <v>133</v>
      </c>
      <c r="E81" s="7">
        <v>720</v>
      </c>
      <c r="F81" s="7">
        <v>1080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12" t="s">
        <v>1</v>
      </c>
      <c r="W81" s="8">
        <f>DAVERAGE(B46:T597,4,AF57:AF58)</f>
        <v>201.8125</v>
      </c>
      <c r="Y81" s="3">
        <f>DAVERAGE(B46:T597,5,AF57:AF58)</f>
        <v>295.7142857142857</v>
      </c>
      <c r="AA81" s="8">
        <f>BK19</f>
        <v>170.5</v>
      </c>
      <c r="AC81" s="3">
        <v>960</v>
      </c>
      <c r="AK81" s="2" t="s">
        <v>1</v>
      </c>
    </row>
    <row r="82" spans="2:37" ht="12">
      <c r="B82" s="13" t="s">
        <v>143</v>
      </c>
      <c r="C82" s="13" t="s">
        <v>171</v>
      </c>
      <c r="D82" s="11" t="s">
        <v>133</v>
      </c>
      <c r="E82" s="7">
        <v>720</v>
      </c>
      <c r="F82" s="7">
        <v>1080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12" t="s">
        <v>1</v>
      </c>
      <c r="W82" s="8"/>
      <c r="AA82" s="8"/>
      <c r="AK82" s="2" t="s">
        <v>1</v>
      </c>
    </row>
    <row r="83" spans="2:37" ht="12">
      <c r="B83" s="13" t="s">
        <v>143</v>
      </c>
      <c r="C83" s="13" t="s">
        <v>172</v>
      </c>
      <c r="D83" s="11" t="s">
        <v>133</v>
      </c>
      <c r="E83" s="7">
        <v>600</v>
      </c>
      <c r="F83" s="7">
        <v>720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12" t="s">
        <v>1</v>
      </c>
      <c r="V83" s="1" t="s">
        <v>173</v>
      </c>
      <c r="W83" s="8">
        <f>DAVERAGE(B46:T597,4,AG57:AG58)</f>
        <v>825.0649700598802</v>
      </c>
      <c r="X83" s="3">
        <f>DAVERAGE(B46:T597,6,AG57:AG58)</f>
        <v>1330.7912087912089</v>
      </c>
      <c r="Y83" s="3">
        <f>DAVERAGE(B46:T597,5,AG57:AG58)</f>
        <v>2323.8534644194756</v>
      </c>
      <c r="Z83" s="3">
        <f>DAVERAGE(B46:T597,7,AG57:AG58)</f>
        <v>3329.657458563536</v>
      </c>
      <c r="AA83" s="8"/>
      <c r="AK83" s="2" t="s">
        <v>1</v>
      </c>
    </row>
    <row r="84" spans="2:37" ht="12">
      <c r="B84" s="13" t="s">
        <v>143</v>
      </c>
      <c r="C84" s="13" t="s">
        <v>174</v>
      </c>
      <c r="D84" s="11" t="s">
        <v>175</v>
      </c>
      <c r="E84" s="7">
        <v>1200</v>
      </c>
      <c r="F84" s="7">
        <v>3020</v>
      </c>
      <c r="G84" s="7">
        <v>1580</v>
      </c>
      <c r="H84" s="7">
        <v>3400</v>
      </c>
      <c r="I84" s="7"/>
      <c r="J84" s="7"/>
      <c r="K84" s="7">
        <v>5040</v>
      </c>
      <c r="L84" s="7">
        <v>10080</v>
      </c>
      <c r="M84" s="7"/>
      <c r="N84" s="7"/>
      <c r="O84" s="7"/>
      <c r="P84" s="7"/>
      <c r="Q84" s="7"/>
      <c r="R84" s="7"/>
      <c r="S84" s="7">
        <v>1920</v>
      </c>
      <c r="T84" s="7">
        <v>3840</v>
      </c>
      <c r="U84" s="12" t="s">
        <v>1</v>
      </c>
      <c r="AA84" s="8"/>
      <c r="AK84" s="2" t="s">
        <v>1</v>
      </c>
    </row>
    <row r="85" spans="1:37" ht="12">
      <c r="A85" s="1" t="s">
        <v>102</v>
      </c>
      <c r="B85" s="13" t="s">
        <v>176</v>
      </c>
      <c r="C85" s="16" t="s">
        <v>177</v>
      </c>
      <c r="D85" s="11" t="s">
        <v>105</v>
      </c>
      <c r="E85" s="14">
        <v>1110</v>
      </c>
      <c r="F85" s="14">
        <v>3662</v>
      </c>
      <c r="G85" s="14">
        <v>1552</v>
      </c>
      <c r="H85" s="14">
        <v>4550</v>
      </c>
      <c r="I85" s="14">
        <v>1552</v>
      </c>
      <c r="J85" s="14">
        <v>4550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12" t="s">
        <v>1</v>
      </c>
      <c r="V85" s="1" t="s">
        <v>178</v>
      </c>
      <c r="AB85" s="1" t="s">
        <v>179</v>
      </c>
      <c r="AK85" s="2" t="s">
        <v>1</v>
      </c>
    </row>
    <row r="86" spans="2:37" ht="12">
      <c r="B86" s="13" t="s">
        <v>176</v>
      </c>
      <c r="C86" s="13" t="s">
        <v>180</v>
      </c>
      <c r="D86" s="11" t="s">
        <v>105</v>
      </c>
      <c r="E86" s="14">
        <v>1108</v>
      </c>
      <c r="F86" s="14">
        <v>3660</v>
      </c>
      <c r="G86" s="14">
        <v>1550</v>
      </c>
      <c r="H86" s="14">
        <v>4549</v>
      </c>
      <c r="I86" s="14">
        <v>1550</v>
      </c>
      <c r="J86" s="14">
        <v>4549</v>
      </c>
      <c r="K86" s="14">
        <v>4693</v>
      </c>
      <c r="L86" s="14">
        <v>11392</v>
      </c>
      <c r="M86" s="14">
        <v>4693</v>
      </c>
      <c r="N86" s="14">
        <v>11392</v>
      </c>
      <c r="O86" s="7"/>
      <c r="P86" s="7"/>
      <c r="Q86" s="14">
        <v>4693</v>
      </c>
      <c r="R86" s="14">
        <v>11392</v>
      </c>
      <c r="S86" s="14">
        <v>1550</v>
      </c>
      <c r="T86" s="14">
        <v>4549</v>
      </c>
      <c r="U86" s="12" t="s">
        <v>1</v>
      </c>
      <c r="W86" s="1" t="s">
        <v>158</v>
      </c>
      <c r="X86" s="1" t="s">
        <v>110</v>
      </c>
      <c r="Y86" s="1" t="s">
        <v>181</v>
      </c>
      <c r="Z86" s="6" t="s">
        <v>182</v>
      </c>
      <c r="AB86" s="1" t="s">
        <v>158</v>
      </c>
      <c r="AC86" s="1" t="s">
        <v>110</v>
      </c>
      <c r="AD86" s="1" t="s">
        <v>181</v>
      </c>
      <c r="AK86" s="2" t="s">
        <v>1</v>
      </c>
    </row>
    <row r="87" spans="2:37" ht="12">
      <c r="B87" s="13" t="s">
        <v>176</v>
      </c>
      <c r="C87" s="13" t="s">
        <v>183</v>
      </c>
      <c r="D87" s="11" t="s">
        <v>108</v>
      </c>
      <c r="E87" s="14">
        <v>1126</v>
      </c>
      <c r="F87" s="14">
        <v>3630</v>
      </c>
      <c r="G87" s="14">
        <v>1577</v>
      </c>
      <c r="H87" s="14">
        <v>4576</v>
      </c>
      <c r="I87" s="7"/>
      <c r="J87" s="7"/>
      <c r="K87" s="14">
        <v>4680</v>
      </c>
      <c r="L87" s="14">
        <v>11379</v>
      </c>
      <c r="M87" s="7"/>
      <c r="N87" s="7"/>
      <c r="O87" s="7"/>
      <c r="P87" s="7"/>
      <c r="Q87" s="7"/>
      <c r="R87" s="7"/>
      <c r="S87" s="7"/>
      <c r="T87" s="7"/>
      <c r="U87" s="12" t="s">
        <v>1</v>
      </c>
      <c r="AK87" s="2" t="s">
        <v>1</v>
      </c>
    </row>
    <row r="88" spans="2:37" ht="12">
      <c r="B88" s="13" t="s">
        <v>176</v>
      </c>
      <c r="C88" s="16" t="s">
        <v>184</v>
      </c>
      <c r="D88" s="11" t="s">
        <v>118</v>
      </c>
      <c r="E88" s="14">
        <v>1173</v>
      </c>
      <c r="F88" s="14">
        <v>3788</v>
      </c>
      <c r="G88" s="14">
        <v>1214</v>
      </c>
      <c r="H88" s="14">
        <v>3463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12" t="s">
        <v>1</v>
      </c>
      <c r="AB88" s="18"/>
      <c r="AC88" s="18"/>
      <c r="AD88" s="18"/>
      <c r="AK88" s="2" t="s">
        <v>1</v>
      </c>
    </row>
    <row r="89" spans="2:37" ht="12">
      <c r="B89" s="13" t="s">
        <v>176</v>
      </c>
      <c r="C89" s="16" t="s">
        <v>185</v>
      </c>
      <c r="D89" s="11" t="s">
        <v>118</v>
      </c>
      <c r="E89" s="14">
        <v>1080</v>
      </c>
      <c r="F89" s="14">
        <v>3631</v>
      </c>
      <c r="G89" s="14">
        <v>1540</v>
      </c>
      <c r="H89" s="14">
        <v>4539</v>
      </c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12" t="s">
        <v>1</v>
      </c>
      <c r="V89" s="1" t="s">
        <v>103</v>
      </c>
      <c r="W89" s="3">
        <v>1572</v>
      </c>
      <c r="X89" s="3">
        <v>1110</v>
      </c>
      <c r="Y89" s="3">
        <v>600</v>
      </c>
      <c r="Z89" s="3">
        <v>11336</v>
      </c>
      <c r="AA89" s="1" t="s">
        <v>103</v>
      </c>
      <c r="AB89" s="18">
        <f aca="true" t="shared" si="0" ref="AB89:AB103">(W89/Z89)</f>
        <v>0.13867325335215244</v>
      </c>
      <c r="AC89" s="18">
        <f aca="true" t="shared" si="1" ref="AC89:AC103">X89/Z89</f>
        <v>0.0979181369089626</v>
      </c>
      <c r="AD89" s="18">
        <f aca="true" t="shared" si="2" ref="AD89:AD103">Y89/Z89</f>
        <v>0.0529287226534933</v>
      </c>
      <c r="AK89" s="2" t="s">
        <v>1</v>
      </c>
    </row>
    <row r="90" spans="2:37" ht="12">
      <c r="B90" s="13" t="s">
        <v>176</v>
      </c>
      <c r="C90" s="16" t="s">
        <v>186</v>
      </c>
      <c r="D90" s="11" t="s">
        <v>118</v>
      </c>
      <c r="E90" s="14">
        <v>1096</v>
      </c>
      <c r="F90" s="14">
        <v>3710</v>
      </c>
      <c r="G90" s="14">
        <v>1548</v>
      </c>
      <c r="H90" s="14">
        <v>4547</v>
      </c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12" t="s">
        <v>1</v>
      </c>
      <c r="V90" s="1" t="s">
        <v>143</v>
      </c>
      <c r="W90" s="3">
        <v>1230</v>
      </c>
      <c r="X90" s="3">
        <v>1070</v>
      </c>
      <c r="Y90" s="3">
        <v>566</v>
      </c>
      <c r="Z90" s="3">
        <v>11073</v>
      </c>
      <c r="AA90" s="1" t="s">
        <v>143</v>
      </c>
      <c r="AB90" s="18">
        <f t="shared" si="0"/>
        <v>0.11108100785694934</v>
      </c>
      <c r="AC90" s="18">
        <f t="shared" si="1"/>
        <v>0.0966314458592974</v>
      </c>
      <c r="AD90" s="18">
        <f t="shared" si="2"/>
        <v>0.05111532556669376</v>
      </c>
      <c r="AK90" s="2" t="s">
        <v>1</v>
      </c>
    </row>
    <row r="91" spans="2:37" ht="12">
      <c r="B91" s="13" t="s">
        <v>176</v>
      </c>
      <c r="C91" s="16" t="s">
        <v>187</v>
      </c>
      <c r="D91" s="17" t="s">
        <v>122</v>
      </c>
      <c r="E91" s="14">
        <v>1102</v>
      </c>
      <c r="F91" s="14">
        <v>3717</v>
      </c>
      <c r="G91" s="14">
        <v>1537</v>
      </c>
      <c r="H91" s="14">
        <v>4536</v>
      </c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12" t="s">
        <v>1</v>
      </c>
      <c r="V91" s="1" t="s">
        <v>176</v>
      </c>
      <c r="W91" s="3">
        <v>1109</v>
      </c>
      <c r="X91" s="3">
        <v>1129</v>
      </c>
      <c r="Y91" s="3">
        <v>303.6</v>
      </c>
      <c r="Z91" s="3">
        <v>14646</v>
      </c>
      <c r="AA91" s="1" t="s">
        <v>176</v>
      </c>
      <c r="AB91" s="18">
        <f t="shared" si="0"/>
        <v>0.07572033319677728</v>
      </c>
      <c r="AC91" s="18">
        <f t="shared" si="1"/>
        <v>0.07708589375938824</v>
      </c>
      <c r="AD91" s="18">
        <f t="shared" si="2"/>
        <v>0.02072920934043425</v>
      </c>
      <c r="AK91" s="2" t="s">
        <v>1</v>
      </c>
    </row>
    <row r="92" spans="2:37" ht="12">
      <c r="B92" s="13" t="s">
        <v>176</v>
      </c>
      <c r="C92" s="16" t="s">
        <v>188</v>
      </c>
      <c r="D92" s="11" t="s">
        <v>125</v>
      </c>
      <c r="E92" s="14">
        <v>1170</v>
      </c>
      <c r="F92" s="14">
        <v>3784</v>
      </c>
      <c r="G92" s="14">
        <v>1605</v>
      </c>
      <c r="H92" s="14">
        <v>4604</v>
      </c>
      <c r="I92" s="7"/>
      <c r="J92" s="7"/>
      <c r="K92" s="7"/>
      <c r="L92" s="7"/>
      <c r="M92" s="7"/>
      <c r="N92" s="7"/>
      <c r="O92" s="7"/>
      <c r="P92" s="7"/>
      <c r="Q92" s="7"/>
      <c r="R92" s="7"/>
      <c r="S92" s="14">
        <v>1605</v>
      </c>
      <c r="T92" s="14">
        <v>4604</v>
      </c>
      <c r="U92" s="12" t="s">
        <v>1</v>
      </c>
      <c r="V92" s="1" t="s">
        <v>189</v>
      </c>
      <c r="W92" s="3">
        <v>1770</v>
      </c>
      <c r="X92" s="3">
        <v>1338</v>
      </c>
      <c r="Y92" s="3">
        <v>879</v>
      </c>
      <c r="Z92" s="3">
        <v>13446</v>
      </c>
      <c r="AA92" s="1" t="s">
        <v>189</v>
      </c>
      <c r="AB92" s="18">
        <f t="shared" si="0"/>
        <v>0.13163766175814368</v>
      </c>
      <c r="AC92" s="18">
        <f t="shared" si="1"/>
        <v>0.0995091477019188</v>
      </c>
      <c r="AD92" s="18">
        <f t="shared" si="2"/>
        <v>0.06537260151717983</v>
      </c>
      <c r="AK92" s="2" t="s">
        <v>1</v>
      </c>
    </row>
    <row r="93" spans="2:37" ht="12">
      <c r="B93" s="13" t="s">
        <v>176</v>
      </c>
      <c r="C93" s="16" t="s">
        <v>190</v>
      </c>
      <c r="D93" s="11" t="s">
        <v>125</v>
      </c>
      <c r="E93" s="14">
        <v>1129</v>
      </c>
      <c r="F93" s="14">
        <v>3725</v>
      </c>
      <c r="G93" s="14">
        <v>1544</v>
      </c>
      <c r="H93" s="14">
        <v>4542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12" t="s">
        <v>1</v>
      </c>
      <c r="V93" s="1" t="s">
        <v>191</v>
      </c>
      <c r="W93" s="3">
        <v>1420</v>
      </c>
      <c r="X93" s="3">
        <v>1090</v>
      </c>
      <c r="Y93" s="3">
        <v>368</v>
      </c>
      <c r="Z93" s="3">
        <v>11238</v>
      </c>
      <c r="AA93" s="1" t="s">
        <v>191</v>
      </c>
      <c r="AB93" s="18">
        <f t="shared" si="0"/>
        <v>0.12635700302544936</v>
      </c>
      <c r="AC93" s="18">
        <f t="shared" si="1"/>
        <v>0.09699234739277451</v>
      </c>
      <c r="AD93" s="18">
        <f t="shared" si="2"/>
        <v>0.03274604022067984</v>
      </c>
      <c r="AK93" s="2" t="s">
        <v>1</v>
      </c>
    </row>
    <row r="94" spans="2:37" ht="12">
      <c r="B94" s="13" t="s">
        <v>176</v>
      </c>
      <c r="C94" s="16" t="s">
        <v>192</v>
      </c>
      <c r="D94" s="11" t="s">
        <v>133</v>
      </c>
      <c r="E94" s="14">
        <f>21*30</f>
        <v>630</v>
      </c>
      <c r="F94" s="14">
        <f>43*30</f>
        <v>1290</v>
      </c>
      <c r="G94" s="7"/>
      <c r="H94" s="7"/>
      <c r="I94" s="7"/>
      <c r="J94" s="7"/>
      <c r="K94" s="14"/>
      <c r="L94" s="7"/>
      <c r="M94" s="7"/>
      <c r="N94" s="14"/>
      <c r="O94" s="7"/>
      <c r="P94" s="7"/>
      <c r="Q94" s="7"/>
      <c r="R94" s="7"/>
      <c r="S94" s="7"/>
      <c r="T94" s="7"/>
      <c r="U94" s="12" t="s">
        <v>1</v>
      </c>
      <c r="V94" s="1" t="s">
        <v>193</v>
      </c>
      <c r="W94" s="3">
        <v>1381.5</v>
      </c>
      <c r="X94" s="3">
        <v>1238</v>
      </c>
      <c r="Y94" s="3">
        <v>694</v>
      </c>
      <c r="Z94" s="3">
        <v>11193</v>
      </c>
      <c r="AA94" s="1" t="s">
        <v>193</v>
      </c>
      <c r="AB94" s="18">
        <f t="shared" si="0"/>
        <v>0.12342535513267221</v>
      </c>
      <c r="AC94" s="18">
        <f t="shared" si="1"/>
        <v>0.11060484231215939</v>
      </c>
      <c r="AD94" s="18">
        <f t="shared" si="2"/>
        <v>0.06200303761279371</v>
      </c>
      <c r="AK94" s="2" t="s">
        <v>1</v>
      </c>
    </row>
    <row r="95" spans="2:37" ht="12">
      <c r="B95" s="13" t="s">
        <v>176</v>
      </c>
      <c r="C95" s="16" t="s">
        <v>194</v>
      </c>
      <c r="D95" s="11" t="s">
        <v>133</v>
      </c>
      <c r="E95" s="14">
        <f>20*30</f>
        <v>600</v>
      </c>
      <c r="F95" s="14">
        <f>43*30</f>
        <v>1290</v>
      </c>
      <c r="G95" s="7"/>
      <c r="H95" s="7"/>
      <c r="I95" s="7"/>
      <c r="J95" s="7"/>
      <c r="K95" s="14"/>
      <c r="L95" s="7"/>
      <c r="M95" s="7"/>
      <c r="N95" s="14"/>
      <c r="O95" s="7"/>
      <c r="P95" s="7"/>
      <c r="Q95" s="7"/>
      <c r="R95" s="7"/>
      <c r="S95" s="7"/>
      <c r="T95" s="7"/>
      <c r="U95" s="12" t="s">
        <v>1</v>
      </c>
      <c r="V95" s="1" t="s">
        <v>195</v>
      </c>
      <c r="W95" s="3">
        <v>1712</v>
      </c>
      <c r="X95" s="3">
        <v>1710</v>
      </c>
      <c r="Y95" s="3">
        <v>900</v>
      </c>
      <c r="Z95" s="3">
        <v>16864</v>
      </c>
      <c r="AA95" s="1" t="s">
        <v>195</v>
      </c>
      <c r="AB95" s="18">
        <f t="shared" si="0"/>
        <v>0.1015180265654649</v>
      </c>
      <c r="AC95" s="18">
        <f t="shared" si="1"/>
        <v>0.10139943074003795</v>
      </c>
      <c r="AD95" s="18">
        <f t="shared" si="2"/>
        <v>0.05336812144212524</v>
      </c>
      <c r="AK95" s="2" t="s">
        <v>1</v>
      </c>
    </row>
    <row r="96" spans="2:37" ht="12">
      <c r="B96" s="13" t="s">
        <v>176</v>
      </c>
      <c r="C96" s="16" t="s">
        <v>196</v>
      </c>
      <c r="D96" s="11" t="s">
        <v>133</v>
      </c>
      <c r="E96" s="14">
        <v>600</v>
      </c>
      <c r="F96" s="14">
        <v>1290</v>
      </c>
      <c r="G96" s="7"/>
      <c r="H96" s="7"/>
      <c r="I96" s="7"/>
      <c r="J96" s="7"/>
      <c r="K96" s="14"/>
      <c r="L96" s="7"/>
      <c r="M96" s="7"/>
      <c r="N96" s="14"/>
      <c r="O96" s="7"/>
      <c r="P96" s="7"/>
      <c r="Q96" s="7"/>
      <c r="R96" s="7"/>
      <c r="S96" s="7"/>
      <c r="T96" s="7"/>
      <c r="U96" s="12" t="s">
        <v>1</v>
      </c>
      <c r="V96" s="1" t="s">
        <v>197</v>
      </c>
      <c r="W96" s="3">
        <v>1684</v>
      </c>
      <c r="X96" s="3">
        <v>1580</v>
      </c>
      <c r="Y96" s="3">
        <v>600</v>
      </c>
      <c r="Z96" s="3">
        <v>9716</v>
      </c>
      <c r="AA96" s="1" t="s">
        <v>197</v>
      </c>
      <c r="AB96" s="18">
        <f t="shared" si="0"/>
        <v>0.17332235487855085</v>
      </c>
      <c r="AC96" s="18">
        <f t="shared" si="1"/>
        <v>0.16261836146562372</v>
      </c>
      <c r="AD96" s="18">
        <f t="shared" si="2"/>
        <v>0.06175380815150268</v>
      </c>
      <c r="AK96" s="2" t="s">
        <v>1</v>
      </c>
    </row>
    <row r="97" spans="2:37" ht="12">
      <c r="B97" s="13" t="s">
        <v>176</v>
      </c>
      <c r="C97" s="16" t="s">
        <v>198</v>
      </c>
      <c r="D97" s="11" t="s">
        <v>133</v>
      </c>
      <c r="E97" s="14">
        <f>19*30</f>
        <v>570</v>
      </c>
      <c r="F97" s="14">
        <f>40*30</f>
        <v>1200</v>
      </c>
      <c r="G97" s="7"/>
      <c r="H97" s="7"/>
      <c r="I97" s="7"/>
      <c r="J97" s="7"/>
      <c r="K97" s="14"/>
      <c r="L97" s="7"/>
      <c r="M97" s="7"/>
      <c r="N97" s="14"/>
      <c r="O97" s="7"/>
      <c r="P97" s="7"/>
      <c r="Q97" s="7"/>
      <c r="R97" s="7"/>
      <c r="S97" s="7"/>
      <c r="T97" s="7"/>
      <c r="U97" s="12" t="s">
        <v>1</v>
      </c>
      <c r="V97" s="1" t="s">
        <v>199</v>
      </c>
      <c r="W97" s="3">
        <v>870.5</v>
      </c>
      <c r="X97" s="3">
        <v>853</v>
      </c>
      <c r="Y97" s="3">
        <v>244.5</v>
      </c>
      <c r="Z97" s="3">
        <v>12438</v>
      </c>
      <c r="AA97" s="1" t="s">
        <v>199</v>
      </c>
      <c r="AB97" s="18">
        <f t="shared" si="0"/>
        <v>0.06998713619552983</v>
      </c>
      <c r="AC97" s="18">
        <f t="shared" si="1"/>
        <v>0.06858015758160475</v>
      </c>
      <c r="AD97" s="18">
        <f t="shared" si="2"/>
        <v>0.01965750120598167</v>
      </c>
      <c r="AK97" s="2" t="s">
        <v>1</v>
      </c>
    </row>
    <row r="98" spans="2:37" ht="12">
      <c r="B98" s="13" t="s">
        <v>176</v>
      </c>
      <c r="C98" s="16" t="s">
        <v>200</v>
      </c>
      <c r="D98" s="11" t="s">
        <v>133</v>
      </c>
      <c r="E98" s="14">
        <f>21*30</f>
        <v>630</v>
      </c>
      <c r="F98" s="14">
        <f>47*30</f>
        <v>1410</v>
      </c>
      <c r="G98" s="7"/>
      <c r="H98" s="7"/>
      <c r="I98" s="7"/>
      <c r="J98" s="7"/>
      <c r="K98" s="14"/>
      <c r="L98" s="7"/>
      <c r="M98" s="7"/>
      <c r="N98" s="14"/>
      <c r="O98" s="7"/>
      <c r="P98" s="7"/>
      <c r="Q98" s="7"/>
      <c r="R98" s="7"/>
      <c r="S98" s="7"/>
      <c r="T98" s="7"/>
      <c r="U98" s="12" t="s">
        <v>1</v>
      </c>
      <c r="V98" s="1" t="s">
        <v>201</v>
      </c>
      <c r="W98" s="3">
        <v>1061</v>
      </c>
      <c r="X98" s="3">
        <v>794.5</v>
      </c>
      <c r="Y98" s="3">
        <v>605</v>
      </c>
      <c r="Z98" s="3">
        <v>12283</v>
      </c>
      <c r="AA98" s="1" t="s">
        <v>201</v>
      </c>
      <c r="AB98" s="18">
        <f t="shared" si="0"/>
        <v>0.0863795489701213</v>
      </c>
      <c r="AC98" s="18">
        <f t="shared" si="1"/>
        <v>0.06468289505821054</v>
      </c>
      <c r="AD98" s="18">
        <f t="shared" si="2"/>
        <v>0.049255067980135146</v>
      </c>
      <c r="AK98" s="2" t="s">
        <v>1</v>
      </c>
    </row>
    <row r="99" spans="2:37" ht="12">
      <c r="B99" s="13" t="s">
        <v>176</v>
      </c>
      <c r="C99" s="13" t="s">
        <v>202</v>
      </c>
      <c r="D99" s="11" t="s">
        <v>133</v>
      </c>
      <c r="E99" s="14">
        <f>21*30</f>
        <v>630</v>
      </c>
      <c r="F99" s="14">
        <f>50*30</f>
        <v>1500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12" t="s">
        <v>1</v>
      </c>
      <c r="V99" s="1" t="s">
        <v>203</v>
      </c>
      <c r="W99" s="3">
        <v>2028</v>
      </c>
      <c r="X99" s="3">
        <v>1820</v>
      </c>
      <c r="Y99" s="3">
        <v>615</v>
      </c>
      <c r="Z99" s="3">
        <v>11299</v>
      </c>
      <c r="AA99" s="1" t="s">
        <v>203</v>
      </c>
      <c r="AB99" s="18">
        <f t="shared" si="0"/>
        <v>0.1794849101690415</v>
      </c>
      <c r="AC99" s="18">
        <f t="shared" si="1"/>
        <v>0.1610762014337552</v>
      </c>
      <c r="AD99" s="18">
        <f t="shared" si="2"/>
        <v>0.05442959553942827</v>
      </c>
      <c r="AK99" s="2" t="s">
        <v>1</v>
      </c>
    </row>
    <row r="100" spans="2:37" ht="12">
      <c r="B100" s="13" t="s">
        <v>176</v>
      </c>
      <c r="C100" s="16" t="s">
        <v>204</v>
      </c>
      <c r="D100" s="11" t="s">
        <v>133</v>
      </c>
      <c r="E100" s="14">
        <f>21*30</f>
        <v>630</v>
      </c>
      <c r="F100" s="14">
        <f>43*30</f>
        <v>1290</v>
      </c>
      <c r="G100" s="7"/>
      <c r="H100" s="7"/>
      <c r="I100" s="7"/>
      <c r="J100" s="7"/>
      <c r="K100" s="14"/>
      <c r="L100" s="7"/>
      <c r="M100" s="7"/>
      <c r="N100" s="14"/>
      <c r="O100" s="7"/>
      <c r="P100" s="7"/>
      <c r="Q100" s="7"/>
      <c r="R100" s="7"/>
      <c r="S100" s="7"/>
      <c r="T100" s="7"/>
      <c r="U100" s="12" t="s">
        <v>1</v>
      </c>
      <c r="V100" s="1" t="s">
        <v>205</v>
      </c>
      <c r="W100" s="3">
        <v>1168.5</v>
      </c>
      <c r="X100" s="3">
        <v>1228</v>
      </c>
      <c r="Y100" s="3">
        <v>681</v>
      </c>
      <c r="Z100" s="3">
        <v>12002</v>
      </c>
      <c r="AA100" s="1" t="s">
        <v>205</v>
      </c>
      <c r="AB100" s="18">
        <f t="shared" si="0"/>
        <v>0.0973587735377437</v>
      </c>
      <c r="AC100" s="18">
        <f t="shared" si="1"/>
        <v>0.10231628061989669</v>
      </c>
      <c r="AD100" s="18">
        <f t="shared" si="2"/>
        <v>0.05674054324279287</v>
      </c>
      <c r="AK100" s="2" t="s">
        <v>1</v>
      </c>
    </row>
    <row r="101" spans="2:37" ht="12">
      <c r="B101" s="13" t="s">
        <v>176</v>
      </c>
      <c r="C101" s="16" t="s">
        <v>206</v>
      </c>
      <c r="D101" s="11" t="s">
        <v>133</v>
      </c>
      <c r="E101" s="14">
        <f>20*30</f>
        <v>600</v>
      </c>
      <c r="F101" s="14">
        <f>41*30</f>
        <v>1230</v>
      </c>
      <c r="G101" s="7"/>
      <c r="H101" s="7"/>
      <c r="I101" s="7"/>
      <c r="J101" s="7"/>
      <c r="K101" s="14"/>
      <c r="L101" s="7"/>
      <c r="M101" s="7"/>
      <c r="N101" s="14"/>
      <c r="O101" s="7"/>
      <c r="P101" s="7"/>
      <c r="Q101" s="7"/>
      <c r="R101" s="7"/>
      <c r="S101" s="7"/>
      <c r="T101" s="7"/>
      <c r="U101" s="12" t="s">
        <v>1</v>
      </c>
      <c r="V101" s="1" t="s">
        <v>207</v>
      </c>
      <c r="W101" s="3">
        <v>885</v>
      </c>
      <c r="X101" s="3">
        <v>855</v>
      </c>
      <c r="Y101" s="3">
        <v>430</v>
      </c>
      <c r="Z101" s="3">
        <v>13478</v>
      </c>
      <c r="AA101" s="1" t="s">
        <v>207</v>
      </c>
      <c r="AB101" s="18">
        <f t="shared" si="0"/>
        <v>0.06566256121086214</v>
      </c>
      <c r="AC101" s="18">
        <f t="shared" si="1"/>
        <v>0.06343671167829054</v>
      </c>
      <c r="AD101" s="18">
        <f t="shared" si="2"/>
        <v>0.031903843300192906</v>
      </c>
      <c r="AK101" s="2" t="s">
        <v>1</v>
      </c>
    </row>
    <row r="102" spans="2:37" ht="12">
      <c r="B102" s="13" t="s">
        <v>176</v>
      </c>
      <c r="C102" s="16" t="s">
        <v>208</v>
      </c>
      <c r="D102" s="11" t="s">
        <v>133</v>
      </c>
      <c r="E102" s="14">
        <f>19*30</f>
        <v>570</v>
      </c>
      <c r="F102" s="14">
        <f>38*30</f>
        <v>1140</v>
      </c>
      <c r="G102" s="7"/>
      <c r="H102" s="7"/>
      <c r="I102" s="7"/>
      <c r="J102" s="7"/>
      <c r="K102" s="14"/>
      <c r="L102" s="7"/>
      <c r="M102" s="7"/>
      <c r="N102" s="14"/>
      <c r="O102" s="7"/>
      <c r="P102" s="7"/>
      <c r="Q102" s="7"/>
      <c r="R102" s="7"/>
      <c r="S102" s="7"/>
      <c r="T102" s="7"/>
      <c r="U102" s="12" t="s">
        <v>1</v>
      </c>
      <c r="V102" s="1" t="s">
        <v>209</v>
      </c>
      <c r="W102" s="3">
        <v>2317</v>
      </c>
      <c r="X102" s="3">
        <v>2028.5</v>
      </c>
      <c r="Y102" s="3">
        <v>1011.5</v>
      </c>
      <c r="Z102" s="3">
        <v>15408</v>
      </c>
      <c r="AA102" s="1" t="s">
        <v>209</v>
      </c>
      <c r="AB102" s="18">
        <f t="shared" si="0"/>
        <v>0.15037642782969884</v>
      </c>
      <c r="AC102" s="18">
        <f t="shared" si="1"/>
        <v>0.1316523883696781</v>
      </c>
      <c r="AD102" s="18">
        <f t="shared" si="2"/>
        <v>0.06564771547248183</v>
      </c>
      <c r="AK102" s="2" t="s">
        <v>1</v>
      </c>
    </row>
    <row r="103" spans="2:37" ht="12">
      <c r="B103" s="13" t="s">
        <v>176</v>
      </c>
      <c r="C103" s="16" t="s">
        <v>210</v>
      </c>
      <c r="D103" s="11" t="s">
        <v>133</v>
      </c>
      <c r="E103" s="14">
        <f>21*30</f>
        <v>630</v>
      </c>
      <c r="F103" s="14">
        <f>47*30</f>
        <v>1410</v>
      </c>
      <c r="G103" s="7"/>
      <c r="H103" s="7"/>
      <c r="I103" s="7"/>
      <c r="J103" s="7"/>
      <c r="K103" s="14"/>
      <c r="L103" s="7"/>
      <c r="M103" s="7"/>
      <c r="N103" s="14"/>
      <c r="O103" s="7"/>
      <c r="P103" s="7"/>
      <c r="Q103" s="7"/>
      <c r="R103" s="7"/>
      <c r="S103" s="7"/>
      <c r="T103" s="7"/>
      <c r="U103" s="12" t="s">
        <v>1</v>
      </c>
      <c r="V103" s="1" t="s">
        <v>211</v>
      </c>
      <c r="W103" s="3">
        <v>1366</v>
      </c>
      <c r="X103" s="3">
        <v>984</v>
      </c>
      <c r="Y103" s="3">
        <v>650</v>
      </c>
      <c r="Z103" s="3">
        <v>10576</v>
      </c>
      <c r="AA103" s="1" t="s">
        <v>211</v>
      </c>
      <c r="AB103" s="18">
        <f t="shared" si="0"/>
        <v>0.129160363086233</v>
      </c>
      <c r="AC103" s="18">
        <f t="shared" si="1"/>
        <v>0.09304084720121028</v>
      </c>
      <c r="AD103" s="18">
        <f t="shared" si="2"/>
        <v>0.06145990922844175</v>
      </c>
      <c r="AK103" s="2" t="s">
        <v>1</v>
      </c>
    </row>
    <row r="104" spans="2:37" ht="12">
      <c r="B104" s="13" t="s">
        <v>176</v>
      </c>
      <c r="C104" s="16" t="s">
        <v>212</v>
      </c>
      <c r="D104" s="11" t="s">
        <v>133</v>
      </c>
      <c r="E104" s="14">
        <f>20*30</f>
        <v>600</v>
      </c>
      <c r="F104" s="14">
        <f>40*30</f>
        <v>1200</v>
      </c>
      <c r="G104" s="7"/>
      <c r="H104" s="7"/>
      <c r="I104" s="7"/>
      <c r="J104" s="7"/>
      <c r="K104" s="14"/>
      <c r="L104" s="7"/>
      <c r="M104" s="7"/>
      <c r="N104" s="14"/>
      <c r="O104" s="7"/>
      <c r="P104" s="7"/>
      <c r="Q104" s="7"/>
      <c r="R104" s="7"/>
      <c r="S104" s="7"/>
      <c r="T104" s="7"/>
      <c r="U104" s="12" t="s">
        <v>1</v>
      </c>
      <c r="AK104" s="2" t="s">
        <v>1</v>
      </c>
    </row>
    <row r="105" spans="2:37" ht="12">
      <c r="B105" s="13" t="s">
        <v>176</v>
      </c>
      <c r="C105" s="16" t="s">
        <v>213</v>
      </c>
      <c r="D105" s="11" t="s">
        <v>133</v>
      </c>
      <c r="E105" s="14">
        <f>20*30</f>
        <v>600</v>
      </c>
      <c r="F105" s="14">
        <f>41*30</f>
        <v>1230</v>
      </c>
      <c r="G105" s="7"/>
      <c r="H105" s="7"/>
      <c r="I105" s="7"/>
      <c r="J105" s="7"/>
      <c r="K105" s="14"/>
      <c r="L105" s="7"/>
      <c r="M105" s="7"/>
      <c r="N105" s="14"/>
      <c r="O105" s="7"/>
      <c r="P105" s="7"/>
      <c r="Q105" s="7"/>
      <c r="R105" s="7"/>
      <c r="S105" s="7"/>
      <c r="T105" s="7"/>
      <c r="U105" s="12" t="s">
        <v>1</v>
      </c>
      <c r="V105" s="1" t="s">
        <v>214</v>
      </c>
      <c r="W105" s="3">
        <v>1263.5</v>
      </c>
      <c r="X105" s="3">
        <v>1338</v>
      </c>
      <c r="Y105" s="3">
        <v>879</v>
      </c>
      <c r="Z105" s="3">
        <v>12002</v>
      </c>
      <c r="AA105" s="1" t="s">
        <v>214</v>
      </c>
      <c r="AB105" s="18">
        <v>0.12342535513267221</v>
      </c>
      <c r="AC105" s="18">
        <v>0.0979181369089626</v>
      </c>
      <c r="AD105" s="18">
        <v>0.05336812144212524</v>
      </c>
      <c r="AK105" s="2" t="s">
        <v>1</v>
      </c>
    </row>
    <row r="106" spans="2:37" ht="12">
      <c r="B106" s="13" t="s">
        <v>176</v>
      </c>
      <c r="C106" s="16" t="s">
        <v>215</v>
      </c>
      <c r="D106" s="11" t="s">
        <v>133</v>
      </c>
      <c r="E106" s="14">
        <f>20*30</f>
        <v>600</v>
      </c>
      <c r="F106" s="14">
        <f>40*30</f>
        <v>1200</v>
      </c>
      <c r="G106" s="7"/>
      <c r="H106" s="7"/>
      <c r="I106" s="7"/>
      <c r="J106" s="7"/>
      <c r="K106" s="14"/>
      <c r="L106" s="7"/>
      <c r="M106" s="7"/>
      <c r="N106" s="14"/>
      <c r="O106" s="7"/>
      <c r="P106" s="7"/>
      <c r="Q106" s="7"/>
      <c r="R106" s="7"/>
      <c r="S106" s="7"/>
      <c r="T106" s="7"/>
      <c r="U106" s="12" t="s">
        <v>1</v>
      </c>
      <c r="AK106" s="2" t="s">
        <v>1</v>
      </c>
    </row>
    <row r="107" spans="2:37" ht="12">
      <c r="B107" s="13" t="s">
        <v>176</v>
      </c>
      <c r="C107" s="16" t="s">
        <v>216</v>
      </c>
      <c r="D107" s="11" t="s">
        <v>133</v>
      </c>
      <c r="E107" s="14">
        <f>20*30</f>
        <v>600</v>
      </c>
      <c r="F107" s="14">
        <f>21*30</f>
        <v>630</v>
      </c>
      <c r="G107" s="7"/>
      <c r="H107" s="7"/>
      <c r="I107" s="7"/>
      <c r="J107" s="7"/>
      <c r="K107" s="14"/>
      <c r="L107" s="7"/>
      <c r="M107" s="7"/>
      <c r="N107" s="14"/>
      <c r="O107" s="7"/>
      <c r="P107" s="7"/>
      <c r="Q107" s="7"/>
      <c r="R107" s="7"/>
      <c r="S107" s="7"/>
      <c r="T107" s="7"/>
      <c r="U107" s="12" t="s">
        <v>1</v>
      </c>
      <c r="AK107" s="2" t="s">
        <v>1</v>
      </c>
    </row>
    <row r="108" spans="2:37" ht="12">
      <c r="B108" s="13" t="s">
        <v>176</v>
      </c>
      <c r="C108" s="16" t="s">
        <v>217</v>
      </c>
      <c r="D108" s="11" t="s">
        <v>133</v>
      </c>
      <c r="E108" s="14">
        <f>21*30</f>
        <v>630</v>
      </c>
      <c r="F108" s="14">
        <f>51*30</f>
        <v>1530</v>
      </c>
      <c r="G108" s="7"/>
      <c r="H108" s="7"/>
      <c r="I108" s="7"/>
      <c r="J108" s="7"/>
      <c r="K108" s="14"/>
      <c r="L108" s="7"/>
      <c r="M108" s="7"/>
      <c r="N108" s="14"/>
      <c r="O108" s="7"/>
      <c r="P108" s="7"/>
      <c r="Q108" s="7"/>
      <c r="R108" s="7"/>
      <c r="S108" s="7"/>
      <c r="T108" s="7"/>
      <c r="U108" s="12" t="s">
        <v>1</v>
      </c>
      <c r="AK108" s="2" t="s">
        <v>1</v>
      </c>
    </row>
    <row r="109" spans="2:37" ht="12">
      <c r="B109" s="13" t="s">
        <v>176</v>
      </c>
      <c r="C109" s="16" t="s">
        <v>218</v>
      </c>
      <c r="D109" s="11" t="s">
        <v>133</v>
      </c>
      <c r="E109" s="14">
        <f>20*30</f>
        <v>600</v>
      </c>
      <c r="F109" s="14">
        <f>41*30</f>
        <v>1230</v>
      </c>
      <c r="G109" s="7"/>
      <c r="H109" s="7"/>
      <c r="I109" s="7"/>
      <c r="J109" s="7"/>
      <c r="K109" s="14"/>
      <c r="L109" s="7"/>
      <c r="M109" s="7"/>
      <c r="N109" s="14"/>
      <c r="O109" s="7"/>
      <c r="P109" s="7"/>
      <c r="Q109" s="7"/>
      <c r="R109" s="7"/>
      <c r="S109" s="7"/>
      <c r="T109" s="7"/>
      <c r="U109" s="12" t="s">
        <v>1</v>
      </c>
      <c r="AK109" s="2" t="s">
        <v>1</v>
      </c>
    </row>
    <row r="110" spans="2:37" ht="12">
      <c r="B110" s="13" t="s">
        <v>176</v>
      </c>
      <c r="C110" s="16" t="s">
        <v>219</v>
      </c>
      <c r="D110" s="11" t="s">
        <v>133</v>
      </c>
      <c r="E110" s="14">
        <f>19*30</f>
        <v>570</v>
      </c>
      <c r="F110" s="14">
        <f>38*30</f>
        <v>1140</v>
      </c>
      <c r="G110" s="7"/>
      <c r="H110" s="7"/>
      <c r="I110" s="7"/>
      <c r="J110" s="7"/>
      <c r="K110" s="14"/>
      <c r="L110" s="7"/>
      <c r="M110" s="7"/>
      <c r="N110" s="14"/>
      <c r="O110" s="7"/>
      <c r="P110" s="7"/>
      <c r="Q110" s="7"/>
      <c r="R110" s="7"/>
      <c r="S110" s="7"/>
      <c r="T110" s="7"/>
      <c r="U110" s="12" t="s">
        <v>1</v>
      </c>
      <c r="AK110" s="2" t="s">
        <v>1</v>
      </c>
    </row>
    <row r="111" spans="2:37" ht="12">
      <c r="B111" s="13" t="s">
        <v>176</v>
      </c>
      <c r="C111" s="16" t="s">
        <v>220</v>
      </c>
      <c r="D111" s="11" t="s">
        <v>133</v>
      </c>
      <c r="E111" s="14">
        <f>21*30</f>
        <v>630</v>
      </c>
      <c r="F111" s="14">
        <f>43*30</f>
        <v>1290</v>
      </c>
      <c r="G111" s="7"/>
      <c r="H111" s="7"/>
      <c r="I111" s="7"/>
      <c r="J111" s="7"/>
      <c r="K111" s="14"/>
      <c r="L111" s="7"/>
      <c r="M111" s="7"/>
      <c r="N111" s="14"/>
      <c r="O111" s="7"/>
      <c r="P111" s="7"/>
      <c r="Q111" s="7"/>
      <c r="R111" s="7"/>
      <c r="S111" s="7"/>
      <c r="T111" s="7"/>
      <c r="U111" s="12" t="s">
        <v>1</v>
      </c>
      <c r="AK111" s="2" t="s">
        <v>1</v>
      </c>
    </row>
    <row r="112" spans="2:37" ht="12">
      <c r="B112" s="13" t="s">
        <v>176</v>
      </c>
      <c r="C112" s="16" t="s">
        <v>221</v>
      </c>
      <c r="D112" s="11" t="s">
        <v>133</v>
      </c>
      <c r="E112" s="14">
        <f>21*30</f>
        <v>630</v>
      </c>
      <c r="F112" s="14">
        <f>42*30</f>
        <v>1260</v>
      </c>
      <c r="G112" s="7"/>
      <c r="H112" s="7"/>
      <c r="I112" s="7"/>
      <c r="J112" s="7"/>
      <c r="K112" s="14"/>
      <c r="L112" s="7"/>
      <c r="M112" s="7"/>
      <c r="N112" s="14"/>
      <c r="O112" s="7"/>
      <c r="P112" s="7"/>
      <c r="Q112" s="7"/>
      <c r="R112" s="7"/>
      <c r="S112" s="7"/>
      <c r="T112" s="7"/>
      <c r="U112" s="12" t="s">
        <v>1</v>
      </c>
      <c r="AK112" s="2" t="s">
        <v>1</v>
      </c>
    </row>
    <row r="113" spans="2:37" ht="12">
      <c r="B113" s="13" t="s">
        <v>176</v>
      </c>
      <c r="C113" s="16" t="s">
        <v>222</v>
      </c>
      <c r="D113" s="11" t="s">
        <v>133</v>
      </c>
      <c r="E113" s="14">
        <f>21*30</f>
        <v>630</v>
      </c>
      <c r="F113" s="14">
        <f>43*30</f>
        <v>1290</v>
      </c>
      <c r="G113" s="7"/>
      <c r="H113" s="7"/>
      <c r="I113" s="7"/>
      <c r="J113" s="7"/>
      <c r="K113" s="14"/>
      <c r="L113" s="7"/>
      <c r="M113" s="7"/>
      <c r="N113" s="14"/>
      <c r="O113" s="7"/>
      <c r="P113" s="7"/>
      <c r="Q113" s="7"/>
      <c r="R113" s="7"/>
      <c r="S113" s="7"/>
      <c r="T113" s="7"/>
      <c r="U113" s="12" t="s">
        <v>1</v>
      </c>
      <c r="AK113" s="2" t="s">
        <v>1</v>
      </c>
    </row>
    <row r="114" spans="2:37" ht="12">
      <c r="B114" s="13" t="s">
        <v>176</v>
      </c>
      <c r="C114" s="16" t="s">
        <v>223</v>
      </c>
      <c r="D114" s="11" t="s">
        <v>133</v>
      </c>
      <c r="E114" s="14">
        <f>20*30</f>
        <v>600</v>
      </c>
      <c r="F114" s="14">
        <f>43*30</f>
        <v>1290</v>
      </c>
      <c r="G114" s="7"/>
      <c r="H114" s="7"/>
      <c r="I114" s="7"/>
      <c r="J114" s="7"/>
      <c r="K114" s="14"/>
      <c r="L114" s="7"/>
      <c r="M114" s="7"/>
      <c r="N114" s="14"/>
      <c r="O114" s="7"/>
      <c r="P114" s="7"/>
      <c r="Q114" s="7"/>
      <c r="R114" s="7"/>
      <c r="S114" s="7"/>
      <c r="T114" s="7"/>
      <c r="U114" s="12" t="s">
        <v>1</v>
      </c>
      <c r="AK114" s="2" t="s">
        <v>1</v>
      </c>
    </row>
    <row r="115" spans="2:37" ht="12">
      <c r="B115" s="13" t="s">
        <v>176</v>
      </c>
      <c r="C115" s="16" t="s">
        <v>224</v>
      </c>
      <c r="D115" s="11" t="s">
        <v>133</v>
      </c>
      <c r="E115" s="14">
        <f>21*30</f>
        <v>630</v>
      </c>
      <c r="F115" s="14">
        <f>42*30</f>
        <v>1260</v>
      </c>
      <c r="G115" s="7"/>
      <c r="H115" s="7"/>
      <c r="I115" s="7"/>
      <c r="J115" s="7"/>
      <c r="K115" s="14"/>
      <c r="L115" s="7"/>
      <c r="M115" s="7"/>
      <c r="N115" s="14"/>
      <c r="O115" s="7"/>
      <c r="P115" s="7"/>
      <c r="Q115" s="7"/>
      <c r="R115" s="7"/>
      <c r="S115" s="7"/>
      <c r="T115" s="7"/>
      <c r="U115" s="12" t="s">
        <v>1</v>
      </c>
      <c r="AK115" s="2" t="s">
        <v>1</v>
      </c>
    </row>
    <row r="116" spans="2:37" ht="12">
      <c r="B116" s="13" t="s">
        <v>176</v>
      </c>
      <c r="C116" s="16" t="s">
        <v>225</v>
      </c>
      <c r="D116" s="11" t="s">
        <v>133</v>
      </c>
      <c r="E116" s="14">
        <f>21*30</f>
        <v>630</v>
      </c>
      <c r="F116" s="14">
        <f>42*30</f>
        <v>1260</v>
      </c>
      <c r="G116" s="7"/>
      <c r="H116" s="7"/>
      <c r="I116" s="7"/>
      <c r="J116" s="7"/>
      <c r="K116" s="14"/>
      <c r="L116" s="7"/>
      <c r="M116" s="7"/>
      <c r="N116" s="14"/>
      <c r="O116" s="7"/>
      <c r="P116" s="7"/>
      <c r="Q116" s="7"/>
      <c r="R116" s="7"/>
      <c r="S116" s="7"/>
      <c r="T116" s="7"/>
      <c r="U116" s="12" t="s">
        <v>1</v>
      </c>
      <c r="AK116" s="2" t="s">
        <v>1</v>
      </c>
    </row>
    <row r="117" spans="2:37" ht="12">
      <c r="B117" s="13" t="s">
        <v>176</v>
      </c>
      <c r="C117" s="16" t="s">
        <v>226</v>
      </c>
      <c r="D117" s="11" t="s">
        <v>133</v>
      </c>
      <c r="E117" s="14">
        <f>19*30</f>
        <v>570</v>
      </c>
      <c r="F117" s="14">
        <f>39*30</f>
        <v>1170</v>
      </c>
      <c r="G117" s="7"/>
      <c r="H117" s="7"/>
      <c r="I117" s="7"/>
      <c r="J117" s="7"/>
      <c r="K117" s="14"/>
      <c r="L117" s="7"/>
      <c r="M117" s="7"/>
      <c r="N117" s="14"/>
      <c r="O117" s="7"/>
      <c r="P117" s="7"/>
      <c r="Q117" s="7"/>
      <c r="R117" s="7"/>
      <c r="S117" s="7"/>
      <c r="T117" s="7"/>
      <c r="U117" s="12" t="s">
        <v>1</v>
      </c>
      <c r="AK117" s="2" t="s">
        <v>1</v>
      </c>
    </row>
    <row r="118" spans="2:37" ht="12">
      <c r="B118" s="13" t="s">
        <v>176</v>
      </c>
      <c r="C118" s="16" t="s">
        <v>227</v>
      </c>
      <c r="D118" s="11" t="s">
        <v>133</v>
      </c>
      <c r="E118" s="14">
        <f>18*30</f>
        <v>540</v>
      </c>
      <c r="F118" s="14">
        <f>37*30</f>
        <v>1110</v>
      </c>
      <c r="G118" s="7"/>
      <c r="H118" s="7"/>
      <c r="I118" s="7"/>
      <c r="J118" s="7"/>
      <c r="K118" s="14"/>
      <c r="L118" s="7"/>
      <c r="M118" s="7"/>
      <c r="N118" s="14"/>
      <c r="O118" s="7"/>
      <c r="P118" s="7"/>
      <c r="Q118" s="7"/>
      <c r="R118" s="7"/>
      <c r="S118" s="7"/>
      <c r="T118" s="7"/>
      <c r="U118" s="12" t="s">
        <v>1</v>
      </c>
      <c r="AK118" s="2" t="s">
        <v>1</v>
      </c>
    </row>
    <row r="119" spans="2:37" ht="12">
      <c r="B119" s="13" t="s">
        <v>176</v>
      </c>
      <c r="C119" s="16" t="s">
        <v>228</v>
      </c>
      <c r="D119" s="11" t="s">
        <v>133</v>
      </c>
      <c r="E119" s="14">
        <f>21*30</f>
        <v>630</v>
      </c>
      <c r="F119" s="14">
        <f>45*30</f>
        <v>1350</v>
      </c>
      <c r="G119" s="7"/>
      <c r="H119" s="7"/>
      <c r="I119" s="7"/>
      <c r="J119" s="7"/>
      <c r="K119" s="14"/>
      <c r="L119" s="7"/>
      <c r="M119" s="7"/>
      <c r="N119" s="14"/>
      <c r="O119" s="7"/>
      <c r="P119" s="7"/>
      <c r="Q119" s="7"/>
      <c r="R119" s="7"/>
      <c r="S119" s="7"/>
      <c r="T119" s="7"/>
      <c r="U119" s="12" t="s">
        <v>1</v>
      </c>
      <c r="AK119" s="2" t="s">
        <v>1</v>
      </c>
    </row>
    <row r="120" spans="2:37" ht="12">
      <c r="B120" s="13" t="s">
        <v>176</v>
      </c>
      <c r="C120" s="16" t="s">
        <v>229</v>
      </c>
      <c r="D120" s="11" t="s">
        <v>133</v>
      </c>
      <c r="E120" s="14">
        <f>20*30</f>
        <v>600</v>
      </c>
      <c r="F120" s="14">
        <f>40*30</f>
        <v>1200</v>
      </c>
      <c r="G120" s="7"/>
      <c r="H120" s="7"/>
      <c r="I120" s="7"/>
      <c r="J120" s="7"/>
      <c r="K120" s="14"/>
      <c r="L120" s="7"/>
      <c r="M120" s="7"/>
      <c r="N120" s="14"/>
      <c r="O120" s="7"/>
      <c r="P120" s="7"/>
      <c r="Q120" s="7"/>
      <c r="R120" s="7"/>
      <c r="S120" s="7"/>
      <c r="T120" s="7"/>
      <c r="U120" s="12" t="s">
        <v>1</v>
      </c>
      <c r="AK120" s="2" t="s">
        <v>1</v>
      </c>
    </row>
    <row r="121" spans="2:37" ht="12">
      <c r="B121" s="13" t="s">
        <v>176</v>
      </c>
      <c r="C121" s="16" t="s">
        <v>230</v>
      </c>
      <c r="D121" s="11" t="s">
        <v>133</v>
      </c>
      <c r="E121" s="14">
        <f>21*30</f>
        <v>630</v>
      </c>
      <c r="F121" s="14">
        <f>50*30</f>
        <v>1500</v>
      </c>
      <c r="G121" s="7"/>
      <c r="H121" s="7"/>
      <c r="I121" s="7"/>
      <c r="J121" s="7"/>
      <c r="K121" s="14"/>
      <c r="L121" s="7"/>
      <c r="M121" s="7"/>
      <c r="N121" s="14"/>
      <c r="O121" s="7"/>
      <c r="P121" s="7"/>
      <c r="Q121" s="7"/>
      <c r="R121" s="7"/>
      <c r="S121" s="7"/>
      <c r="T121" s="7"/>
      <c r="U121" s="12" t="s">
        <v>1</v>
      </c>
      <c r="AK121" s="2" t="s">
        <v>1</v>
      </c>
    </row>
    <row r="122" spans="1:37" ht="12">
      <c r="A122" s="1" t="s">
        <v>102</v>
      </c>
      <c r="B122" s="13" t="s">
        <v>189</v>
      </c>
      <c r="C122" s="16" t="s">
        <v>231</v>
      </c>
      <c r="D122" s="11" t="s">
        <v>105</v>
      </c>
      <c r="E122" s="14">
        <f>(487+33+49+21)*3</f>
        <v>1770</v>
      </c>
      <c r="F122" s="14">
        <f>(487+33+49+21)*3+973*3</f>
        <v>4689</v>
      </c>
      <c r="G122" s="14">
        <f>(487+33+49+21)*3</f>
        <v>1770</v>
      </c>
      <c r="H122" s="14">
        <f>(487+33+49+21)*3+973*3</f>
        <v>4689</v>
      </c>
      <c r="I122" s="14">
        <f>1814+101+147+62</f>
        <v>2124</v>
      </c>
      <c r="J122" s="14">
        <f>1814+101+147+62+1814*2</f>
        <v>5752</v>
      </c>
      <c r="K122" s="7"/>
      <c r="L122" s="7"/>
      <c r="M122" s="7"/>
      <c r="N122" s="7"/>
      <c r="O122" s="7"/>
      <c r="P122" s="7"/>
      <c r="Q122" s="14">
        <f>(666+33+49+21)*3</f>
        <v>2307</v>
      </c>
      <c r="R122" s="7" t="e">
        <f>NA()</f>
        <v>#N/A</v>
      </c>
      <c r="S122" s="14">
        <f>(2037+2004)/2</f>
        <v>2020.5</v>
      </c>
      <c r="T122" s="14">
        <f>(G156+G157)/2</f>
        <v>0</v>
      </c>
      <c r="U122" s="12" t="s">
        <v>1</v>
      </c>
      <c r="AK122" s="2" t="s">
        <v>1</v>
      </c>
    </row>
    <row r="123" spans="2:37" ht="12">
      <c r="B123" s="13" t="s">
        <v>189</v>
      </c>
      <c r="C123" s="13" t="s">
        <v>232</v>
      </c>
      <c r="D123" s="11" t="s">
        <v>108</v>
      </c>
      <c r="E123" s="14">
        <f>((32*15)+26)*3</f>
        <v>1518</v>
      </c>
      <c r="F123" s="14">
        <f>((32*15)+26+(79*15))*3</f>
        <v>5073</v>
      </c>
      <c r="G123" s="14">
        <f>((32*15)+26)*3</f>
        <v>1518</v>
      </c>
      <c r="H123" s="14">
        <f>((32*15)+26+(79*15))*3</f>
        <v>5073</v>
      </c>
      <c r="I123" s="14">
        <f>((52*15)+26)*3</f>
        <v>2418</v>
      </c>
      <c r="J123" s="14">
        <f>((52*15)+26)*3+(104*15)*3</f>
        <v>7098</v>
      </c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12" t="s">
        <v>1</v>
      </c>
      <c r="AK123" s="2" t="s">
        <v>1</v>
      </c>
    </row>
    <row r="124" spans="2:37" ht="12">
      <c r="B124" s="13" t="s">
        <v>189</v>
      </c>
      <c r="C124" s="13" t="s">
        <v>233</v>
      </c>
      <c r="D124" s="11" t="s">
        <v>108</v>
      </c>
      <c r="E124" s="14">
        <f>(487+59+47+9)*3</f>
        <v>1806</v>
      </c>
      <c r="F124" s="14">
        <f>(487+59+47+9+1187)*3</f>
        <v>5367</v>
      </c>
      <c r="G124" s="14">
        <f>(487+59+47+9)*3</f>
        <v>1806</v>
      </c>
      <c r="H124" s="14">
        <f>(487+59+47+9+1187)*3</f>
        <v>5367</v>
      </c>
      <c r="I124" s="14"/>
      <c r="J124" s="14"/>
      <c r="K124" s="7"/>
      <c r="L124" s="7"/>
      <c r="M124" s="7"/>
      <c r="N124" s="7"/>
      <c r="O124" s="7"/>
      <c r="P124" s="7"/>
      <c r="Q124" s="14"/>
      <c r="R124" s="7"/>
      <c r="S124" s="7"/>
      <c r="T124" s="7"/>
      <c r="U124" s="12" t="s">
        <v>1</v>
      </c>
      <c r="AK124" s="2" t="s">
        <v>1</v>
      </c>
    </row>
    <row r="125" spans="2:37" ht="12">
      <c r="B125" s="13" t="s">
        <v>189</v>
      </c>
      <c r="C125" s="16" t="s">
        <v>234</v>
      </c>
      <c r="D125" s="17" t="s">
        <v>122</v>
      </c>
      <c r="E125" s="14">
        <f>(367+73+27)*3</f>
        <v>1401</v>
      </c>
      <c r="F125" s="14">
        <f>(367+73+27)*3+734*3</f>
        <v>3603</v>
      </c>
      <c r="G125" s="14">
        <f>(367+73+27)*3</f>
        <v>1401</v>
      </c>
      <c r="H125" s="14">
        <f>(367+73+27)*3+734*3</f>
        <v>3603</v>
      </c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12" t="s">
        <v>1</v>
      </c>
      <c r="AK125" s="2" t="s">
        <v>1</v>
      </c>
    </row>
    <row r="126" spans="2:37" ht="12">
      <c r="B126" s="13" t="s">
        <v>189</v>
      </c>
      <c r="C126" s="16" t="s">
        <v>235</v>
      </c>
      <c r="D126" s="11" t="s">
        <v>125</v>
      </c>
      <c r="E126" s="14">
        <f>(367+70+32)*3</f>
        <v>1407</v>
      </c>
      <c r="F126" s="14">
        <f>(367+70+32)*3+734*3</f>
        <v>3609</v>
      </c>
      <c r="G126" s="14">
        <f>(367+70+32)*3</f>
        <v>1407</v>
      </c>
      <c r="H126" s="14">
        <f>(367+70+32)*3+734*3</f>
        <v>3609</v>
      </c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12" t="s">
        <v>1</v>
      </c>
      <c r="AK126" s="2" t="s">
        <v>1</v>
      </c>
    </row>
    <row r="127" spans="2:37" ht="12">
      <c r="B127" s="13" t="s">
        <v>189</v>
      </c>
      <c r="C127" s="16" t="s">
        <v>236</v>
      </c>
      <c r="D127" s="11" t="s">
        <v>125</v>
      </c>
      <c r="E127" s="14">
        <f>(367+56)*3</f>
        <v>1269</v>
      </c>
      <c r="F127" s="14">
        <f>(367+56)*3+734*3</f>
        <v>3471</v>
      </c>
      <c r="G127" s="14">
        <f>(367+56)*3</f>
        <v>1269</v>
      </c>
      <c r="H127" s="14">
        <f>(367+56)*3+734*3</f>
        <v>3471</v>
      </c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12" t="s">
        <v>1</v>
      </c>
      <c r="AK127" s="2" t="s">
        <v>1</v>
      </c>
    </row>
    <row r="128" spans="2:37" ht="12">
      <c r="B128" s="13" t="s">
        <v>189</v>
      </c>
      <c r="C128" s="16" t="s">
        <v>237</v>
      </c>
      <c r="D128" s="11" t="s">
        <v>125</v>
      </c>
      <c r="E128" s="14">
        <f>(367+50)*3</f>
        <v>1251</v>
      </c>
      <c r="F128" s="14">
        <f>(367+50)*3+734*3</f>
        <v>3453</v>
      </c>
      <c r="G128" s="14">
        <f>(367+50)*3</f>
        <v>1251</v>
      </c>
      <c r="H128" s="14">
        <f>(367+50)*3+734*3</f>
        <v>3453</v>
      </c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12" t="s">
        <v>1</v>
      </c>
      <c r="AK128" s="2" t="s">
        <v>1</v>
      </c>
    </row>
    <row r="129" spans="2:37" ht="12">
      <c r="B129" s="13" t="s">
        <v>189</v>
      </c>
      <c r="C129" s="16" t="s">
        <v>238</v>
      </c>
      <c r="D129" s="11" t="s">
        <v>125</v>
      </c>
      <c r="E129" s="14">
        <f>(367+55+2+1)*3</f>
        <v>1275</v>
      </c>
      <c r="F129" s="14">
        <f>(367+55+2+1)*3+734*3</f>
        <v>3477</v>
      </c>
      <c r="G129" s="14">
        <v>1275</v>
      </c>
      <c r="H129" s="14">
        <v>3477</v>
      </c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12" t="s">
        <v>1</v>
      </c>
      <c r="AK129" s="2" t="s">
        <v>1</v>
      </c>
    </row>
    <row r="130" spans="2:37" ht="12">
      <c r="B130" s="13" t="s">
        <v>189</v>
      </c>
      <c r="C130" s="16" t="s">
        <v>239</v>
      </c>
      <c r="D130" s="11" t="s">
        <v>125</v>
      </c>
      <c r="E130" s="14">
        <f>(367+65+36)*3</f>
        <v>1404</v>
      </c>
      <c r="F130" s="14">
        <f>(367+65+36)*3+734*3</f>
        <v>3606</v>
      </c>
      <c r="G130" s="14">
        <f>(367+65+36)*3</f>
        <v>1404</v>
      </c>
      <c r="H130" s="14">
        <f>(367+65+36)*3+734*3</f>
        <v>3606</v>
      </c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12" t="s">
        <v>1</v>
      </c>
      <c r="AK130" s="2" t="s">
        <v>1</v>
      </c>
    </row>
    <row r="131" spans="2:37" ht="12">
      <c r="B131" s="13" t="s">
        <v>189</v>
      </c>
      <c r="C131" s="16" t="s">
        <v>240</v>
      </c>
      <c r="D131" s="11" t="s">
        <v>125</v>
      </c>
      <c r="E131" s="14">
        <f>(367+50+15)*3</f>
        <v>1296</v>
      </c>
      <c r="F131" s="14">
        <f>(367+50+15)*3+734*3</f>
        <v>3498</v>
      </c>
      <c r="G131" s="14">
        <f>(367+50+15)*3</f>
        <v>1296</v>
      </c>
      <c r="H131" s="14">
        <f>(367+50+15)*3+734*3</f>
        <v>3498</v>
      </c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12" t="s">
        <v>1</v>
      </c>
      <c r="AK131" s="2" t="s">
        <v>1</v>
      </c>
    </row>
    <row r="132" spans="2:37" ht="12">
      <c r="B132" s="13" t="s">
        <v>189</v>
      </c>
      <c r="C132" s="16" t="s">
        <v>241</v>
      </c>
      <c r="D132" s="11" t="s">
        <v>125</v>
      </c>
      <c r="E132" s="14">
        <f>(367+57+20)*3</f>
        <v>1332</v>
      </c>
      <c r="F132" s="14">
        <f>(367+57+20)*3+734*3</f>
        <v>3534</v>
      </c>
      <c r="G132" s="14">
        <f>(367+57+20)*3</f>
        <v>1332</v>
      </c>
      <c r="H132" s="14">
        <f>(367+57+20)*3+734*3</f>
        <v>3534</v>
      </c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12" t="s">
        <v>1</v>
      </c>
      <c r="AK132" s="2" t="s">
        <v>1</v>
      </c>
    </row>
    <row r="133" spans="2:37" ht="12">
      <c r="B133" s="13" t="s">
        <v>189</v>
      </c>
      <c r="C133" s="16" t="s">
        <v>242</v>
      </c>
      <c r="D133" s="11" t="s">
        <v>125</v>
      </c>
      <c r="E133" s="14">
        <f>(367+34)*3</f>
        <v>1203</v>
      </c>
      <c r="F133" s="14">
        <f>(367+34)*3+734*3</f>
        <v>3405</v>
      </c>
      <c r="G133" s="14">
        <f>(367+34)*3</f>
        <v>1203</v>
      </c>
      <c r="H133" s="14">
        <f>(367+34)*3+734*3</f>
        <v>3405</v>
      </c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12" t="s">
        <v>1</v>
      </c>
      <c r="AK133" s="2" t="s">
        <v>1</v>
      </c>
    </row>
    <row r="134" spans="2:37" ht="12">
      <c r="B134" s="13" t="s">
        <v>189</v>
      </c>
      <c r="C134" s="16" t="s">
        <v>243</v>
      </c>
      <c r="D134" s="11" t="s">
        <v>125</v>
      </c>
      <c r="E134" s="14">
        <f>(367+51+30)*3</f>
        <v>1344</v>
      </c>
      <c r="F134" s="14">
        <f>(367+51+30)*3+734*3</f>
        <v>3546</v>
      </c>
      <c r="G134" s="14">
        <f>(367+51+30)*3</f>
        <v>1344</v>
      </c>
      <c r="H134" s="14">
        <f>(367+51+30)*3+734*3</f>
        <v>3546</v>
      </c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12" t="s">
        <v>1</v>
      </c>
      <c r="AK134" s="2" t="s">
        <v>1</v>
      </c>
    </row>
    <row r="135" spans="2:37" ht="12">
      <c r="B135" s="13" t="s">
        <v>189</v>
      </c>
      <c r="C135" s="16" t="s">
        <v>244</v>
      </c>
      <c r="D135" s="11" t="s">
        <v>125</v>
      </c>
      <c r="E135" s="14">
        <f>(367+65+35)*3</f>
        <v>1401</v>
      </c>
      <c r="F135" s="14">
        <f>(367+65+35)*3+734*3</f>
        <v>3603</v>
      </c>
      <c r="G135" s="14">
        <f>(367+65+35)*3</f>
        <v>1401</v>
      </c>
      <c r="H135" s="14">
        <f>(367+65+35)*3+734*3</f>
        <v>3603</v>
      </c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12" t="s">
        <v>1</v>
      </c>
      <c r="AK135" s="2" t="s">
        <v>1</v>
      </c>
    </row>
    <row r="136" spans="2:37" ht="12">
      <c r="B136" s="13" t="s">
        <v>189</v>
      </c>
      <c r="C136" s="16" t="s">
        <v>245</v>
      </c>
      <c r="D136" s="11" t="s">
        <v>125</v>
      </c>
      <c r="E136" s="14">
        <f>(367+67+25)*3</f>
        <v>1377</v>
      </c>
      <c r="F136" s="14">
        <f>(367+67+25)*3+734*3</f>
        <v>3579</v>
      </c>
      <c r="G136" s="14">
        <f>(367+67+25)*3</f>
        <v>1377</v>
      </c>
      <c r="H136" s="14">
        <f>(367+67+25)*3+734*3</f>
        <v>3579</v>
      </c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12" t="s">
        <v>1</v>
      </c>
      <c r="AK136" s="2" t="s">
        <v>1</v>
      </c>
    </row>
    <row r="137" spans="2:37" ht="12">
      <c r="B137" s="13" t="s">
        <v>189</v>
      </c>
      <c r="C137" s="16" t="s">
        <v>246</v>
      </c>
      <c r="D137" s="11" t="s">
        <v>125</v>
      </c>
      <c r="E137" s="14">
        <f>(367+67+33)*3</f>
        <v>1401</v>
      </c>
      <c r="F137" s="14">
        <f>(367+67+33)*3+734*3</f>
        <v>3603</v>
      </c>
      <c r="G137" s="14">
        <f>(367+67+33)*3</f>
        <v>1401</v>
      </c>
      <c r="H137" s="14">
        <f>(367+67+33)*3+734*3</f>
        <v>3603</v>
      </c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12" t="s">
        <v>1</v>
      </c>
      <c r="AK137" s="2" t="s">
        <v>1</v>
      </c>
    </row>
    <row r="138" spans="2:37" ht="12">
      <c r="B138" s="13" t="s">
        <v>189</v>
      </c>
      <c r="C138" s="16" t="s">
        <v>247</v>
      </c>
      <c r="D138" s="11" t="s">
        <v>131</v>
      </c>
      <c r="E138" s="14">
        <f>(367+15)*3</f>
        <v>1146</v>
      </c>
      <c r="F138" s="14">
        <f>(367+15)*3+734*3</f>
        <v>3348</v>
      </c>
      <c r="G138" s="14"/>
      <c r="H138" s="14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12" t="s">
        <v>1</v>
      </c>
      <c r="AK138" s="2" t="s">
        <v>1</v>
      </c>
    </row>
    <row r="139" spans="2:37" ht="12">
      <c r="B139" s="13" t="s">
        <v>189</v>
      </c>
      <c r="C139" s="16" t="s">
        <v>248</v>
      </c>
      <c r="D139" s="11" t="s">
        <v>132</v>
      </c>
      <c r="E139" s="14">
        <f>(278+35+30)*3</f>
        <v>1029</v>
      </c>
      <c r="F139" s="14">
        <f>(278+35+30)*3+526*3</f>
        <v>2607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12" t="s">
        <v>1</v>
      </c>
      <c r="AK139" s="2" t="s">
        <v>1</v>
      </c>
    </row>
    <row r="140" spans="2:37" ht="12">
      <c r="B140" s="13" t="s">
        <v>189</v>
      </c>
      <c r="C140" s="16" t="s">
        <v>249</v>
      </c>
      <c r="D140" s="11" t="s">
        <v>132</v>
      </c>
      <c r="E140" s="14">
        <f>(278+10)*3</f>
        <v>864</v>
      </c>
      <c r="F140" s="14">
        <f>(278+10)*3+526*3</f>
        <v>2442</v>
      </c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12" t="s">
        <v>1</v>
      </c>
      <c r="AK140" s="2" t="s">
        <v>1</v>
      </c>
    </row>
    <row r="141" spans="2:37" ht="12">
      <c r="B141" s="13" t="s">
        <v>189</v>
      </c>
      <c r="C141" s="13" t="s">
        <v>250</v>
      </c>
      <c r="D141" s="11" t="s">
        <v>132</v>
      </c>
      <c r="E141" s="14">
        <f>(278+15)*3</f>
        <v>879</v>
      </c>
      <c r="F141" s="14">
        <f>(278+15)*3+526*3</f>
        <v>2457</v>
      </c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12" t="s">
        <v>1</v>
      </c>
      <c r="AK141" s="2" t="s">
        <v>1</v>
      </c>
    </row>
    <row r="142" spans="2:37" ht="12">
      <c r="B142" s="13" t="s">
        <v>189</v>
      </c>
      <c r="C142" s="13" t="s">
        <v>251</v>
      </c>
      <c r="D142" s="11" t="s">
        <v>132</v>
      </c>
      <c r="E142" s="14">
        <f>(278+20)*3</f>
        <v>894</v>
      </c>
      <c r="F142" s="14">
        <f>(278+20)*3+526*3</f>
        <v>2472</v>
      </c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12" t="s">
        <v>1</v>
      </c>
      <c r="AK142" s="2" t="s">
        <v>1</v>
      </c>
    </row>
    <row r="143" spans="2:37" ht="12">
      <c r="B143" s="13" t="s">
        <v>189</v>
      </c>
      <c r="C143" s="13" t="s">
        <v>252</v>
      </c>
      <c r="D143" s="11" t="s">
        <v>132</v>
      </c>
      <c r="E143" s="14">
        <f>(278+15)*3</f>
        <v>879</v>
      </c>
      <c r="F143" s="14">
        <f>(278+15)*3+526*3</f>
        <v>2457</v>
      </c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12" t="s">
        <v>1</v>
      </c>
      <c r="AK143" s="2" t="s">
        <v>1</v>
      </c>
    </row>
    <row r="144" spans="2:37" ht="12">
      <c r="B144" s="13" t="s">
        <v>189</v>
      </c>
      <c r="C144" s="13" t="s">
        <v>253</v>
      </c>
      <c r="D144" s="11" t="s">
        <v>132</v>
      </c>
      <c r="E144" s="14">
        <f>(278+15)*3</f>
        <v>879</v>
      </c>
      <c r="F144" s="14">
        <f>(278+15)*3+526*3</f>
        <v>2457</v>
      </c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12" t="s">
        <v>1</v>
      </c>
      <c r="AK144" s="2" t="s">
        <v>1</v>
      </c>
    </row>
    <row r="145" spans="2:37" ht="12">
      <c r="B145" s="13" t="s">
        <v>189</v>
      </c>
      <c r="C145" s="13" t="s">
        <v>254</v>
      </c>
      <c r="D145" s="11" t="s">
        <v>132</v>
      </c>
      <c r="E145" s="14">
        <f>(278+20)*3</f>
        <v>894</v>
      </c>
      <c r="F145" s="14">
        <f>(278+20)*3+526*3</f>
        <v>2472</v>
      </c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12" t="s">
        <v>1</v>
      </c>
      <c r="AK145" s="2" t="s">
        <v>1</v>
      </c>
    </row>
    <row r="146" spans="2:21" ht="12">
      <c r="B146" s="13" t="s">
        <v>189</v>
      </c>
      <c r="C146" s="13" t="s">
        <v>255</v>
      </c>
      <c r="D146" s="11" t="s">
        <v>132</v>
      </c>
      <c r="E146" s="14">
        <f>(278+30)*3</f>
        <v>924</v>
      </c>
      <c r="F146" s="14">
        <f>(278+30)*3+526*3</f>
        <v>2502</v>
      </c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12" t="s">
        <v>1</v>
      </c>
    </row>
    <row r="147" spans="2:21" ht="12">
      <c r="B147" s="13" t="s">
        <v>189</v>
      </c>
      <c r="C147" s="13" t="s">
        <v>256</v>
      </c>
      <c r="D147" s="11" t="s">
        <v>132</v>
      </c>
      <c r="E147" s="14">
        <f>(278+13)*3</f>
        <v>873</v>
      </c>
      <c r="F147" s="14">
        <f>(278+13)*3+526*3</f>
        <v>2451</v>
      </c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12" t="s">
        <v>1</v>
      </c>
    </row>
    <row r="148" spans="2:21" ht="12">
      <c r="B148" s="13" t="s">
        <v>189</v>
      </c>
      <c r="C148" s="13" t="s">
        <v>257</v>
      </c>
      <c r="D148" s="11" t="s">
        <v>132</v>
      </c>
      <c r="E148" s="14">
        <f>(278+30+25)*3</f>
        <v>999</v>
      </c>
      <c r="F148" s="14">
        <f>(278+30+25)*3+526*3</f>
        <v>2577</v>
      </c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12" t="s">
        <v>1</v>
      </c>
    </row>
    <row r="149" spans="2:21" ht="12">
      <c r="B149" s="13" t="s">
        <v>189</v>
      </c>
      <c r="C149" s="13" t="s">
        <v>258</v>
      </c>
      <c r="D149" s="11" t="s">
        <v>132</v>
      </c>
      <c r="E149" s="14">
        <f>(278+28)*3</f>
        <v>918</v>
      </c>
      <c r="F149" s="14">
        <f>(278+28)*3+526*3</f>
        <v>2496</v>
      </c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12" t="s">
        <v>1</v>
      </c>
    </row>
    <row r="150" spans="2:21" ht="12">
      <c r="B150" s="13" t="s">
        <v>189</v>
      </c>
      <c r="C150" s="13" t="s">
        <v>259</v>
      </c>
      <c r="D150" s="11" t="s">
        <v>132</v>
      </c>
      <c r="E150" s="14">
        <f>(278+15)*3</f>
        <v>879</v>
      </c>
      <c r="F150" s="14">
        <f>(278+15)*3+526*3</f>
        <v>2457</v>
      </c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12" t="s">
        <v>1</v>
      </c>
    </row>
    <row r="151" spans="2:21" ht="12">
      <c r="B151" s="13" t="s">
        <v>189</v>
      </c>
      <c r="C151" s="16" t="s">
        <v>260</v>
      </c>
      <c r="D151" s="11" t="s">
        <v>133</v>
      </c>
      <c r="E151" s="14">
        <f>(278+11)*3</f>
        <v>867</v>
      </c>
      <c r="F151" s="14">
        <f>(278+11)*3+526*3</f>
        <v>2445</v>
      </c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12" t="s">
        <v>1</v>
      </c>
    </row>
    <row r="152" spans="2:21" ht="12">
      <c r="B152" s="13" t="s">
        <v>189</v>
      </c>
      <c r="C152" s="13" t="s">
        <v>261</v>
      </c>
      <c r="D152" s="11" t="s">
        <v>133</v>
      </c>
      <c r="E152" s="14">
        <f>(278+45)*3</f>
        <v>969</v>
      </c>
      <c r="F152" s="14">
        <f>(278+45)*3+526*3</f>
        <v>2547</v>
      </c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12" t="s">
        <v>1</v>
      </c>
    </row>
    <row r="153" spans="2:21" ht="12">
      <c r="B153" s="13" t="s">
        <v>189</v>
      </c>
      <c r="C153" s="13" t="s">
        <v>262</v>
      </c>
      <c r="D153" s="11" t="s">
        <v>133</v>
      </c>
      <c r="E153" s="14">
        <f>(278+10)*3</f>
        <v>864</v>
      </c>
      <c r="F153" s="14">
        <f>(278+10)*3+526*3</f>
        <v>2442</v>
      </c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12" t="s">
        <v>1</v>
      </c>
    </row>
    <row r="154" spans="2:21" ht="12">
      <c r="B154" s="13" t="s">
        <v>189</v>
      </c>
      <c r="C154" s="19"/>
      <c r="D154" s="11" t="s">
        <v>135</v>
      </c>
      <c r="E154" s="14"/>
      <c r="F154" s="20" t="s">
        <v>263</v>
      </c>
      <c r="G154" s="14"/>
      <c r="H154" s="14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12" t="s">
        <v>1</v>
      </c>
    </row>
    <row r="155" spans="2:21" ht="12">
      <c r="B155" s="13" t="s">
        <v>189</v>
      </c>
      <c r="C155" s="7"/>
      <c r="D155" s="11" t="s">
        <v>135</v>
      </c>
      <c r="E155" s="14"/>
      <c r="F155" s="20" t="s">
        <v>263</v>
      </c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12" t="s">
        <v>1</v>
      </c>
    </row>
    <row r="156" spans="2:21" ht="12">
      <c r="B156" s="13" t="s">
        <v>189</v>
      </c>
      <c r="C156" s="19"/>
      <c r="D156" s="11" t="s">
        <v>135</v>
      </c>
      <c r="E156" s="14"/>
      <c r="F156" s="20" t="s">
        <v>263</v>
      </c>
      <c r="G156" s="14"/>
      <c r="H156" s="14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12" t="s">
        <v>1</v>
      </c>
    </row>
    <row r="157" spans="2:21" ht="12">
      <c r="B157" s="13" t="s">
        <v>189</v>
      </c>
      <c r="C157" s="19"/>
      <c r="D157" s="11" t="s">
        <v>135</v>
      </c>
      <c r="E157" s="14"/>
      <c r="F157" s="20" t="s">
        <v>263</v>
      </c>
      <c r="G157" s="14"/>
      <c r="H157" s="14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12" t="s">
        <v>1</v>
      </c>
    </row>
    <row r="158" spans="2:21" ht="12">
      <c r="B158" s="13" t="s">
        <v>189</v>
      </c>
      <c r="C158" s="7"/>
      <c r="D158" s="11" t="s">
        <v>135</v>
      </c>
      <c r="E158" s="14"/>
      <c r="F158" s="20" t="s">
        <v>263</v>
      </c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12" t="s">
        <v>1</v>
      </c>
    </row>
    <row r="159" spans="2:21" ht="12">
      <c r="B159" s="13" t="s">
        <v>189</v>
      </c>
      <c r="C159" s="19"/>
      <c r="D159" s="11" t="s">
        <v>135</v>
      </c>
      <c r="E159" s="14"/>
      <c r="F159" s="20" t="s">
        <v>263</v>
      </c>
      <c r="G159" s="14"/>
      <c r="H159" s="14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12" t="s">
        <v>1</v>
      </c>
    </row>
    <row r="160" spans="2:21" ht="12">
      <c r="B160" s="13" t="s">
        <v>189</v>
      </c>
      <c r="C160" s="19"/>
      <c r="D160" s="11" t="s">
        <v>135</v>
      </c>
      <c r="E160" s="14"/>
      <c r="F160" s="20" t="s">
        <v>263</v>
      </c>
      <c r="G160" s="14"/>
      <c r="H160" s="14"/>
      <c r="I160" s="7"/>
      <c r="J160" s="7"/>
      <c r="K160" s="14"/>
      <c r="L160" s="14"/>
      <c r="M160" s="14"/>
      <c r="N160" s="14"/>
      <c r="O160" s="7"/>
      <c r="P160" s="7"/>
      <c r="Q160" s="7"/>
      <c r="R160" s="7"/>
      <c r="S160" s="7"/>
      <c r="T160" s="7"/>
      <c r="U160" s="12" t="s">
        <v>1</v>
      </c>
    </row>
    <row r="161" spans="2:21" ht="12">
      <c r="B161" s="13" t="s">
        <v>189</v>
      </c>
      <c r="C161" s="7"/>
      <c r="D161" s="11" t="s">
        <v>135</v>
      </c>
      <c r="E161" s="14"/>
      <c r="F161" s="20" t="s">
        <v>263</v>
      </c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12" t="s">
        <v>1</v>
      </c>
    </row>
    <row r="162" spans="2:21" ht="12">
      <c r="B162" s="13" t="s">
        <v>189</v>
      </c>
      <c r="C162" s="7"/>
      <c r="D162" s="11" t="s">
        <v>135</v>
      </c>
      <c r="E162" s="14"/>
      <c r="F162" s="20" t="s">
        <v>263</v>
      </c>
      <c r="G162" s="14"/>
      <c r="H162" s="14"/>
      <c r="I162" s="14"/>
      <c r="J162" s="14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12" t="s">
        <v>1</v>
      </c>
    </row>
    <row r="163" spans="2:21" ht="12">
      <c r="B163" s="13" t="s">
        <v>189</v>
      </c>
      <c r="C163" s="19"/>
      <c r="D163" s="11" t="s">
        <v>135</v>
      </c>
      <c r="E163" s="14"/>
      <c r="F163" s="20" t="s">
        <v>263</v>
      </c>
      <c r="G163" s="14"/>
      <c r="H163" s="14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12" t="s">
        <v>1</v>
      </c>
    </row>
    <row r="164" spans="2:21" ht="12">
      <c r="B164" s="13" t="s">
        <v>189</v>
      </c>
      <c r="C164" s="19"/>
      <c r="D164" s="11" t="s">
        <v>135</v>
      </c>
      <c r="E164" s="14"/>
      <c r="F164" s="20" t="s">
        <v>263</v>
      </c>
      <c r="G164" s="14"/>
      <c r="H164" s="14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12" t="s">
        <v>1</v>
      </c>
    </row>
    <row r="165" spans="2:21" ht="12">
      <c r="B165" s="13" t="s">
        <v>189</v>
      </c>
      <c r="C165" s="7"/>
      <c r="D165" s="11" t="s">
        <v>135</v>
      </c>
      <c r="E165" s="14"/>
      <c r="F165" s="20" t="s">
        <v>263</v>
      </c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12" t="s">
        <v>1</v>
      </c>
    </row>
    <row r="166" spans="2:21" ht="12">
      <c r="B166" s="13" t="s">
        <v>189</v>
      </c>
      <c r="C166" s="7"/>
      <c r="D166" s="11" t="s">
        <v>135</v>
      </c>
      <c r="E166" s="14"/>
      <c r="F166" s="20" t="s">
        <v>263</v>
      </c>
      <c r="G166" s="14"/>
      <c r="H166" s="14"/>
      <c r="I166" s="14"/>
      <c r="J166" s="14"/>
      <c r="K166" s="7"/>
      <c r="L166" s="7"/>
      <c r="M166" s="7"/>
      <c r="N166" s="7"/>
      <c r="O166" s="7"/>
      <c r="P166" s="7"/>
      <c r="Q166" s="14"/>
      <c r="R166" s="7"/>
      <c r="S166" s="7"/>
      <c r="T166" s="7"/>
      <c r="U166" s="12" t="s">
        <v>1</v>
      </c>
    </row>
    <row r="167" spans="2:21" ht="12">
      <c r="B167" s="13" t="s">
        <v>189</v>
      </c>
      <c r="C167" s="7"/>
      <c r="D167" s="11" t="s">
        <v>135</v>
      </c>
      <c r="E167" s="14"/>
      <c r="F167" s="20" t="s">
        <v>263</v>
      </c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12" t="s">
        <v>1</v>
      </c>
    </row>
    <row r="168" spans="2:21" ht="12">
      <c r="B168" s="13" t="s">
        <v>189</v>
      </c>
      <c r="C168" s="19"/>
      <c r="D168" s="11" t="s">
        <v>135</v>
      </c>
      <c r="E168" s="14"/>
      <c r="F168" s="20" t="s">
        <v>263</v>
      </c>
      <c r="G168" s="14"/>
      <c r="H168" s="14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12" t="s">
        <v>1</v>
      </c>
    </row>
    <row r="169" spans="2:21" ht="12">
      <c r="B169" s="13" t="s">
        <v>189</v>
      </c>
      <c r="C169" s="7"/>
      <c r="D169" s="11" t="s">
        <v>135</v>
      </c>
      <c r="E169" s="14"/>
      <c r="F169" s="20" t="s">
        <v>263</v>
      </c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12" t="s">
        <v>1</v>
      </c>
    </row>
    <row r="170" spans="2:21" ht="12">
      <c r="B170" s="13" t="s">
        <v>189</v>
      </c>
      <c r="C170" s="19"/>
      <c r="D170" s="11" t="s">
        <v>135</v>
      </c>
      <c r="E170" s="14"/>
      <c r="F170" s="20" t="s">
        <v>263</v>
      </c>
      <c r="G170" s="14"/>
      <c r="H170" s="14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12" t="s">
        <v>1</v>
      </c>
    </row>
    <row r="171" spans="2:21" ht="12">
      <c r="B171" s="13" t="s">
        <v>189</v>
      </c>
      <c r="C171" s="7"/>
      <c r="D171" s="11" t="s">
        <v>135</v>
      </c>
      <c r="E171" s="14"/>
      <c r="F171" s="20" t="s">
        <v>263</v>
      </c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12" t="s">
        <v>1</v>
      </c>
    </row>
    <row r="172" spans="2:21" ht="12">
      <c r="B172" s="13" t="s">
        <v>189</v>
      </c>
      <c r="C172" s="19"/>
      <c r="D172" s="11" t="s">
        <v>135</v>
      </c>
      <c r="E172" s="14"/>
      <c r="F172" s="20" t="s">
        <v>263</v>
      </c>
      <c r="G172" s="14"/>
      <c r="H172" s="14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12" t="s">
        <v>1</v>
      </c>
    </row>
    <row r="173" spans="2:21" ht="12">
      <c r="B173" s="13" t="s">
        <v>189</v>
      </c>
      <c r="C173" s="19"/>
      <c r="D173" s="11" t="s">
        <v>135</v>
      </c>
      <c r="E173" s="14"/>
      <c r="F173" s="20" t="s">
        <v>263</v>
      </c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12" t="s">
        <v>1</v>
      </c>
    </row>
    <row r="174" spans="2:21" ht="12">
      <c r="B174" s="13" t="s">
        <v>189</v>
      </c>
      <c r="C174" s="19"/>
      <c r="D174" s="11" t="s">
        <v>135</v>
      </c>
      <c r="E174" s="14"/>
      <c r="F174" s="20" t="s">
        <v>263</v>
      </c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12" t="s">
        <v>1</v>
      </c>
    </row>
    <row r="175" spans="2:21" ht="12">
      <c r="B175" s="13" t="s">
        <v>189</v>
      </c>
      <c r="C175" s="19"/>
      <c r="D175" s="11" t="s">
        <v>135</v>
      </c>
      <c r="E175" s="14"/>
      <c r="F175" s="20" t="s">
        <v>263</v>
      </c>
      <c r="G175" s="14"/>
      <c r="H175" s="14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12" t="s">
        <v>1</v>
      </c>
    </row>
    <row r="176" spans="2:21" ht="12">
      <c r="B176" s="13" t="s">
        <v>189</v>
      </c>
      <c r="C176" s="7"/>
      <c r="D176" s="11" t="s">
        <v>135</v>
      </c>
      <c r="E176" s="14"/>
      <c r="F176" s="20" t="s">
        <v>263</v>
      </c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12" t="s">
        <v>1</v>
      </c>
    </row>
    <row r="177" spans="2:21" ht="12">
      <c r="B177" s="13" t="s">
        <v>189</v>
      </c>
      <c r="C177" s="7"/>
      <c r="D177" s="11" t="s">
        <v>135</v>
      </c>
      <c r="E177" s="14"/>
      <c r="F177" s="20" t="s">
        <v>263</v>
      </c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12" t="s">
        <v>1</v>
      </c>
    </row>
    <row r="178" spans="2:21" ht="12">
      <c r="B178" s="13" t="s">
        <v>189</v>
      </c>
      <c r="C178" s="7"/>
      <c r="D178" s="11" t="s">
        <v>135</v>
      </c>
      <c r="E178" s="14"/>
      <c r="F178" s="20" t="s">
        <v>263</v>
      </c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12" t="s">
        <v>1</v>
      </c>
    </row>
    <row r="179" spans="2:21" ht="12">
      <c r="B179" s="13" t="s">
        <v>189</v>
      </c>
      <c r="C179" s="19"/>
      <c r="D179" s="11" t="s">
        <v>135</v>
      </c>
      <c r="E179" s="14"/>
      <c r="F179" s="20" t="s">
        <v>263</v>
      </c>
      <c r="G179" s="14"/>
      <c r="H179" s="14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12" t="s">
        <v>1</v>
      </c>
    </row>
    <row r="180" spans="2:21" ht="12">
      <c r="B180" s="13" t="s">
        <v>189</v>
      </c>
      <c r="C180" s="19"/>
      <c r="D180" s="11" t="s">
        <v>135</v>
      </c>
      <c r="E180" s="14"/>
      <c r="F180" s="20" t="s">
        <v>263</v>
      </c>
      <c r="G180" s="14"/>
      <c r="H180" s="14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12" t="s">
        <v>1</v>
      </c>
    </row>
    <row r="181" spans="2:21" ht="12">
      <c r="B181" s="13" t="s">
        <v>189</v>
      </c>
      <c r="C181" s="7"/>
      <c r="D181" s="11" t="s">
        <v>135</v>
      </c>
      <c r="E181" s="14"/>
      <c r="F181" s="20" t="s">
        <v>263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12" t="s">
        <v>1</v>
      </c>
    </row>
    <row r="182" spans="2:21" ht="12">
      <c r="B182" s="13" t="s">
        <v>189</v>
      </c>
      <c r="C182" s="19"/>
      <c r="D182" s="11" t="s">
        <v>135</v>
      </c>
      <c r="E182" s="14"/>
      <c r="F182" s="20" t="s">
        <v>263</v>
      </c>
      <c r="G182" s="14"/>
      <c r="H182" s="14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12" t="s">
        <v>1</v>
      </c>
    </row>
    <row r="183" spans="2:21" ht="12">
      <c r="B183" s="13" t="s">
        <v>189</v>
      </c>
      <c r="C183" s="19"/>
      <c r="D183" s="11" t="s">
        <v>135</v>
      </c>
      <c r="E183" s="14"/>
      <c r="F183" s="20" t="s">
        <v>263</v>
      </c>
      <c r="G183" s="14"/>
      <c r="H183" s="14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12" t="s">
        <v>1</v>
      </c>
    </row>
    <row r="184" spans="2:21" ht="12">
      <c r="B184" s="13" t="s">
        <v>189</v>
      </c>
      <c r="C184" s="7"/>
      <c r="D184" s="11" t="s">
        <v>135</v>
      </c>
      <c r="E184" s="14"/>
      <c r="F184" s="20" t="s">
        <v>263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12" t="s">
        <v>1</v>
      </c>
    </row>
    <row r="185" spans="2:21" ht="12">
      <c r="B185" s="13" t="s">
        <v>189</v>
      </c>
      <c r="C185" s="19"/>
      <c r="D185" s="11" t="s">
        <v>135</v>
      </c>
      <c r="E185" s="14"/>
      <c r="F185" s="20" t="s">
        <v>263</v>
      </c>
      <c r="G185" s="14"/>
      <c r="H185" s="14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12" t="s">
        <v>1</v>
      </c>
    </row>
    <row r="186" spans="2:21" ht="12">
      <c r="B186" s="13" t="s">
        <v>189</v>
      </c>
      <c r="C186" s="19"/>
      <c r="D186" s="11" t="s">
        <v>135</v>
      </c>
      <c r="E186" s="14"/>
      <c r="F186" s="20" t="s">
        <v>263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12" t="s">
        <v>1</v>
      </c>
    </row>
    <row r="187" spans="2:21" ht="12">
      <c r="B187" s="13" t="s">
        <v>189</v>
      </c>
      <c r="C187" s="16" t="s">
        <v>264</v>
      </c>
      <c r="D187" s="11" t="s">
        <v>175</v>
      </c>
      <c r="E187" s="14">
        <f>(487+19+45)*3</f>
        <v>1653</v>
      </c>
      <c r="F187" s="14">
        <f>((487+19+45)*3)+(973*3)</f>
        <v>4572</v>
      </c>
      <c r="G187" s="14">
        <f>(487+19+45)*3</f>
        <v>1653</v>
      </c>
      <c r="H187" s="14">
        <f>((487+19+45)*3)+(973*3)</f>
        <v>4572</v>
      </c>
      <c r="I187" s="7"/>
      <c r="J187" s="7"/>
      <c r="K187" s="14">
        <f>(1168+19+45)*3</f>
        <v>3696</v>
      </c>
      <c r="L187" s="14">
        <f>(1168+19+45)*3+2335*3</f>
        <v>10701</v>
      </c>
      <c r="M187" s="14">
        <f>(1168+19+45)*3</f>
        <v>3696</v>
      </c>
      <c r="N187" s="14">
        <f>(1168+19+45)*3+2335*3</f>
        <v>10701</v>
      </c>
      <c r="O187" s="7"/>
      <c r="P187" s="7"/>
      <c r="Q187" s="7"/>
      <c r="R187" s="7"/>
      <c r="S187" s="7"/>
      <c r="T187" s="7"/>
      <c r="U187" s="12" t="s">
        <v>1</v>
      </c>
    </row>
    <row r="188" spans="2:21" ht="12">
      <c r="B188" s="13" t="s">
        <v>189</v>
      </c>
      <c r="C188" s="16" t="s">
        <v>265</v>
      </c>
      <c r="D188" s="11" t="s">
        <v>175</v>
      </c>
      <c r="E188" s="14">
        <f>(367+49+10)*3</f>
        <v>1278</v>
      </c>
      <c r="F188" s="14">
        <f>(367+49+10)*3+734*3</f>
        <v>3480</v>
      </c>
      <c r="G188" s="14">
        <f>(367+49+10)*3</f>
        <v>1278</v>
      </c>
      <c r="H188" s="14">
        <f>(367+49+10)*3+734*3</f>
        <v>3480</v>
      </c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12" t="s">
        <v>1</v>
      </c>
    </row>
    <row r="189" spans="1:21" ht="12">
      <c r="A189" s="1" t="s">
        <v>102</v>
      </c>
      <c r="B189" s="13" t="s">
        <v>191</v>
      </c>
      <c r="C189" s="16" t="s">
        <v>266</v>
      </c>
      <c r="D189" s="11" t="s">
        <v>105</v>
      </c>
      <c r="E189" s="14">
        <f>1320+92</f>
        <v>1412</v>
      </c>
      <c r="F189" s="14">
        <f>1980+1980+92</f>
        <v>4052</v>
      </c>
      <c r="G189" s="14">
        <f>1460+92</f>
        <v>1552</v>
      </c>
      <c r="H189" s="14">
        <f>2190+2190+92</f>
        <v>4472</v>
      </c>
      <c r="I189" s="14">
        <f>1890+92</f>
        <v>1982</v>
      </c>
      <c r="J189" s="14">
        <f>6570+92</f>
        <v>6662</v>
      </c>
      <c r="K189" s="14">
        <f>4290+92</f>
        <v>4382</v>
      </c>
      <c r="L189" s="14">
        <f>14430+92</f>
        <v>14522</v>
      </c>
      <c r="M189" s="14">
        <f>3540+92</f>
        <v>3632</v>
      </c>
      <c r="N189" s="14">
        <f>13620+92</f>
        <v>13712</v>
      </c>
      <c r="O189" s="7"/>
      <c r="P189" s="7"/>
      <c r="Q189" s="7"/>
      <c r="R189" s="7"/>
      <c r="S189" s="7"/>
      <c r="T189" s="7"/>
      <c r="U189" s="12" t="s">
        <v>1</v>
      </c>
    </row>
    <row r="190" spans="2:21" ht="12">
      <c r="B190" s="13" t="s">
        <v>191</v>
      </c>
      <c r="C190" s="16" t="s">
        <v>267</v>
      </c>
      <c r="D190" s="11" t="s">
        <v>108</v>
      </c>
      <c r="E190" s="14">
        <f>660+660+108</f>
        <v>1428</v>
      </c>
      <c r="F190" s="14">
        <f>1980+1980+108</f>
        <v>4068</v>
      </c>
      <c r="G190" s="14">
        <f>1460+108</f>
        <v>1568</v>
      </c>
      <c r="H190" s="14">
        <f>2190+2190+108</f>
        <v>4488</v>
      </c>
      <c r="I190" s="14">
        <f>1890+108</f>
        <v>1998</v>
      </c>
      <c r="J190" s="14">
        <f>6570+108</f>
        <v>6678</v>
      </c>
      <c r="K190" s="14">
        <f>4290+108</f>
        <v>4398</v>
      </c>
      <c r="L190" s="14">
        <f>14430+108</f>
        <v>14538</v>
      </c>
      <c r="M190" s="14">
        <f>3540+108</f>
        <v>3648</v>
      </c>
      <c r="N190" s="14">
        <f>13620+108</f>
        <v>13728</v>
      </c>
      <c r="O190" s="7"/>
      <c r="P190" s="7"/>
      <c r="Q190" s="7"/>
      <c r="R190" s="7"/>
      <c r="S190" s="7"/>
      <c r="T190" s="7"/>
      <c r="U190" s="12" t="s">
        <v>1</v>
      </c>
    </row>
    <row r="191" spans="2:21" ht="12">
      <c r="B191" s="13" t="s">
        <v>191</v>
      </c>
      <c r="C191" s="16" t="s">
        <v>268</v>
      </c>
      <c r="D191" s="17" t="s">
        <v>122</v>
      </c>
      <c r="E191" s="14">
        <v>1090</v>
      </c>
      <c r="F191" s="14">
        <v>3090</v>
      </c>
      <c r="G191" s="14">
        <v>1190</v>
      </c>
      <c r="H191" s="14">
        <v>3390</v>
      </c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12" t="s">
        <v>1</v>
      </c>
    </row>
    <row r="192" spans="2:21" ht="12">
      <c r="B192" s="13" t="s">
        <v>191</v>
      </c>
      <c r="C192" s="16" t="s">
        <v>269</v>
      </c>
      <c r="D192" s="17" t="s">
        <v>122</v>
      </c>
      <c r="E192" s="14">
        <v>1080</v>
      </c>
      <c r="F192" s="14">
        <v>3080</v>
      </c>
      <c r="G192" s="14">
        <v>1180</v>
      </c>
      <c r="H192" s="14">
        <v>3380</v>
      </c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12" t="s">
        <v>1</v>
      </c>
    </row>
    <row r="193" spans="2:21" ht="12">
      <c r="B193" s="13" t="s">
        <v>191</v>
      </c>
      <c r="C193" s="16" t="s">
        <v>270</v>
      </c>
      <c r="D193" s="17" t="s">
        <v>122</v>
      </c>
      <c r="E193" s="14">
        <v>1090</v>
      </c>
      <c r="F193" s="14">
        <v>3090</v>
      </c>
      <c r="G193" s="14">
        <v>1190</v>
      </c>
      <c r="H193" s="14">
        <v>3390</v>
      </c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12" t="s">
        <v>1</v>
      </c>
    </row>
    <row r="194" spans="2:21" ht="12">
      <c r="B194" s="13" t="s">
        <v>191</v>
      </c>
      <c r="C194" s="16" t="s">
        <v>271</v>
      </c>
      <c r="D194" s="11" t="s">
        <v>125</v>
      </c>
      <c r="E194" s="14">
        <v>1130</v>
      </c>
      <c r="F194" s="14">
        <v>3130</v>
      </c>
      <c r="G194" s="14">
        <v>1230</v>
      </c>
      <c r="H194" s="14">
        <v>3430</v>
      </c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12" t="s">
        <v>1</v>
      </c>
    </row>
    <row r="195" spans="2:21" ht="12">
      <c r="B195" s="13" t="s">
        <v>191</v>
      </c>
      <c r="C195" s="16" t="s">
        <v>272</v>
      </c>
      <c r="D195" s="11" t="s">
        <v>125</v>
      </c>
      <c r="E195" s="14">
        <v>1120</v>
      </c>
      <c r="F195" s="14">
        <v>3120</v>
      </c>
      <c r="G195" s="14">
        <v>1220</v>
      </c>
      <c r="H195" s="14">
        <v>3420</v>
      </c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12" t="s">
        <v>1</v>
      </c>
    </row>
    <row r="196" spans="2:21" ht="12">
      <c r="B196" s="13" t="s">
        <v>191</v>
      </c>
      <c r="C196" s="16" t="s">
        <v>273</v>
      </c>
      <c r="D196" s="11" t="s">
        <v>125</v>
      </c>
      <c r="E196" s="14">
        <v>1080</v>
      </c>
      <c r="F196" s="14">
        <v>3080</v>
      </c>
      <c r="G196" s="14">
        <v>1180</v>
      </c>
      <c r="H196" s="14">
        <v>3380</v>
      </c>
      <c r="I196" s="14">
        <v>1970</v>
      </c>
      <c r="J196" s="14">
        <v>6650</v>
      </c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12" t="s">
        <v>1</v>
      </c>
    </row>
    <row r="197" spans="2:21" ht="12">
      <c r="B197" s="13" t="s">
        <v>191</v>
      </c>
      <c r="C197" s="16" t="s">
        <v>274</v>
      </c>
      <c r="D197" s="11" t="s">
        <v>132</v>
      </c>
      <c r="E197" s="14">
        <v>560</v>
      </c>
      <c r="F197" s="14">
        <v>1680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12" t="s">
        <v>1</v>
      </c>
    </row>
    <row r="198" spans="2:21" ht="12">
      <c r="B198" s="13" t="s">
        <v>191</v>
      </c>
      <c r="C198" s="16" t="s">
        <v>275</v>
      </c>
      <c r="D198" s="11" t="s">
        <v>132</v>
      </c>
      <c r="E198" s="14">
        <v>560</v>
      </c>
      <c r="F198" s="14">
        <v>1680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12" t="s">
        <v>1</v>
      </c>
    </row>
    <row r="199" spans="2:21" ht="12">
      <c r="B199" s="13" t="s">
        <v>191</v>
      </c>
      <c r="C199" s="16" t="s">
        <v>276</v>
      </c>
      <c r="D199" s="11" t="s">
        <v>132</v>
      </c>
      <c r="E199" s="14">
        <v>560</v>
      </c>
      <c r="F199" s="14">
        <v>1680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12" t="s">
        <v>1</v>
      </c>
    </row>
    <row r="200" spans="2:21" ht="12">
      <c r="B200" s="13" t="s">
        <v>191</v>
      </c>
      <c r="C200" s="16" t="s">
        <v>277</v>
      </c>
      <c r="D200" s="11" t="s">
        <v>132</v>
      </c>
      <c r="E200" s="14">
        <v>560</v>
      </c>
      <c r="F200" s="14">
        <v>1680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12" t="s">
        <v>1</v>
      </c>
    </row>
    <row r="201" spans="2:21" ht="12">
      <c r="B201" s="13" t="s">
        <v>191</v>
      </c>
      <c r="C201" s="16" t="s">
        <v>278</v>
      </c>
      <c r="D201" s="11" t="s">
        <v>132</v>
      </c>
      <c r="E201" s="14">
        <v>560</v>
      </c>
      <c r="F201" s="14">
        <v>1680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12" t="s">
        <v>1</v>
      </c>
    </row>
    <row r="202" spans="2:21" ht="12">
      <c r="B202" s="13" t="s">
        <v>191</v>
      </c>
      <c r="C202" s="16" t="s">
        <v>279</v>
      </c>
      <c r="D202" s="11" t="s">
        <v>132</v>
      </c>
      <c r="E202" s="14">
        <v>560</v>
      </c>
      <c r="F202" s="14">
        <v>1680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12" t="s">
        <v>1</v>
      </c>
    </row>
    <row r="203" spans="2:21" ht="12">
      <c r="B203" s="13" t="s">
        <v>191</v>
      </c>
      <c r="C203" s="16" t="s">
        <v>280</v>
      </c>
      <c r="D203" s="11" t="s">
        <v>132</v>
      </c>
      <c r="E203" s="14">
        <f>560+92</f>
        <v>652</v>
      </c>
      <c r="F203" s="14">
        <f>1680+92</f>
        <v>1772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12" t="s">
        <v>1</v>
      </c>
    </row>
    <row r="204" spans="2:21" ht="12">
      <c r="B204" s="13" t="s">
        <v>191</v>
      </c>
      <c r="C204" s="16" t="s">
        <v>281</v>
      </c>
      <c r="D204" s="11" t="s">
        <v>132</v>
      </c>
      <c r="E204" s="14">
        <v>560</v>
      </c>
      <c r="F204" s="14">
        <v>1680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12" t="s">
        <v>1</v>
      </c>
    </row>
    <row r="205" spans="2:21" ht="12">
      <c r="B205" s="13" t="s">
        <v>191</v>
      </c>
      <c r="C205" s="16" t="s">
        <v>282</v>
      </c>
      <c r="D205" s="11" t="s">
        <v>132</v>
      </c>
      <c r="E205" s="14">
        <v>560</v>
      </c>
      <c r="F205" s="14">
        <v>1680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12" t="s">
        <v>1</v>
      </c>
    </row>
    <row r="206" spans="2:21" ht="12">
      <c r="B206" s="13" t="s">
        <v>191</v>
      </c>
      <c r="C206" s="13" t="s">
        <v>283</v>
      </c>
      <c r="D206" s="11" t="s">
        <v>132</v>
      </c>
      <c r="E206" s="14">
        <v>560</v>
      </c>
      <c r="F206" s="14">
        <v>1680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12" t="s">
        <v>1</v>
      </c>
    </row>
    <row r="207" spans="2:21" ht="12">
      <c r="B207" s="13" t="s">
        <v>191</v>
      </c>
      <c r="C207" s="16" t="s">
        <v>284</v>
      </c>
      <c r="D207" s="11" t="s">
        <v>132</v>
      </c>
      <c r="E207" s="14">
        <v>560</v>
      </c>
      <c r="F207" s="14">
        <v>1680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12" t="s">
        <v>1</v>
      </c>
    </row>
    <row r="208" spans="2:21" ht="12">
      <c r="B208" s="13" t="s">
        <v>191</v>
      </c>
      <c r="C208" s="16" t="s">
        <v>285</v>
      </c>
      <c r="D208" s="11" t="s">
        <v>132</v>
      </c>
      <c r="E208" s="14">
        <v>560</v>
      </c>
      <c r="F208" s="14">
        <v>1680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12" t="s">
        <v>1</v>
      </c>
    </row>
    <row r="209" spans="2:21" ht="12">
      <c r="B209" s="13" t="s">
        <v>191</v>
      </c>
      <c r="C209" s="16" t="s">
        <v>286</v>
      </c>
      <c r="D209" s="11" t="s">
        <v>132</v>
      </c>
      <c r="E209" s="14">
        <v>560</v>
      </c>
      <c r="F209" s="14">
        <v>1680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12" t="s">
        <v>1</v>
      </c>
    </row>
    <row r="210" spans="2:21" ht="12">
      <c r="B210" s="13" t="s">
        <v>191</v>
      </c>
      <c r="C210" s="16" t="s">
        <v>287</v>
      </c>
      <c r="D210" s="11" t="s">
        <v>132</v>
      </c>
      <c r="E210" s="14">
        <v>560</v>
      </c>
      <c r="F210" s="14">
        <v>1680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12" t="s">
        <v>1</v>
      </c>
    </row>
    <row r="211" spans="2:21" ht="12">
      <c r="B211" s="13" t="s">
        <v>191</v>
      </c>
      <c r="C211" s="16" t="s">
        <v>288</v>
      </c>
      <c r="D211" s="11" t="s">
        <v>135</v>
      </c>
      <c r="E211" s="14">
        <v>176</v>
      </c>
      <c r="F211" s="14">
        <v>960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12" t="s">
        <v>1</v>
      </c>
    </row>
    <row r="212" spans="2:21" ht="12">
      <c r="B212" s="13" t="s">
        <v>191</v>
      </c>
      <c r="C212" s="16" t="s">
        <v>289</v>
      </c>
      <c r="D212" s="11" t="s">
        <v>135</v>
      </c>
      <c r="E212" s="14">
        <v>176</v>
      </c>
      <c r="F212" s="14">
        <v>960</v>
      </c>
      <c r="G212" s="14"/>
      <c r="H212" s="14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12" t="s">
        <v>1</v>
      </c>
    </row>
    <row r="213" spans="2:21" ht="12">
      <c r="B213" s="13" t="s">
        <v>191</v>
      </c>
      <c r="C213" s="16" t="s">
        <v>290</v>
      </c>
      <c r="D213" s="11" t="s">
        <v>135</v>
      </c>
      <c r="E213" s="14">
        <v>176</v>
      </c>
      <c r="F213" s="14">
        <v>960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12" t="s">
        <v>1</v>
      </c>
    </row>
    <row r="214" spans="2:21" ht="12">
      <c r="B214" s="13" t="s">
        <v>191</v>
      </c>
      <c r="C214" s="16" t="s">
        <v>291</v>
      </c>
      <c r="D214" s="11" t="s">
        <v>135</v>
      </c>
      <c r="E214" s="14">
        <v>176</v>
      </c>
      <c r="F214" s="14">
        <v>960</v>
      </c>
      <c r="G214" s="14"/>
      <c r="H214" s="14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12" t="s">
        <v>1</v>
      </c>
    </row>
    <row r="215" spans="2:21" ht="12">
      <c r="B215" s="13" t="s">
        <v>191</v>
      </c>
      <c r="C215" s="16" t="s">
        <v>292</v>
      </c>
      <c r="D215" s="11" t="s">
        <v>135</v>
      </c>
      <c r="E215" s="14">
        <v>176</v>
      </c>
      <c r="F215" s="14">
        <v>960</v>
      </c>
      <c r="G215" s="14"/>
      <c r="H215" s="14"/>
      <c r="I215" s="14"/>
      <c r="J215" s="14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12" t="s">
        <v>1</v>
      </c>
    </row>
    <row r="216" spans="2:21" ht="12">
      <c r="B216" s="13" t="s">
        <v>191</v>
      </c>
      <c r="C216" s="16" t="s">
        <v>293</v>
      </c>
      <c r="D216" s="11" t="s">
        <v>135</v>
      </c>
      <c r="E216" s="14">
        <v>176</v>
      </c>
      <c r="F216" s="14">
        <v>960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12" t="s">
        <v>1</v>
      </c>
    </row>
    <row r="217" spans="2:21" ht="12">
      <c r="B217" s="13" t="s">
        <v>191</v>
      </c>
      <c r="C217" s="16" t="s">
        <v>294</v>
      </c>
      <c r="D217" s="11" t="s">
        <v>135</v>
      </c>
      <c r="E217" s="14">
        <v>176</v>
      </c>
      <c r="F217" s="14">
        <v>960</v>
      </c>
      <c r="G217" s="14"/>
      <c r="H217" s="14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12" t="s">
        <v>1</v>
      </c>
    </row>
    <row r="218" spans="2:21" ht="12">
      <c r="B218" s="13" t="s">
        <v>191</v>
      </c>
      <c r="C218" s="16" t="s">
        <v>295</v>
      </c>
      <c r="D218" s="11" t="s">
        <v>135</v>
      </c>
      <c r="E218" s="14">
        <v>176</v>
      </c>
      <c r="F218" s="14">
        <v>960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12" t="s">
        <v>1</v>
      </c>
    </row>
    <row r="219" spans="2:21" ht="12">
      <c r="B219" s="13" t="s">
        <v>191</v>
      </c>
      <c r="C219" s="16" t="s">
        <v>296</v>
      </c>
      <c r="D219" s="11" t="s">
        <v>135</v>
      </c>
      <c r="E219" s="14">
        <v>176</v>
      </c>
      <c r="F219" s="14">
        <v>960</v>
      </c>
      <c r="G219" s="14"/>
      <c r="H219" s="14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12" t="s">
        <v>1</v>
      </c>
    </row>
    <row r="220" spans="2:21" ht="12">
      <c r="B220" s="13" t="s">
        <v>191</v>
      </c>
      <c r="C220" s="16" t="s">
        <v>297</v>
      </c>
      <c r="D220" s="11" t="s">
        <v>135</v>
      </c>
      <c r="E220" s="14">
        <v>176</v>
      </c>
      <c r="F220" s="14">
        <v>960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12" t="s">
        <v>1</v>
      </c>
    </row>
    <row r="221" spans="2:21" ht="12">
      <c r="B221" s="13" t="s">
        <v>191</v>
      </c>
      <c r="C221" s="16" t="s">
        <v>298</v>
      </c>
      <c r="D221" s="11" t="s">
        <v>135</v>
      </c>
      <c r="E221" s="14">
        <v>176</v>
      </c>
      <c r="F221" s="14">
        <v>960</v>
      </c>
      <c r="G221" s="14"/>
      <c r="H221" s="14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12" t="s">
        <v>1</v>
      </c>
    </row>
    <row r="222" spans="2:21" ht="12">
      <c r="B222" s="13" t="s">
        <v>191</v>
      </c>
      <c r="C222" s="16" t="s">
        <v>299</v>
      </c>
      <c r="D222" s="11" t="s">
        <v>135</v>
      </c>
      <c r="E222" s="14">
        <v>176</v>
      </c>
      <c r="F222" s="14">
        <v>960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12" t="s">
        <v>1</v>
      </c>
    </row>
    <row r="223" spans="2:21" ht="12">
      <c r="B223" s="13" t="s">
        <v>191</v>
      </c>
      <c r="C223" s="16" t="s">
        <v>300</v>
      </c>
      <c r="D223" s="11" t="s">
        <v>135</v>
      </c>
      <c r="E223" s="14">
        <v>176</v>
      </c>
      <c r="F223" s="14">
        <v>960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12" t="s">
        <v>1</v>
      </c>
    </row>
    <row r="224" spans="2:21" ht="12">
      <c r="B224" s="13" t="s">
        <v>191</v>
      </c>
      <c r="C224" s="16" t="s">
        <v>301</v>
      </c>
      <c r="D224" s="11" t="s">
        <v>135</v>
      </c>
      <c r="E224" s="14">
        <v>176</v>
      </c>
      <c r="F224" s="14">
        <v>960</v>
      </c>
      <c r="G224" s="14"/>
      <c r="H224" s="14"/>
      <c r="I224" s="14"/>
      <c r="J224" s="14"/>
      <c r="K224" s="14"/>
      <c r="L224" s="14"/>
      <c r="M224" s="14"/>
      <c r="N224" s="14"/>
      <c r="O224" s="7"/>
      <c r="P224" s="7"/>
      <c r="Q224" s="7"/>
      <c r="R224" s="7"/>
      <c r="S224" s="7"/>
      <c r="T224" s="7"/>
      <c r="U224" s="12" t="s">
        <v>1</v>
      </c>
    </row>
    <row r="225" spans="1:21" ht="12">
      <c r="A225" s="1" t="s">
        <v>102</v>
      </c>
      <c r="B225" s="13" t="s">
        <v>193</v>
      </c>
      <c r="C225" s="16" t="s">
        <v>302</v>
      </c>
      <c r="D225" s="17" t="s">
        <v>105</v>
      </c>
      <c r="E225" s="14">
        <v>1724</v>
      </c>
      <c r="F225" s="14">
        <v>4524</v>
      </c>
      <c r="G225" s="14">
        <v>1730</v>
      </c>
      <c r="H225" s="14">
        <v>4530</v>
      </c>
      <c r="I225" s="7"/>
      <c r="J225" s="7"/>
      <c r="K225" s="7"/>
      <c r="L225" s="7"/>
      <c r="M225" s="7"/>
      <c r="N225" s="7"/>
      <c r="O225" s="7"/>
      <c r="P225" s="7"/>
      <c r="Q225" s="14">
        <v>2216</v>
      </c>
      <c r="R225" s="14">
        <v>9716</v>
      </c>
      <c r="S225" s="7"/>
      <c r="T225" s="7"/>
      <c r="U225" s="12" t="s">
        <v>1</v>
      </c>
    </row>
    <row r="226" spans="2:21" ht="12">
      <c r="B226" s="13" t="s">
        <v>193</v>
      </c>
      <c r="C226" s="16" t="s">
        <v>303</v>
      </c>
      <c r="D226" s="11" t="s">
        <v>118</v>
      </c>
      <c r="E226" s="14">
        <v>1436</v>
      </c>
      <c r="F226" s="14">
        <v>2381</v>
      </c>
      <c r="G226" s="14">
        <v>1436</v>
      </c>
      <c r="H226" s="14">
        <v>2381</v>
      </c>
      <c r="I226" s="7"/>
      <c r="J226" s="7"/>
      <c r="K226" s="7"/>
      <c r="L226" s="7"/>
      <c r="M226" s="7"/>
      <c r="N226" s="7"/>
      <c r="O226" s="7"/>
      <c r="P226" s="7"/>
      <c r="Q226" s="14"/>
      <c r="R226" s="7"/>
      <c r="S226" s="7"/>
      <c r="T226" s="7"/>
      <c r="U226" s="12" t="s">
        <v>1</v>
      </c>
    </row>
    <row r="227" spans="2:21" ht="12">
      <c r="B227" s="13" t="s">
        <v>193</v>
      </c>
      <c r="C227" s="16" t="s">
        <v>304</v>
      </c>
      <c r="D227" s="11" t="s">
        <v>118</v>
      </c>
      <c r="E227" s="14">
        <v>1218</v>
      </c>
      <c r="F227" s="14">
        <v>2358</v>
      </c>
      <c r="G227" s="14">
        <v>1217</v>
      </c>
      <c r="H227" s="14">
        <v>2567</v>
      </c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12" t="s">
        <v>1</v>
      </c>
    </row>
    <row r="228" spans="2:21" ht="12">
      <c r="B228" s="13" t="s">
        <v>193</v>
      </c>
      <c r="C228" s="16" t="s">
        <v>305</v>
      </c>
      <c r="D228" s="11" t="s">
        <v>118</v>
      </c>
      <c r="E228" s="14">
        <v>1327</v>
      </c>
      <c r="F228" s="14">
        <v>2677</v>
      </c>
      <c r="G228" s="14">
        <v>1293</v>
      </c>
      <c r="H228" s="14">
        <v>2643</v>
      </c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12" t="s">
        <v>1</v>
      </c>
    </row>
    <row r="229" spans="2:21" ht="12">
      <c r="B229" s="13" t="s">
        <v>193</v>
      </c>
      <c r="C229" s="16" t="s">
        <v>306</v>
      </c>
      <c r="D229" s="11" t="s">
        <v>118</v>
      </c>
      <c r="E229" s="14">
        <v>1524</v>
      </c>
      <c r="F229" s="14">
        <v>3900</v>
      </c>
      <c r="G229" s="14">
        <v>1524</v>
      </c>
      <c r="H229" s="14">
        <v>3900</v>
      </c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12" t="s">
        <v>1</v>
      </c>
    </row>
    <row r="230" spans="2:21" ht="12">
      <c r="B230" s="13" t="s">
        <v>193</v>
      </c>
      <c r="C230" s="16" t="s">
        <v>307</v>
      </c>
      <c r="D230" s="11" t="s">
        <v>118</v>
      </c>
      <c r="E230" s="14">
        <v>1231</v>
      </c>
      <c r="F230" s="14">
        <v>2881</v>
      </c>
      <c r="G230" s="14">
        <v>1223</v>
      </c>
      <c r="H230" s="14">
        <v>2873</v>
      </c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12" t="s">
        <v>1</v>
      </c>
    </row>
    <row r="231" spans="2:21" ht="12">
      <c r="B231" s="13" t="s">
        <v>193</v>
      </c>
      <c r="C231" s="16" t="s">
        <v>308</v>
      </c>
      <c r="D231" s="11" t="s">
        <v>125</v>
      </c>
      <c r="E231" s="14">
        <v>1364</v>
      </c>
      <c r="F231" s="14">
        <v>2714</v>
      </c>
      <c r="G231" s="14">
        <v>1174</v>
      </c>
      <c r="H231" s="14">
        <v>2524</v>
      </c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12" t="s">
        <v>1</v>
      </c>
    </row>
    <row r="232" spans="2:21" ht="12">
      <c r="B232" s="13" t="s">
        <v>193</v>
      </c>
      <c r="C232" s="16" t="s">
        <v>309</v>
      </c>
      <c r="D232" s="11" t="s">
        <v>125</v>
      </c>
      <c r="E232" s="14">
        <v>1200</v>
      </c>
      <c r="F232" s="14">
        <v>2880</v>
      </c>
      <c r="G232" s="14">
        <v>1200</v>
      </c>
      <c r="H232" s="14">
        <v>2880</v>
      </c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12" t="s">
        <v>1</v>
      </c>
    </row>
    <row r="233" spans="2:21" ht="12">
      <c r="B233" s="13" t="s">
        <v>193</v>
      </c>
      <c r="C233" s="16" t="s">
        <v>310</v>
      </c>
      <c r="D233" s="11" t="s">
        <v>125</v>
      </c>
      <c r="E233" s="14">
        <v>1247</v>
      </c>
      <c r="F233" s="14">
        <v>2597</v>
      </c>
      <c r="G233" s="14">
        <v>1247</v>
      </c>
      <c r="H233" s="14">
        <v>2327</v>
      </c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12" t="s">
        <v>1</v>
      </c>
    </row>
    <row r="234" spans="2:21" ht="12">
      <c r="B234" s="13" t="s">
        <v>193</v>
      </c>
      <c r="C234" s="16" t="s">
        <v>311</v>
      </c>
      <c r="D234" s="11" t="s">
        <v>125</v>
      </c>
      <c r="E234" s="14">
        <v>1238</v>
      </c>
      <c r="F234" s="14">
        <v>2588</v>
      </c>
      <c r="G234" s="14">
        <v>1237</v>
      </c>
      <c r="H234" s="14">
        <v>2587</v>
      </c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12" t="s">
        <v>1</v>
      </c>
    </row>
    <row r="235" spans="2:21" ht="12">
      <c r="B235" s="13" t="s">
        <v>193</v>
      </c>
      <c r="C235" s="16" t="s">
        <v>312</v>
      </c>
      <c r="D235" s="11" t="s">
        <v>125</v>
      </c>
      <c r="E235" s="14">
        <v>1334</v>
      </c>
      <c r="F235" s="14">
        <v>2774</v>
      </c>
      <c r="G235" s="14">
        <v>1314</v>
      </c>
      <c r="H235" s="14">
        <v>2754</v>
      </c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12" t="s">
        <v>1</v>
      </c>
    </row>
    <row r="236" spans="2:21" ht="12">
      <c r="B236" s="13" t="s">
        <v>193</v>
      </c>
      <c r="C236" s="16" t="s">
        <v>313</v>
      </c>
      <c r="D236" s="11" t="s">
        <v>125</v>
      </c>
      <c r="E236" s="14">
        <v>1130</v>
      </c>
      <c r="F236" s="14">
        <v>2652</v>
      </c>
      <c r="G236" s="14">
        <v>1150</v>
      </c>
      <c r="H236" s="14">
        <v>2306</v>
      </c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12" t="s">
        <v>1</v>
      </c>
    </row>
    <row r="237" spans="2:21" ht="12">
      <c r="B237" s="13" t="s">
        <v>193</v>
      </c>
      <c r="C237" s="16" t="s">
        <v>314</v>
      </c>
      <c r="D237" s="11" t="s">
        <v>125</v>
      </c>
      <c r="E237" s="14">
        <v>1144</v>
      </c>
      <c r="F237" s="14">
        <v>2702</v>
      </c>
      <c r="G237" s="14">
        <v>1164</v>
      </c>
      <c r="H237" s="14">
        <v>2356</v>
      </c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12" t="s">
        <v>1</v>
      </c>
    </row>
    <row r="238" spans="2:21" ht="12">
      <c r="B238" s="13" t="s">
        <v>193</v>
      </c>
      <c r="C238" s="16" t="s">
        <v>315</v>
      </c>
      <c r="D238" s="11" t="s">
        <v>132</v>
      </c>
      <c r="E238" s="14">
        <v>830</v>
      </c>
      <c r="F238" s="14">
        <v>2030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12" t="s">
        <v>1</v>
      </c>
    </row>
    <row r="239" spans="2:21" ht="12">
      <c r="B239" s="13" t="s">
        <v>193</v>
      </c>
      <c r="C239" s="16" t="s">
        <v>316</v>
      </c>
      <c r="D239" s="11" t="s">
        <v>132</v>
      </c>
      <c r="E239" s="14">
        <v>688</v>
      </c>
      <c r="F239" s="14">
        <v>2096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12" t="s">
        <v>1</v>
      </c>
    </row>
    <row r="240" spans="2:21" ht="12">
      <c r="B240" s="13" t="s">
        <v>193</v>
      </c>
      <c r="C240" s="16" t="s">
        <v>317</v>
      </c>
      <c r="D240" s="11" t="s">
        <v>132</v>
      </c>
      <c r="E240" s="14">
        <v>680</v>
      </c>
      <c r="F240" s="14">
        <v>2180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12" t="s">
        <v>1</v>
      </c>
    </row>
    <row r="241" spans="2:21" ht="12">
      <c r="B241" s="13" t="s">
        <v>193</v>
      </c>
      <c r="C241" s="16" t="s">
        <v>318</v>
      </c>
      <c r="D241" s="11" t="s">
        <v>132</v>
      </c>
      <c r="E241" s="14">
        <v>700</v>
      </c>
      <c r="F241" s="14">
        <v>1730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12" t="s">
        <v>1</v>
      </c>
    </row>
    <row r="242" spans="2:21" ht="12">
      <c r="B242" s="13" t="s">
        <v>193</v>
      </c>
      <c r="C242" s="16" t="s">
        <v>319</v>
      </c>
      <c r="D242" s="11" t="s">
        <v>175</v>
      </c>
      <c r="E242" s="7"/>
      <c r="F242" s="7"/>
      <c r="G242" s="7"/>
      <c r="H242" s="7"/>
      <c r="I242" s="14">
        <v>3000</v>
      </c>
      <c r="J242" s="14">
        <v>6600</v>
      </c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12" t="s">
        <v>1</v>
      </c>
    </row>
    <row r="243" spans="2:21" ht="12">
      <c r="B243" s="13" t="s">
        <v>193</v>
      </c>
      <c r="C243" s="16" t="s">
        <v>320</v>
      </c>
      <c r="D243" s="11" t="s">
        <v>175</v>
      </c>
      <c r="E243" s="7"/>
      <c r="F243" s="7"/>
      <c r="G243" s="7"/>
      <c r="H243" s="7"/>
      <c r="I243" s="7"/>
      <c r="J243" s="7"/>
      <c r="K243" s="14">
        <v>4500</v>
      </c>
      <c r="L243" s="14">
        <v>12300</v>
      </c>
      <c r="M243" s="14">
        <v>3500</v>
      </c>
      <c r="N243" s="14">
        <v>8100</v>
      </c>
      <c r="O243" s="7"/>
      <c r="P243" s="7"/>
      <c r="Q243" s="7"/>
      <c r="R243" s="7"/>
      <c r="S243" s="7"/>
      <c r="T243" s="7"/>
      <c r="U243" s="12" t="s">
        <v>1</v>
      </c>
    </row>
    <row r="244" spans="1:21" ht="12">
      <c r="A244" s="1" t="s">
        <v>102</v>
      </c>
      <c r="B244" s="13" t="s">
        <v>195</v>
      </c>
      <c r="C244" s="13" t="s">
        <v>321</v>
      </c>
      <c r="D244" s="11" t="s">
        <v>105</v>
      </c>
      <c r="E244" s="7">
        <v>1740</v>
      </c>
      <c r="F244" s="7">
        <v>4846</v>
      </c>
      <c r="G244" s="7">
        <v>2557</v>
      </c>
      <c r="H244" s="7">
        <v>4405</v>
      </c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12" t="s">
        <v>1</v>
      </c>
    </row>
    <row r="245" spans="2:21" ht="12">
      <c r="B245" s="13" t="s">
        <v>195</v>
      </c>
      <c r="C245" s="13" t="s">
        <v>322</v>
      </c>
      <c r="D245" s="11" t="s">
        <v>118</v>
      </c>
      <c r="E245" s="7">
        <v>1648</v>
      </c>
      <c r="F245" s="7">
        <v>3275</v>
      </c>
      <c r="G245" s="7">
        <v>1320</v>
      </c>
      <c r="H245" s="7">
        <v>1560</v>
      </c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12" t="s">
        <v>1</v>
      </c>
    </row>
    <row r="246" spans="2:21" ht="12">
      <c r="B246" s="13" t="s">
        <v>195</v>
      </c>
      <c r="C246" s="13" t="s">
        <v>323</v>
      </c>
      <c r="D246" s="11" t="s">
        <v>118</v>
      </c>
      <c r="E246" s="7">
        <v>1800</v>
      </c>
      <c r="F246" s="7">
        <v>4906</v>
      </c>
      <c r="G246" s="7">
        <v>2542</v>
      </c>
      <c r="H246" s="7">
        <v>4390</v>
      </c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12" t="s">
        <v>1</v>
      </c>
    </row>
    <row r="247" spans="2:21" ht="12">
      <c r="B247" s="13" t="s">
        <v>195</v>
      </c>
      <c r="C247" s="13" t="s">
        <v>324</v>
      </c>
      <c r="D247" s="11" t="s">
        <v>118</v>
      </c>
      <c r="E247" s="7">
        <v>1684</v>
      </c>
      <c r="F247" s="7">
        <v>4630</v>
      </c>
      <c r="G247" s="7">
        <v>2400</v>
      </c>
      <c r="H247" s="7">
        <v>4248</v>
      </c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12" t="s">
        <v>1</v>
      </c>
    </row>
    <row r="248" spans="2:21" ht="12">
      <c r="B248" s="13" t="s">
        <v>195</v>
      </c>
      <c r="C248" s="13" t="s">
        <v>325</v>
      </c>
      <c r="D248" s="17" t="s">
        <v>122</v>
      </c>
      <c r="E248" s="7">
        <v>1683</v>
      </c>
      <c r="F248" s="7">
        <v>3081</v>
      </c>
      <c r="G248" s="7">
        <v>1848</v>
      </c>
      <c r="H248" s="7">
        <v>1848</v>
      </c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12" t="s">
        <v>1</v>
      </c>
    </row>
    <row r="249" spans="2:21" ht="12">
      <c r="B249" s="13" t="s">
        <v>195</v>
      </c>
      <c r="C249" s="13" t="s">
        <v>326</v>
      </c>
      <c r="D249" s="11" t="s">
        <v>125</v>
      </c>
      <c r="E249" s="7">
        <v>1787</v>
      </c>
      <c r="F249" s="7">
        <v>3185</v>
      </c>
      <c r="G249" s="7">
        <v>1848</v>
      </c>
      <c r="H249" s="7">
        <v>1848</v>
      </c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12" t="s">
        <v>1</v>
      </c>
    </row>
    <row r="250" spans="2:21" ht="12">
      <c r="B250" s="13" t="s">
        <v>195</v>
      </c>
      <c r="C250" s="13" t="s">
        <v>327</v>
      </c>
      <c r="D250" s="11" t="s">
        <v>125</v>
      </c>
      <c r="E250" s="7">
        <v>1603</v>
      </c>
      <c r="F250" s="7">
        <v>3001</v>
      </c>
      <c r="G250" s="7">
        <v>1680</v>
      </c>
      <c r="H250" s="7">
        <v>1680</v>
      </c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12" t="s">
        <v>1</v>
      </c>
    </row>
    <row r="251" spans="2:21" ht="12">
      <c r="B251" s="13" t="s">
        <v>195</v>
      </c>
      <c r="C251" s="13" t="s">
        <v>177</v>
      </c>
      <c r="D251" s="11" t="s">
        <v>125</v>
      </c>
      <c r="E251" s="7">
        <v>1689</v>
      </c>
      <c r="F251" s="7">
        <v>3087</v>
      </c>
      <c r="G251" s="7">
        <v>1896</v>
      </c>
      <c r="H251" s="7">
        <v>1896</v>
      </c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12" t="s">
        <v>1</v>
      </c>
    </row>
    <row r="252" spans="2:21" ht="12">
      <c r="B252" s="13" t="s">
        <v>195</v>
      </c>
      <c r="C252" s="13" t="s">
        <v>328</v>
      </c>
      <c r="D252" s="11" t="s">
        <v>125</v>
      </c>
      <c r="E252" s="7">
        <v>1996</v>
      </c>
      <c r="F252" s="7">
        <v>3394</v>
      </c>
      <c r="G252" s="7">
        <v>1680</v>
      </c>
      <c r="H252" s="7">
        <v>1776</v>
      </c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12" t="s">
        <v>1</v>
      </c>
    </row>
    <row r="253" spans="2:21" ht="12">
      <c r="B253" s="13" t="s">
        <v>195</v>
      </c>
      <c r="C253" s="13" t="s">
        <v>329</v>
      </c>
      <c r="D253" s="11" t="s">
        <v>125</v>
      </c>
      <c r="E253" s="7">
        <v>1710</v>
      </c>
      <c r="F253" s="7">
        <v>3110</v>
      </c>
      <c r="G253" s="7">
        <v>2136</v>
      </c>
      <c r="H253" s="7">
        <v>2136</v>
      </c>
      <c r="I253" s="7">
        <v>3340</v>
      </c>
      <c r="J253" s="7">
        <v>6030</v>
      </c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12" t="s">
        <v>1</v>
      </c>
    </row>
    <row r="254" spans="2:21" ht="12">
      <c r="B254" s="13" t="s">
        <v>195</v>
      </c>
      <c r="C254" s="13" t="s">
        <v>330</v>
      </c>
      <c r="D254" s="11" t="s">
        <v>131</v>
      </c>
      <c r="E254" s="7">
        <v>2270</v>
      </c>
      <c r="F254" s="7">
        <v>3770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12" t="s">
        <v>1</v>
      </c>
    </row>
    <row r="255" spans="2:21" ht="12">
      <c r="B255" s="13" t="s">
        <v>195</v>
      </c>
      <c r="C255" s="13" t="s">
        <v>274</v>
      </c>
      <c r="D255" s="11" t="s">
        <v>133</v>
      </c>
      <c r="E255" s="7">
        <v>996</v>
      </c>
      <c r="F255" s="7">
        <v>2476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12" t="s">
        <v>1</v>
      </c>
    </row>
    <row r="256" spans="2:21" ht="12">
      <c r="B256" s="13" t="s">
        <v>195</v>
      </c>
      <c r="C256" s="13" t="s">
        <v>331</v>
      </c>
      <c r="D256" s="11" t="s">
        <v>133</v>
      </c>
      <c r="E256" s="7">
        <v>900</v>
      </c>
      <c r="F256" s="7">
        <v>3100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12" t="s">
        <v>1</v>
      </c>
    </row>
    <row r="257" spans="2:21" ht="12">
      <c r="B257" s="13" t="s">
        <v>195</v>
      </c>
      <c r="C257" s="13" t="s">
        <v>332</v>
      </c>
      <c r="D257" s="11" t="s">
        <v>133</v>
      </c>
      <c r="E257" s="7">
        <v>836</v>
      </c>
      <c r="F257" s="7">
        <v>2798</v>
      </c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12" t="s">
        <v>1</v>
      </c>
    </row>
    <row r="258" spans="2:21" ht="12">
      <c r="B258" s="13" t="s">
        <v>195</v>
      </c>
      <c r="C258" s="13" t="s">
        <v>333</v>
      </c>
      <c r="D258" s="11" t="s">
        <v>133</v>
      </c>
      <c r="E258" s="7">
        <v>960</v>
      </c>
      <c r="F258" s="7">
        <v>2880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12" t="s">
        <v>1</v>
      </c>
    </row>
    <row r="259" spans="2:21" ht="12">
      <c r="B259" s="13" t="s">
        <v>195</v>
      </c>
      <c r="C259" s="13" t="s">
        <v>334</v>
      </c>
      <c r="D259" s="11" t="s">
        <v>133</v>
      </c>
      <c r="E259" s="7">
        <v>810</v>
      </c>
      <c r="F259" s="7">
        <v>2430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12" t="s">
        <v>1</v>
      </c>
    </row>
    <row r="260" spans="2:21" ht="12">
      <c r="B260" s="13" t="s">
        <v>195</v>
      </c>
      <c r="C260" s="13" t="s">
        <v>335</v>
      </c>
      <c r="D260" s="11" t="s">
        <v>133</v>
      </c>
      <c r="E260" s="7">
        <v>1050</v>
      </c>
      <c r="F260" s="7">
        <v>3156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12" t="s">
        <v>1</v>
      </c>
    </row>
    <row r="261" spans="2:21" ht="12">
      <c r="B261" s="13" t="s">
        <v>195</v>
      </c>
      <c r="C261" s="13" t="s">
        <v>336</v>
      </c>
      <c r="D261" s="11" t="s">
        <v>133</v>
      </c>
      <c r="E261" s="7">
        <v>640</v>
      </c>
      <c r="F261" s="7">
        <v>3048</v>
      </c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12" t="s">
        <v>1</v>
      </c>
    </row>
    <row r="262" spans="2:21" ht="12">
      <c r="B262" s="13" t="s">
        <v>195</v>
      </c>
      <c r="C262" s="13" t="s">
        <v>337</v>
      </c>
      <c r="D262" s="11" t="s">
        <v>133</v>
      </c>
      <c r="E262" s="7">
        <v>836</v>
      </c>
      <c r="F262" s="7">
        <v>2798</v>
      </c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12" t="s">
        <v>1</v>
      </c>
    </row>
    <row r="263" spans="2:21" ht="12">
      <c r="B263" s="13" t="s">
        <v>195</v>
      </c>
      <c r="C263" s="13" t="s">
        <v>338</v>
      </c>
      <c r="D263" s="11" t="s">
        <v>133</v>
      </c>
      <c r="E263" s="7">
        <v>836</v>
      </c>
      <c r="F263" s="7">
        <v>2798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12" t="s">
        <v>1</v>
      </c>
    </row>
    <row r="264" spans="2:21" ht="12">
      <c r="B264" s="13" t="s">
        <v>195</v>
      </c>
      <c r="C264" s="13" t="s">
        <v>339</v>
      </c>
      <c r="D264" s="11" t="s">
        <v>133</v>
      </c>
      <c r="E264" s="7">
        <v>990</v>
      </c>
      <c r="F264" s="7">
        <v>3960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12" t="s">
        <v>1</v>
      </c>
    </row>
    <row r="265" spans="2:21" ht="12">
      <c r="B265" s="13" t="s">
        <v>195</v>
      </c>
      <c r="C265" s="13" t="s">
        <v>340</v>
      </c>
      <c r="D265" s="11" t="s">
        <v>133</v>
      </c>
      <c r="E265" s="7">
        <v>780</v>
      </c>
      <c r="F265" s="7">
        <v>2940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12" t="s">
        <v>1</v>
      </c>
    </row>
    <row r="266" spans="2:21" ht="12">
      <c r="B266" s="13" t="s">
        <v>195</v>
      </c>
      <c r="C266" s="13" t="s">
        <v>341</v>
      </c>
      <c r="D266" s="11" t="s">
        <v>133</v>
      </c>
      <c r="E266" s="7">
        <v>870</v>
      </c>
      <c r="F266" s="7">
        <v>2340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12" t="s">
        <v>1</v>
      </c>
    </row>
    <row r="267" spans="2:21" ht="12">
      <c r="B267" s="13" t="s">
        <v>195</v>
      </c>
      <c r="C267" s="13" t="s">
        <v>342</v>
      </c>
      <c r="D267" s="11" t="s">
        <v>133</v>
      </c>
      <c r="E267" s="7">
        <v>900</v>
      </c>
      <c r="F267" s="7">
        <v>3210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12" t="s">
        <v>1</v>
      </c>
    </row>
    <row r="268" spans="2:21" ht="12">
      <c r="B268" s="13" t="s">
        <v>195</v>
      </c>
      <c r="C268" s="13" t="s">
        <v>343</v>
      </c>
      <c r="D268" s="11" t="s">
        <v>133</v>
      </c>
      <c r="E268" s="7">
        <v>1120</v>
      </c>
      <c r="F268" s="7">
        <v>4200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12" t="s">
        <v>1</v>
      </c>
    </row>
    <row r="269" spans="2:21" ht="12">
      <c r="B269" s="13" t="s">
        <v>195</v>
      </c>
      <c r="C269" s="13" t="s">
        <v>344</v>
      </c>
      <c r="D269" s="11" t="s">
        <v>133</v>
      </c>
      <c r="E269" s="7">
        <v>1140</v>
      </c>
      <c r="F269" s="7">
        <v>2940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12" t="s">
        <v>1</v>
      </c>
    </row>
    <row r="270" spans="2:21" ht="12">
      <c r="B270" s="13" t="s">
        <v>195</v>
      </c>
      <c r="C270" s="13" t="s">
        <v>345</v>
      </c>
      <c r="D270" s="11" t="s">
        <v>133</v>
      </c>
      <c r="E270" s="7">
        <v>1200</v>
      </c>
      <c r="F270" s="7">
        <v>4890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12" t="s">
        <v>1</v>
      </c>
    </row>
    <row r="271" spans="2:21" ht="12">
      <c r="B271" s="13" t="s">
        <v>195</v>
      </c>
      <c r="C271" s="13" t="s">
        <v>346</v>
      </c>
      <c r="D271" s="11" t="s">
        <v>133</v>
      </c>
      <c r="E271" s="7">
        <v>810</v>
      </c>
      <c r="F271" s="7">
        <v>3900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12" t="s">
        <v>1</v>
      </c>
    </row>
    <row r="272" spans="2:21" ht="12">
      <c r="B272" s="13" t="s">
        <v>195</v>
      </c>
      <c r="C272" s="13" t="s">
        <v>347</v>
      </c>
      <c r="D272" s="11" t="s">
        <v>175</v>
      </c>
      <c r="E272" s="7">
        <v>1688</v>
      </c>
      <c r="F272" s="7">
        <v>4794</v>
      </c>
      <c r="G272" s="7">
        <v>2332</v>
      </c>
      <c r="H272" s="7">
        <v>5026</v>
      </c>
      <c r="I272" s="7">
        <v>3726</v>
      </c>
      <c r="J272" s="7">
        <v>6806</v>
      </c>
      <c r="K272" s="7">
        <v>6288</v>
      </c>
      <c r="L272" s="7">
        <v>12470</v>
      </c>
      <c r="M272" s="7">
        <v>5434</v>
      </c>
      <c r="N272" s="7">
        <v>12086</v>
      </c>
      <c r="O272" s="7"/>
      <c r="P272" s="7"/>
      <c r="Q272" s="7"/>
      <c r="R272" s="7"/>
      <c r="S272" s="7"/>
      <c r="T272" s="7"/>
      <c r="U272" s="12" t="s">
        <v>1</v>
      </c>
    </row>
    <row r="273" spans="1:21" ht="12">
      <c r="A273" s="1" t="s">
        <v>102</v>
      </c>
      <c r="B273" s="13" t="s">
        <v>197</v>
      </c>
      <c r="C273" s="17" t="s">
        <v>322</v>
      </c>
      <c r="D273" s="11" t="s">
        <v>108</v>
      </c>
      <c r="E273" s="14">
        <v>1778</v>
      </c>
      <c r="F273" s="14">
        <v>2960</v>
      </c>
      <c r="G273" s="14">
        <v>1778</v>
      </c>
      <c r="H273" s="14">
        <v>2960</v>
      </c>
      <c r="I273" s="14"/>
      <c r="J273" s="14"/>
      <c r="K273" s="14"/>
      <c r="L273" s="14"/>
      <c r="M273" s="14"/>
      <c r="N273" s="14"/>
      <c r="O273" s="14"/>
      <c r="P273" s="14"/>
      <c r="Q273" s="14">
        <v>2199</v>
      </c>
      <c r="R273" s="14">
        <v>3381</v>
      </c>
      <c r="S273" s="14"/>
      <c r="T273" s="7"/>
      <c r="U273" s="12" t="s">
        <v>1</v>
      </c>
    </row>
    <row r="274" spans="2:21" ht="12">
      <c r="B274" s="13" t="s">
        <v>197</v>
      </c>
      <c r="C274" s="17" t="s">
        <v>137</v>
      </c>
      <c r="D274" s="11" t="s">
        <v>108</v>
      </c>
      <c r="E274" s="14">
        <v>1780</v>
      </c>
      <c r="F274" s="14">
        <v>2962</v>
      </c>
      <c r="G274" s="14">
        <v>1780</v>
      </c>
      <c r="H274" s="14">
        <v>2962</v>
      </c>
      <c r="I274" s="14">
        <v>2080</v>
      </c>
      <c r="J274" s="14">
        <v>3262</v>
      </c>
      <c r="K274" s="14"/>
      <c r="L274" s="14"/>
      <c r="M274" s="14"/>
      <c r="N274" s="14"/>
      <c r="O274" s="14"/>
      <c r="P274" s="14"/>
      <c r="Q274" s="14"/>
      <c r="R274" s="14"/>
      <c r="S274" s="14"/>
      <c r="T274" s="7"/>
      <c r="U274" s="12" t="s">
        <v>1</v>
      </c>
    </row>
    <row r="275" spans="2:21" ht="12">
      <c r="B275" s="13" t="s">
        <v>197</v>
      </c>
      <c r="C275" s="17" t="s">
        <v>348</v>
      </c>
      <c r="D275" s="11" t="s">
        <v>108</v>
      </c>
      <c r="E275" s="14">
        <v>1684</v>
      </c>
      <c r="F275" s="14">
        <v>2874</v>
      </c>
      <c r="G275" s="14">
        <v>1684</v>
      </c>
      <c r="H275" s="14">
        <v>2874</v>
      </c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7"/>
      <c r="U275" s="12" t="s">
        <v>1</v>
      </c>
    </row>
    <row r="276" spans="2:21" ht="12">
      <c r="B276" s="13" t="s">
        <v>197</v>
      </c>
      <c r="C276" s="11" t="s">
        <v>349</v>
      </c>
      <c r="D276" s="11" t="s">
        <v>118</v>
      </c>
      <c r="E276" s="14">
        <v>1490</v>
      </c>
      <c r="F276" s="14">
        <v>2672</v>
      </c>
      <c r="G276" s="14">
        <v>1490</v>
      </c>
      <c r="H276" s="14">
        <v>2672</v>
      </c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7"/>
      <c r="U276" s="12" t="s">
        <v>1</v>
      </c>
    </row>
    <row r="277" spans="2:21" ht="12">
      <c r="B277" s="13" t="s">
        <v>197</v>
      </c>
      <c r="C277" s="17" t="s">
        <v>123</v>
      </c>
      <c r="D277" s="11" t="s">
        <v>118</v>
      </c>
      <c r="E277" s="14">
        <v>1500</v>
      </c>
      <c r="F277" s="14">
        <v>2576</v>
      </c>
      <c r="G277" s="14">
        <v>1500</v>
      </c>
      <c r="H277" s="14">
        <v>2576</v>
      </c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7"/>
      <c r="U277" s="12" t="s">
        <v>1</v>
      </c>
    </row>
    <row r="278" spans="2:21" ht="12">
      <c r="B278" s="13" t="s">
        <v>197</v>
      </c>
      <c r="C278" s="17" t="s">
        <v>124</v>
      </c>
      <c r="D278" s="11" t="s">
        <v>125</v>
      </c>
      <c r="E278" s="14">
        <v>1550</v>
      </c>
      <c r="F278" s="14">
        <v>2732</v>
      </c>
      <c r="G278" s="14">
        <v>1550</v>
      </c>
      <c r="H278" s="14">
        <v>2732</v>
      </c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7"/>
      <c r="U278" s="12" t="s">
        <v>1</v>
      </c>
    </row>
    <row r="279" spans="2:21" ht="12">
      <c r="B279" s="13" t="s">
        <v>197</v>
      </c>
      <c r="C279" s="17" t="s">
        <v>350</v>
      </c>
      <c r="D279" s="11" t="s">
        <v>125</v>
      </c>
      <c r="E279" s="14">
        <v>1580</v>
      </c>
      <c r="F279" s="14">
        <v>2762</v>
      </c>
      <c r="G279" s="14">
        <v>1580</v>
      </c>
      <c r="H279" s="14">
        <v>2762</v>
      </c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7"/>
      <c r="U279" s="12" t="s">
        <v>1</v>
      </c>
    </row>
    <row r="280" spans="2:21" ht="12">
      <c r="B280" s="13" t="s">
        <v>197</v>
      </c>
      <c r="C280" s="17" t="s">
        <v>351</v>
      </c>
      <c r="D280" s="11" t="s">
        <v>125</v>
      </c>
      <c r="E280" s="14">
        <v>1660</v>
      </c>
      <c r="F280" s="14">
        <v>2842</v>
      </c>
      <c r="G280" s="14">
        <v>1660</v>
      </c>
      <c r="H280" s="14">
        <v>2842</v>
      </c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7"/>
      <c r="U280" s="12" t="s">
        <v>1</v>
      </c>
    </row>
    <row r="281" spans="2:21" ht="12">
      <c r="B281" s="13" t="s">
        <v>197</v>
      </c>
      <c r="C281" s="16" t="s">
        <v>352</v>
      </c>
      <c r="D281" s="11" t="s">
        <v>133</v>
      </c>
      <c r="E281" s="14">
        <v>750</v>
      </c>
      <c r="F281" s="14">
        <v>2000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12" t="s">
        <v>1</v>
      </c>
    </row>
    <row r="282" spans="2:21" ht="12">
      <c r="B282" s="13" t="s">
        <v>197</v>
      </c>
      <c r="C282" s="16" t="s">
        <v>353</v>
      </c>
      <c r="D282" s="11" t="s">
        <v>133</v>
      </c>
      <c r="E282" s="14">
        <v>610</v>
      </c>
      <c r="F282" s="14">
        <v>1210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12" t="s">
        <v>1</v>
      </c>
    </row>
    <row r="283" spans="2:21" ht="12">
      <c r="B283" s="13" t="s">
        <v>197</v>
      </c>
      <c r="C283" s="16" t="s">
        <v>354</v>
      </c>
      <c r="D283" s="11" t="s">
        <v>133</v>
      </c>
      <c r="E283" s="14">
        <v>700</v>
      </c>
      <c r="F283" s="14">
        <v>1000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12" t="s">
        <v>1</v>
      </c>
    </row>
    <row r="284" spans="2:21" ht="12">
      <c r="B284" s="13" t="s">
        <v>197</v>
      </c>
      <c r="C284" s="16" t="s">
        <v>355</v>
      </c>
      <c r="D284" s="11" t="s">
        <v>133</v>
      </c>
      <c r="E284" s="14">
        <v>680</v>
      </c>
      <c r="F284" s="14">
        <v>1060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12" t="s">
        <v>1</v>
      </c>
    </row>
    <row r="285" spans="2:21" ht="12">
      <c r="B285" s="13" t="s">
        <v>197</v>
      </c>
      <c r="C285" s="16" t="s">
        <v>356</v>
      </c>
      <c r="D285" s="11" t="s">
        <v>133</v>
      </c>
      <c r="E285" s="14">
        <v>600</v>
      </c>
      <c r="F285" s="14">
        <v>1224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12" t="s">
        <v>1</v>
      </c>
    </row>
    <row r="286" spans="2:21" ht="12">
      <c r="B286" s="13" t="s">
        <v>197</v>
      </c>
      <c r="C286" s="16" t="s">
        <v>357</v>
      </c>
      <c r="D286" s="11" t="s">
        <v>133</v>
      </c>
      <c r="E286" s="14">
        <v>604</v>
      </c>
      <c r="F286" s="14">
        <v>1400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12" t="s">
        <v>1</v>
      </c>
    </row>
    <row r="287" spans="2:21" ht="12">
      <c r="B287" s="13" t="s">
        <v>197</v>
      </c>
      <c r="C287" s="16" t="s">
        <v>358</v>
      </c>
      <c r="D287" s="11" t="s">
        <v>133</v>
      </c>
      <c r="E287" s="14">
        <v>600</v>
      </c>
      <c r="F287" s="14">
        <v>1050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12" t="s">
        <v>1</v>
      </c>
    </row>
    <row r="288" spans="2:21" ht="12">
      <c r="B288" s="13" t="s">
        <v>197</v>
      </c>
      <c r="C288" s="16" t="s">
        <v>359</v>
      </c>
      <c r="D288" s="11" t="s">
        <v>133</v>
      </c>
      <c r="E288" s="14">
        <v>536</v>
      </c>
      <c r="F288" s="14">
        <v>1136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12" t="s">
        <v>1</v>
      </c>
    </row>
    <row r="289" spans="2:21" ht="12">
      <c r="B289" s="13" t="s">
        <v>197</v>
      </c>
      <c r="C289" s="16" t="s">
        <v>360</v>
      </c>
      <c r="D289" s="11" t="s">
        <v>133</v>
      </c>
      <c r="E289" s="14">
        <v>600</v>
      </c>
      <c r="F289" s="14">
        <v>1200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12" t="s">
        <v>1</v>
      </c>
    </row>
    <row r="290" spans="2:21" ht="12">
      <c r="B290" s="13" t="s">
        <v>197</v>
      </c>
      <c r="C290" s="16" t="s">
        <v>361</v>
      </c>
      <c r="D290" s="11" t="s">
        <v>133</v>
      </c>
      <c r="E290" s="14">
        <v>550</v>
      </c>
      <c r="F290" s="14">
        <v>1150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12" t="s">
        <v>1</v>
      </c>
    </row>
    <row r="291" spans="2:21" ht="12">
      <c r="B291" s="13" t="s">
        <v>197</v>
      </c>
      <c r="C291" s="16" t="s">
        <v>362</v>
      </c>
      <c r="D291" s="11" t="s">
        <v>133</v>
      </c>
      <c r="E291" s="14">
        <v>600</v>
      </c>
      <c r="F291" s="14">
        <v>1010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12" t="s">
        <v>1</v>
      </c>
    </row>
    <row r="292" spans="2:21" ht="12">
      <c r="B292" s="13" t="s">
        <v>197</v>
      </c>
      <c r="C292" s="16" t="s">
        <v>304</v>
      </c>
      <c r="D292" s="11" t="s">
        <v>133</v>
      </c>
      <c r="E292" s="14">
        <v>600</v>
      </c>
      <c r="F292" s="14">
        <v>1220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12" t="s">
        <v>1</v>
      </c>
    </row>
    <row r="293" spans="2:21" ht="12">
      <c r="B293" s="13" t="s">
        <v>197</v>
      </c>
      <c r="C293" s="16" t="s">
        <v>363</v>
      </c>
      <c r="D293" s="11" t="s">
        <v>133</v>
      </c>
      <c r="E293" s="14">
        <v>754</v>
      </c>
      <c r="F293" s="14">
        <v>1230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12" t="s">
        <v>1</v>
      </c>
    </row>
    <row r="294" spans="2:21" ht="12">
      <c r="B294" s="13" t="s">
        <v>197</v>
      </c>
      <c r="C294" s="16" t="s">
        <v>364</v>
      </c>
      <c r="D294" s="11" t="s">
        <v>133</v>
      </c>
      <c r="E294" s="14">
        <v>550</v>
      </c>
      <c r="F294" s="14">
        <v>1150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12" t="s">
        <v>1</v>
      </c>
    </row>
    <row r="295" spans="2:21" ht="12">
      <c r="B295" s="13" t="s">
        <v>197</v>
      </c>
      <c r="C295" s="16" t="s">
        <v>365</v>
      </c>
      <c r="D295" s="11" t="s">
        <v>133</v>
      </c>
      <c r="E295" s="14">
        <v>500</v>
      </c>
      <c r="F295" s="14">
        <v>1200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12" t="s">
        <v>1</v>
      </c>
    </row>
    <row r="296" spans="2:21" ht="12">
      <c r="B296" s="13" t="s">
        <v>197</v>
      </c>
      <c r="C296" s="17" t="s">
        <v>366</v>
      </c>
      <c r="D296" s="11" t="s">
        <v>175</v>
      </c>
      <c r="E296" s="14"/>
      <c r="F296" s="14"/>
      <c r="G296" s="14"/>
      <c r="H296" s="14"/>
      <c r="I296" s="14"/>
      <c r="J296" s="14"/>
      <c r="K296" s="14">
        <v>6050</v>
      </c>
      <c r="L296" s="14">
        <v>12050</v>
      </c>
      <c r="M296" s="14">
        <v>4050</v>
      </c>
      <c r="N296" s="14">
        <v>10050</v>
      </c>
      <c r="O296" s="14"/>
      <c r="P296" s="14"/>
      <c r="Q296" s="14"/>
      <c r="R296" s="14"/>
      <c r="S296" s="14"/>
      <c r="T296" s="7"/>
      <c r="U296" s="12" t="s">
        <v>1</v>
      </c>
    </row>
    <row r="297" spans="1:21" ht="12">
      <c r="A297" s="1" t="s">
        <v>102</v>
      </c>
      <c r="B297" s="13" t="s">
        <v>199</v>
      </c>
      <c r="C297" s="16" t="s">
        <v>367</v>
      </c>
      <c r="D297" s="11" t="s">
        <v>105</v>
      </c>
      <c r="E297" s="14">
        <v>896</v>
      </c>
      <c r="F297" s="14">
        <v>4498</v>
      </c>
      <c r="G297" s="14">
        <v>896</v>
      </c>
      <c r="H297" s="14">
        <v>4498</v>
      </c>
      <c r="I297" s="7"/>
      <c r="J297" s="7"/>
      <c r="K297" s="7"/>
      <c r="L297" s="7"/>
      <c r="M297" s="7"/>
      <c r="N297" s="7"/>
      <c r="O297" s="7"/>
      <c r="P297" s="7"/>
      <c r="Q297" s="7">
        <v>1516</v>
      </c>
      <c r="R297" s="7">
        <v>6878</v>
      </c>
      <c r="S297" s="7"/>
      <c r="T297" s="7"/>
      <c r="U297" s="12" t="s">
        <v>1</v>
      </c>
    </row>
    <row r="298" spans="2:21" ht="12">
      <c r="B298" s="13" t="s">
        <v>199</v>
      </c>
      <c r="C298" s="16" t="s">
        <v>368</v>
      </c>
      <c r="D298" s="11" t="s">
        <v>105</v>
      </c>
      <c r="E298" s="14">
        <v>845</v>
      </c>
      <c r="F298" s="14">
        <v>4447</v>
      </c>
      <c r="G298" s="14">
        <v>841</v>
      </c>
      <c r="H298" s="14">
        <v>4443</v>
      </c>
      <c r="I298" s="14">
        <v>889</v>
      </c>
      <c r="J298" s="14">
        <v>5033</v>
      </c>
      <c r="K298" s="14">
        <v>1470</v>
      </c>
      <c r="L298" s="14">
        <v>7438</v>
      </c>
      <c r="M298" s="14">
        <v>1720</v>
      </c>
      <c r="N298" s="14">
        <v>7222</v>
      </c>
      <c r="O298" s="7"/>
      <c r="P298" s="7"/>
      <c r="Q298" s="7"/>
      <c r="R298" s="7"/>
      <c r="S298" s="14">
        <v>1461</v>
      </c>
      <c r="T298" s="14">
        <v>5405</v>
      </c>
      <c r="U298" s="12" t="s">
        <v>1</v>
      </c>
    </row>
    <row r="299" spans="2:21" ht="12">
      <c r="B299" s="13" t="s">
        <v>199</v>
      </c>
      <c r="C299" s="16" t="s">
        <v>369</v>
      </c>
      <c r="D299" s="11" t="s">
        <v>108</v>
      </c>
      <c r="E299" s="14">
        <v>989</v>
      </c>
      <c r="F299" s="14">
        <v>4591</v>
      </c>
      <c r="G299" s="14">
        <v>989</v>
      </c>
      <c r="H299" s="14">
        <v>4591</v>
      </c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12" t="s">
        <v>1</v>
      </c>
    </row>
    <row r="300" spans="2:21" ht="12">
      <c r="B300" s="13" t="s">
        <v>199</v>
      </c>
      <c r="C300" s="16" t="s">
        <v>370</v>
      </c>
      <c r="D300" s="11" t="s">
        <v>118</v>
      </c>
      <c r="E300" s="14">
        <v>842</v>
      </c>
      <c r="F300" s="14">
        <v>4342</v>
      </c>
      <c r="G300" s="14">
        <v>842</v>
      </c>
      <c r="H300" s="14">
        <v>4342</v>
      </c>
      <c r="I300" s="7"/>
      <c r="J300" s="7"/>
      <c r="K300" s="14">
        <v>1534</v>
      </c>
      <c r="L300" s="14">
        <v>7502</v>
      </c>
      <c r="M300" s="7"/>
      <c r="N300" s="7"/>
      <c r="O300" s="7"/>
      <c r="P300" s="7"/>
      <c r="Q300" s="7"/>
      <c r="R300" s="7"/>
      <c r="S300" s="7"/>
      <c r="T300" s="7"/>
      <c r="U300" s="12" t="s">
        <v>1</v>
      </c>
    </row>
    <row r="301" spans="2:21" ht="12">
      <c r="B301" s="13" t="s">
        <v>199</v>
      </c>
      <c r="C301" s="16" t="s">
        <v>124</v>
      </c>
      <c r="D301" s="17" t="s">
        <v>122</v>
      </c>
      <c r="E301" s="14">
        <v>853</v>
      </c>
      <c r="F301" s="14">
        <v>4353</v>
      </c>
      <c r="G301" s="14">
        <v>883</v>
      </c>
      <c r="H301" s="14">
        <v>4383</v>
      </c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12" t="s">
        <v>1</v>
      </c>
    </row>
    <row r="302" spans="2:21" ht="12">
      <c r="B302" s="13" t="s">
        <v>199</v>
      </c>
      <c r="C302" s="16" t="s">
        <v>371</v>
      </c>
      <c r="D302" s="17" t="s">
        <v>122</v>
      </c>
      <c r="E302" s="14">
        <v>889</v>
      </c>
      <c r="F302" s="14">
        <v>4389</v>
      </c>
      <c r="G302" s="14">
        <v>889</v>
      </c>
      <c r="H302" s="14">
        <v>4389</v>
      </c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12" t="s">
        <v>1</v>
      </c>
    </row>
    <row r="303" spans="2:21" ht="12">
      <c r="B303" s="13" t="s">
        <v>199</v>
      </c>
      <c r="C303" s="16" t="s">
        <v>372</v>
      </c>
      <c r="D303" s="17" t="s">
        <v>122</v>
      </c>
      <c r="E303" s="14">
        <v>894</v>
      </c>
      <c r="F303" s="14">
        <v>4394</v>
      </c>
      <c r="G303" s="14">
        <v>867</v>
      </c>
      <c r="H303" s="14">
        <v>4367</v>
      </c>
      <c r="I303" s="14">
        <v>864</v>
      </c>
      <c r="J303" s="14">
        <v>4882</v>
      </c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12" t="s">
        <v>1</v>
      </c>
    </row>
    <row r="304" spans="2:21" ht="12">
      <c r="B304" s="13" t="s">
        <v>199</v>
      </c>
      <c r="C304" s="16" t="s">
        <v>373</v>
      </c>
      <c r="D304" s="17" t="s">
        <v>122</v>
      </c>
      <c r="E304" s="14">
        <v>777</v>
      </c>
      <c r="F304" s="14">
        <v>4277</v>
      </c>
      <c r="G304" s="14">
        <v>777</v>
      </c>
      <c r="H304" s="14">
        <v>4277</v>
      </c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12" t="s">
        <v>1</v>
      </c>
    </row>
    <row r="305" spans="2:21" ht="12">
      <c r="B305" s="13" t="s">
        <v>199</v>
      </c>
      <c r="C305" s="16" t="s">
        <v>374</v>
      </c>
      <c r="D305" s="17" t="s">
        <v>122</v>
      </c>
      <c r="E305" s="14">
        <v>870</v>
      </c>
      <c r="F305" s="14">
        <v>4370</v>
      </c>
      <c r="G305" s="14">
        <v>906</v>
      </c>
      <c r="H305" s="14">
        <v>4406</v>
      </c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12" t="s">
        <v>1</v>
      </c>
    </row>
    <row r="306" spans="2:21" ht="12">
      <c r="B306" s="13" t="s">
        <v>199</v>
      </c>
      <c r="C306" s="16" t="s">
        <v>177</v>
      </c>
      <c r="D306" s="11" t="s">
        <v>125</v>
      </c>
      <c r="E306" s="14">
        <v>822</v>
      </c>
      <c r="F306" s="14">
        <v>4322</v>
      </c>
      <c r="G306" s="14">
        <v>822</v>
      </c>
      <c r="H306" s="14">
        <v>4322</v>
      </c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12" t="s">
        <v>1</v>
      </c>
    </row>
    <row r="307" spans="2:21" ht="12">
      <c r="B307" s="13" t="s">
        <v>199</v>
      </c>
      <c r="C307" s="16" t="s">
        <v>375</v>
      </c>
      <c r="D307" s="11" t="s">
        <v>125</v>
      </c>
      <c r="E307" s="14">
        <v>706</v>
      </c>
      <c r="F307" s="14">
        <v>3782</v>
      </c>
      <c r="G307" s="14">
        <v>706</v>
      </c>
      <c r="H307" s="14">
        <v>3782</v>
      </c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12" t="s">
        <v>1</v>
      </c>
    </row>
    <row r="308" spans="2:21" ht="12">
      <c r="B308" s="13" t="s">
        <v>199</v>
      </c>
      <c r="C308" s="16" t="s">
        <v>376</v>
      </c>
      <c r="D308" s="11" t="s">
        <v>125</v>
      </c>
      <c r="E308" s="14">
        <v>911</v>
      </c>
      <c r="F308" s="14">
        <v>4411</v>
      </c>
      <c r="G308" s="14">
        <v>911</v>
      </c>
      <c r="H308" s="14">
        <v>4411</v>
      </c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12" t="s">
        <v>1</v>
      </c>
    </row>
    <row r="309" spans="2:21" ht="12">
      <c r="B309" s="13" t="s">
        <v>199</v>
      </c>
      <c r="C309" s="16" t="s">
        <v>377</v>
      </c>
      <c r="D309" s="11" t="s">
        <v>131</v>
      </c>
      <c r="E309" s="14">
        <v>882</v>
      </c>
      <c r="F309" s="14">
        <v>3958</v>
      </c>
      <c r="G309" s="14"/>
      <c r="H309" s="14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12" t="s">
        <v>1</v>
      </c>
    </row>
    <row r="310" spans="2:21" ht="12">
      <c r="B310" s="13" t="s">
        <v>199</v>
      </c>
      <c r="C310" s="16" t="s">
        <v>377</v>
      </c>
      <c r="D310" s="11" t="s">
        <v>131</v>
      </c>
      <c r="E310" s="14">
        <v>882</v>
      </c>
      <c r="F310" s="14">
        <v>3958</v>
      </c>
      <c r="G310" s="14"/>
      <c r="H310" s="14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12" t="s">
        <v>1</v>
      </c>
    </row>
    <row r="311" spans="2:21" ht="12">
      <c r="B311" s="13" t="s">
        <v>199</v>
      </c>
      <c r="C311" s="16" t="s">
        <v>378</v>
      </c>
      <c r="D311" s="11" t="s">
        <v>131</v>
      </c>
      <c r="E311" s="14">
        <v>798</v>
      </c>
      <c r="F311" s="14">
        <v>3874</v>
      </c>
      <c r="G311" s="14"/>
      <c r="H311" s="14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12" t="s">
        <v>1</v>
      </c>
    </row>
    <row r="312" spans="2:21" ht="12">
      <c r="B312" s="13" t="s">
        <v>199</v>
      </c>
      <c r="C312" s="16" t="s">
        <v>378</v>
      </c>
      <c r="D312" s="11" t="s">
        <v>131</v>
      </c>
      <c r="E312" s="14">
        <v>798</v>
      </c>
      <c r="F312" s="14">
        <v>3874</v>
      </c>
      <c r="G312" s="14"/>
      <c r="H312" s="14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12" t="s">
        <v>1</v>
      </c>
    </row>
    <row r="313" spans="2:21" ht="12">
      <c r="B313" s="13" t="s">
        <v>199</v>
      </c>
      <c r="C313" s="16" t="s">
        <v>379</v>
      </c>
      <c r="D313" s="11" t="s">
        <v>131</v>
      </c>
      <c r="E313" s="14">
        <v>776</v>
      </c>
      <c r="F313" s="14">
        <v>3852</v>
      </c>
      <c r="G313" s="14"/>
      <c r="H313" s="14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12" t="s">
        <v>1</v>
      </c>
    </row>
    <row r="314" spans="2:21" ht="12">
      <c r="B314" s="13" t="s">
        <v>199</v>
      </c>
      <c r="C314" s="16" t="s">
        <v>379</v>
      </c>
      <c r="D314" s="11" t="s">
        <v>131</v>
      </c>
      <c r="E314" s="14">
        <v>776</v>
      </c>
      <c r="F314" s="14">
        <v>3852</v>
      </c>
      <c r="G314" s="14"/>
      <c r="H314" s="14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12" t="s">
        <v>1</v>
      </c>
    </row>
    <row r="315" spans="2:21" ht="12">
      <c r="B315" s="13" t="s">
        <v>199</v>
      </c>
      <c r="C315" s="16" t="s">
        <v>380</v>
      </c>
      <c r="D315" s="11" t="s">
        <v>133</v>
      </c>
      <c r="E315" s="14">
        <v>243</v>
      </c>
      <c r="F315" s="14">
        <v>2124</v>
      </c>
      <c r="G315" s="14"/>
      <c r="H315" s="14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12" t="s">
        <v>1</v>
      </c>
    </row>
    <row r="316" spans="2:21" ht="12">
      <c r="B316" s="13" t="s">
        <v>199</v>
      </c>
      <c r="C316" s="13" t="s">
        <v>381</v>
      </c>
      <c r="D316" s="11" t="s">
        <v>133</v>
      </c>
      <c r="E316" s="14">
        <v>242</v>
      </c>
      <c r="F316" s="14">
        <v>2123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12" t="s">
        <v>1</v>
      </c>
    </row>
    <row r="317" spans="2:21" ht="12">
      <c r="B317" s="13" t="s">
        <v>199</v>
      </c>
      <c r="C317" s="13" t="s">
        <v>382</v>
      </c>
      <c r="D317" s="11" t="s">
        <v>133</v>
      </c>
      <c r="E317" s="14">
        <v>246</v>
      </c>
      <c r="F317" s="14">
        <v>2127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12" t="s">
        <v>1</v>
      </c>
    </row>
    <row r="318" spans="2:21" ht="12">
      <c r="B318" s="13" t="s">
        <v>199</v>
      </c>
      <c r="C318" s="16" t="s">
        <v>383</v>
      </c>
      <c r="D318" s="11" t="s">
        <v>133</v>
      </c>
      <c r="E318" s="14">
        <v>243</v>
      </c>
      <c r="F318" s="14">
        <v>2124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12" t="s">
        <v>1</v>
      </c>
    </row>
    <row r="319" spans="2:21" ht="12">
      <c r="B319" s="13" t="s">
        <v>199</v>
      </c>
      <c r="C319" s="16" t="s">
        <v>384</v>
      </c>
      <c r="D319" s="11" t="s">
        <v>133</v>
      </c>
      <c r="E319" s="14">
        <v>253</v>
      </c>
      <c r="F319" s="14">
        <v>2134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12" t="s">
        <v>1</v>
      </c>
    </row>
    <row r="320" spans="2:21" ht="12">
      <c r="B320" s="13" t="s">
        <v>199</v>
      </c>
      <c r="C320" s="16" t="s">
        <v>385</v>
      </c>
      <c r="D320" s="11" t="s">
        <v>133</v>
      </c>
      <c r="E320" s="14">
        <v>237</v>
      </c>
      <c r="F320" s="14">
        <v>2118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12" t="s">
        <v>1</v>
      </c>
    </row>
    <row r="321" spans="2:21" ht="12">
      <c r="B321" s="13" t="s">
        <v>199</v>
      </c>
      <c r="C321" s="16" t="s">
        <v>386</v>
      </c>
      <c r="D321" s="11" t="s">
        <v>133</v>
      </c>
      <c r="E321" s="14">
        <v>251</v>
      </c>
      <c r="F321" s="14">
        <v>2132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12" t="s">
        <v>1</v>
      </c>
    </row>
    <row r="322" spans="2:21" ht="12">
      <c r="B322" s="13" t="s">
        <v>199</v>
      </c>
      <c r="C322" s="16" t="s">
        <v>387</v>
      </c>
      <c r="D322" s="11" t="s">
        <v>133</v>
      </c>
      <c r="E322" s="14">
        <v>253</v>
      </c>
      <c r="F322" s="14">
        <v>2134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12" t="s">
        <v>1</v>
      </c>
    </row>
    <row r="323" spans="2:21" ht="12">
      <c r="B323" s="13" t="s">
        <v>199</v>
      </c>
      <c r="C323" s="16" t="s">
        <v>388</v>
      </c>
      <c r="D323" s="11" t="s">
        <v>133</v>
      </c>
      <c r="E323" s="14">
        <v>240</v>
      </c>
      <c r="F323" s="14">
        <v>2121</v>
      </c>
      <c r="U323" s="12" t="s">
        <v>1</v>
      </c>
    </row>
    <row r="324" spans="2:21" ht="12">
      <c r="B324" s="13" t="s">
        <v>199</v>
      </c>
      <c r="C324" s="16" t="s">
        <v>389</v>
      </c>
      <c r="D324" s="11" t="s">
        <v>133</v>
      </c>
      <c r="E324" s="14">
        <v>241</v>
      </c>
      <c r="F324" s="14">
        <v>2122</v>
      </c>
      <c r="U324" s="12" t="s">
        <v>1</v>
      </c>
    </row>
    <row r="325" spans="2:21" ht="12">
      <c r="B325" s="13" t="s">
        <v>199</v>
      </c>
      <c r="C325" s="16" t="s">
        <v>390</v>
      </c>
      <c r="D325" s="11" t="s">
        <v>133</v>
      </c>
      <c r="E325" s="14">
        <v>238</v>
      </c>
      <c r="F325" s="14">
        <v>2119</v>
      </c>
      <c r="U325" s="12" t="s">
        <v>1</v>
      </c>
    </row>
    <row r="326" spans="2:21" ht="12">
      <c r="B326" s="13" t="s">
        <v>199</v>
      </c>
      <c r="C326" s="16" t="s">
        <v>391</v>
      </c>
      <c r="D326" s="11" t="s">
        <v>133</v>
      </c>
      <c r="E326" s="14">
        <v>243</v>
      </c>
      <c r="F326" s="14">
        <v>2124</v>
      </c>
      <c r="U326" s="12" t="s">
        <v>1</v>
      </c>
    </row>
    <row r="327" spans="2:21" ht="12">
      <c r="B327" s="13" t="s">
        <v>199</v>
      </c>
      <c r="C327" s="16" t="s">
        <v>392</v>
      </c>
      <c r="D327" s="11" t="s">
        <v>133</v>
      </c>
      <c r="E327" s="14">
        <v>243</v>
      </c>
      <c r="F327" s="14">
        <v>2124</v>
      </c>
      <c r="U327" s="12" t="s">
        <v>1</v>
      </c>
    </row>
    <row r="328" spans="2:21" ht="12">
      <c r="B328" s="13" t="s">
        <v>199</v>
      </c>
      <c r="C328" s="16" t="s">
        <v>393</v>
      </c>
      <c r="D328" s="11" t="s">
        <v>133</v>
      </c>
      <c r="E328" s="14">
        <v>231</v>
      </c>
      <c r="F328" s="14">
        <v>2112</v>
      </c>
      <c r="U328" s="12" t="s">
        <v>1</v>
      </c>
    </row>
    <row r="329" spans="2:21" ht="12">
      <c r="B329" s="13" t="s">
        <v>199</v>
      </c>
      <c r="C329" s="16" t="s">
        <v>394</v>
      </c>
      <c r="D329" s="11" t="s">
        <v>133</v>
      </c>
      <c r="E329" s="14">
        <v>249</v>
      </c>
      <c r="F329" s="14">
        <v>2130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12" t="s">
        <v>1</v>
      </c>
    </row>
    <row r="330" spans="2:21" ht="12">
      <c r="B330" s="13" t="s">
        <v>199</v>
      </c>
      <c r="C330" s="16" t="s">
        <v>395</v>
      </c>
      <c r="D330" s="11" t="s">
        <v>133</v>
      </c>
      <c r="E330" s="14">
        <v>240</v>
      </c>
      <c r="F330" s="14">
        <v>2121</v>
      </c>
      <c r="G330" s="14"/>
      <c r="H330" s="14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12" t="s">
        <v>1</v>
      </c>
    </row>
    <row r="331" spans="2:21" ht="12">
      <c r="B331" s="13" t="s">
        <v>199</v>
      </c>
      <c r="C331" s="16" t="s">
        <v>396</v>
      </c>
      <c r="D331" s="11" t="s">
        <v>133</v>
      </c>
      <c r="E331" s="14">
        <v>252</v>
      </c>
      <c r="F331" s="14">
        <v>2133</v>
      </c>
      <c r="G331" s="14"/>
      <c r="H331" s="14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12" t="s">
        <v>1</v>
      </c>
    </row>
    <row r="332" spans="2:21" ht="12">
      <c r="B332" s="13" t="s">
        <v>199</v>
      </c>
      <c r="C332" s="1" t="s">
        <v>397</v>
      </c>
      <c r="D332" s="11" t="s">
        <v>133</v>
      </c>
      <c r="E332" s="21">
        <v>248</v>
      </c>
      <c r="F332" s="21">
        <v>2129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12" t="s">
        <v>1</v>
      </c>
    </row>
    <row r="333" spans="2:21" ht="12">
      <c r="B333" s="13" t="s">
        <v>199</v>
      </c>
      <c r="C333" s="16" t="s">
        <v>398</v>
      </c>
      <c r="D333" s="11" t="s">
        <v>133</v>
      </c>
      <c r="E333" s="14">
        <v>246</v>
      </c>
      <c r="F333" s="14">
        <v>2127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12" t="s">
        <v>1</v>
      </c>
    </row>
    <row r="334" spans="2:21" ht="12">
      <c r="B334" s="13" t="s">
        <v>199</v>
      </c>
      <c r="C334" s="16" t="s">
        <v>399</v>
      </c>
      <c r="D334" s="11" t="s">
        <v>133</v>
      </c>
      <c r="E334" s="14">
        <v>234</v>
      </c>
      <c r="F334" s="14">
        <v>2115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12" t="s">
        <v>1</v>
      </c>
    </row>
    <row r="335" spans="2:21" ht="12">
      <c r="B335" s="13" t="s">
        <v>199</v>
      </c>
      <c r="C335" s="16" t="s">
        <v>400</v>
      </c>
      <c r="D335" s="11" t="s">
        <v>133</v>
      </c>
      <c r="E335" s="14">
        <v>234</v>
      </c>
      <c r="F335" s="14">
        <v>2115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12" t="s">
        <v>1</v>
      </c>
    </row>
    <row r="336" spans="2:21" ht="12">
      <c r="B336" s="13" t="s">
        <v>199</v>
      </c>
      <c r="C336" s="16" t="s">
        <v>401</v>
      </c>
      <c r="D336" s="11" t="s">
        <v>133</v>
      </c>
      <c r="E336" s="14">
        <v>244</v>
      </c>
      <c r="F336" s="14">
        <v>2125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12" t="s">
        <v>1</v>
      </c>
    </row>
    <row r="337" spans="2:21" ht="12">
      <c r="B337" s="13" t="s">
        <v>199</v>
      </c>
      <c r="C337" s="16" t="s">
        <v>402</v>
      </c>
      <c r="D337" s="11" t="s">
        <v>133</v>
      </c>
      <c r="E337" s="14">
        <v>249</v>
      </c>
      <c r="F337" s="14">
        <v>2130</v>
      </c>
      <c r="G337" s="14"/>
      <c r="H337" s="14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12" t="s">
        <v>1</v>
      </c>
    </row>
    <row r="338" spans="2:21" ht="12">
      <c r="B338" s="13" t="s">
        <v>199</v>
      </c>
      <c r="C338" s="16" t="s">
        <v>403</v>
      </c>
      <c r="D338" s="11" t="s">
        <v>133</v>
      </c>
      <c r="E338" s="14">
        <v>246</v>
      </c>
      <c r="F338" s="14">
        <v>2127</v>
      </c>
      <c r="G338" s="14"/>
      <c r="H338" s="14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12" t="s">
        <v>1</v>
      </c>
    </row>
    <row r="339" spans="2:21" ht="12">
      <c r="B339" s="13" t="s">
        <v>199</v>
      </c>
      <c r="C339" s="16" t="s">
        <v>404</v>
      </c>
      <c r="D339" s="11" t="s">
        <v>133</v>
      </c>
      <c r="E339" s="14">
        <v>246</v>
      </c>
      <c r="F339" s="14">
        <v>2127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12" t="s">
        <v>1</v>
      </c>
    </row>
    <row r="340" spans="2:21" ht="12">
      <c r="B340" s="13" t="s">
        <v>199</v>
      </c>
      <c r="C340" s="16" t="s">
        <v>405</v>
      </c>
      <c r="D340" s="11" t="s">
        <v>133</v>
      </c>
      <c r="E340" s="14">
        <v>245</v>
      </c>
      <c r="F340" s="14">
        <v>2126</v>
      </c>
      <c r="G340" s="14"/>
      <c r="H340" s="14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12" t="s">
        <v>1</v>
      </c>
    </row>
    <row r="341" spans="2:21" ht="12">
      <c r="B341" s="13" t="s">
        <v>199</v>
      </c>
      <c r="C341" s="16" t="s">
        <v>406</v>
      </c>
      <c r="D341" s="11" t="s">
        <v>133</v>
      </c>
      <c r="E341" s="14">
        <v>253</v>
      </c>
      <c r="F341" s="14">
        <v>2134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12" t="s">
        <v>1</v>
      </c>
    </row>
    <row r="342" spans="2:21" ht="12">
      <c r="B342" s="13" t="s">
        <v>199</v>
      </c>
      <c r="C342" s="16" t="s">
        <v>407</v>
      </c>
      <c r="D342" s="11" t="s">
        <v>133</v>
      </c>
      <c r="E342" s="14">
        <v>249</v>
      </c>
      <c r="F342" s="14">
        <v>2130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12" t="s">
        <v>1</v>
      </c>
    </row>
    <row r="343" spans="2:21" ht="12">
      <c r="B343" s="13" t="s">
        <v>199</v>
      </c>
      <c r="C343" s="16" t="s">
        <v>408</v>
      </c>
      <c r="D343" s="11" t="s">
        <v>133</v>
      </c>
      <c r="E343" s="14">
        <v>246</v>
      </c>
      <c r="F343" s="14">
        <v>2127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12" t="s">
        <v>1</v>
      </c>
    </row>
    <row r="344" spans="2:21" ht="12">
      <c r="B344" s="13" t="s">
        <v>199</v>
      </c>
      <c r="C344" s="16" t="s">
        <v>409</v>
      </c>
      <c r="D344" s="11" t="s">
        <v>133</v>
      </c>
      <c r="E344" s="14">
        <v>253</v>
      </c>
      <c r="F344" s="14">
        <v>2134</v>
      </c>
      <c r="G344" s="14"/>
      <c r="H344" s="14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12" t="s">
        <v>1</v>
      </c>
    </row>
    <row r="345" spans="2:21" ht="12">
      <c r="B345" s="13" t="s">
        <v>199</v>
      </c>
      <c r="C345" s="16" t="s">
        <v>410</v>
      </c>
      <c r="D345" s="11" t="s">
        <v>133</v>
      </c>
      <c r="E345" s="14">
        <v>240</v>
      </c>
      <c r="F345" s="14">
        <v>2121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12" t="s">
        <v>1</v>
      </c>
    </row>
    <row r="346" spans="2:21" ht="12">
      <c r="B346" s="13" t="s">
        <v>199</v>
      </c>
      <c r="C346" s="16" t="s">
        <v>411</v>
      </c>
      <c r="D346" s="11" t="s">
        <v>133</v>
      </c>
      <c r="E346" s="14">
        <v>243</v>
      </c>
      <c r="F346" s="14">
        <v>2124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12" t="s">
        <v>1</v>
      </c>
    </row>
    <row r="347" spans="2:21" ht="12">
      <c r="B347" s="13" t="s">
        <v>199</v>
      </c>
      <c r="C347" s="16" t="s">
        <v>412</v>
      </c>
      <c r="D347" s="11" t="s">
        <v>133</v>
      </c>
      <c r="E347" s="14">
        <v>244</v>
      </c>
      <c r="F347" s="14">
        <v>2125</v>
      </c>
      <c r="G347" s="15" t="s">
        <v>413</v>
      </c>
      <c r="H347" s="14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12" t="s">
        <v>1</v>
      </c>
    </row>
    <row r="348" spans="2:21" ht="12">
      <c r="B348" s="13" t="s">
        <v>199</v>
      </c>
      <c r="C348" s="16" t="s">
        <v>414</v>
      </c>
      <c r="D348" s="11" t="s">
        <v>133</v>
      </c>
      <c r="E348" s="14">
        <v>252</v>
      </c>
      <c r="F348" s="14">
        <v>2133</v>
      </c>
      <c r="G348" s="14"/>
      <c r="H348" s="14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12" t="s">
        <v>1</v>
      </c>
    </row>
    <row r="349" spans="2:21" ht="12">
      <c r="B349" s="13" t="s">
        <v>199</v>
      </c>
      <c r="C349" s="16" t="s">
        <v>415</v>
      </c>
      <c r="D349" s="11" t="s">
        <v>133</v>
      </c>
      <c r="E349" s="14">
        <v>237</v>
      </c>
      <c r="F349" s="14">
        <v>2118</v>
      </c>
      <c r="G349" s="14"/>
      <c r="H349" s="14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12" t="s">
        <v>1</v>
      </c>
    </row>
    <row r="350" spans="2:21" ht="12">
      <c r="B350" s="13" t="s">
        <v>199</v>
      </c>
      <c r="C350" s="16" t="s">
        <v>416</v>
      </c>
      <c r="D350" s="11" t="s">
        <v>133</v>
      </c>
      <c r="E350" s="14">
        <v>234</v>
      </c>
      <c r="F350" s="14">
        <v>2115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12" t="s">
        <v>1</v>
      </c>
    </row>
    <row r="351" spans="2:21" ht="12">
      <c r="B351" s="13" t="s">
        <v>199</v>
      </c>
      <c r="C351" s="16" t="s">
        <v>417</v>
      </c>
      <c r="D351" s="11" t="s">
        <v>133</v>
      </c>
      <c r="E351" s="14">
        <v>240</v>
      </c>
      <c r="F351" s="14">
        <v>2121</v>
      </c>
      <c r="G351" s="14"/>
      <c r="H351" s="14"/>
      <c r="I351" s="14"/>
      <c r="J351" s="14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12" t="s">
        <v>1</v>
      </c>
    </row>
    <row r="352" spans="2:21" ht="12">
      <c r="B352" s="13" t="s">
        <v>199</v>
      </c>
      <c r="C352" s="16" t="s">
        <v>418</v>
      </c>
      <c r="D352" s="11" t="s">
        <v>133</v>
      </c>
      <c r="E352" s="14">
        <v>250</v>
      </c>
      <c r="F352" s="14">
        <v>2131</v>
      </c>
      <c r="G352" s="14"/>
      <c r="H352" s="14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12" t="s">
        <v>1</v>
      </c>
    </row>
    <row r="353" spans="2:21" ht="12">
      <c r="B353" s="13" t="s">
        <v>199</v>
      </c>
      <c r="C353" s="16" t="s">
        <v>419</v>
      </c>
      <c r="D353" s="11" t="s">
        <v>133</v>
      </c>
      <c r="E353" s="14">
        <v>247</v>
      </c>
      <c r="F353" s="14">
        <v>2128</v>
      </c>
      <c r="G353" s="14"/>
      <c r="H353" s="14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12" t="s">
        <v>1</v>
      </c>
    </row>
    <row r="354" spans="2:21" ht="12">
      <c r="B354" s="13" t="s">
        <v>199</v>
      </c>
      <c r="C354" s="16" t="s">
        <v>420</v>
      </c>
      <c r="D354" s="11" t="s">
        <v>133</v>
      </c>
      <c r="E354" s="14">
        <v>247</v>
      </c>
      <c r="F354" s="14">
        <v>2128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12" t="s">
        <v>1</v>
      </c>
    </row>
    <row r="355" spans="2:21" ht="12">
      <c r="B355" s="13" t="s">
        <v>199</v>
      </c>
      <c r="C355" s="16" t="s">
        <v>421</v>
      </c>
      <c r="D355" s="11" t="s">
        <v>133</v>
      </c>
      <c r="E355" s="14">
        <v>252</v>
      </c>
      <c r="F355" s="14">
        <v>2133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12" t="s">
        <v>1</v>
      </c>
    </row>
    <row r="356" spans="2:21" ht="12">
      <c r="B356" s="13" t="s">
        <v>199</v>
      </c>
      <c r="C356" s="16" t="s">
        <v>422</v>
      </c>
      <c r="D356" s="11" t="s">
        <v>133</v>
      </c>
      <c r="E356" s="14">
        <v>243</v>
      </c>
      <c r="F356" s="14">
        <v>2124</v>
      </c>
      <c r="G356" s="14"/>
      <c r="H356" s="14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12" t="s">
        <v>1</v>
      </c>
    </row>
    <row r="357" spans="2:21" ht="12">
      <c r="B357" s="13" t="s">
        <v>199</v>
      </c>
      <c r="C357" s="16" t="s">
        <v>423</v>
      </c>
      <c r="D357" s="11" t="s">
        <v>133</v>
      </c>
      <c r="E357" s="14">
        <v>243</v>
      </c>
      <c r="F357" s="14">
        <v>2124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12" t="s">
        <v>1</v>
      </c>
    </row>
    <row r="358" spans="2:21" ht="12">
      <c r="B358" s="13" t="s">
        <v>199</v>
      </c>
      <c r="C358" s="13" t="s">
        <v>424</v>
      </c>
      <c r="D358" s="11" t="s">
        <v>133</v>
      </c>
      <c r="E358" s="14">
        <v>282</v>
      </c>
      <c r="F358" s="14">
        <v>2133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12" t="s">
        <v>1</v>
      </c>
    </row>
    <row r="359" spans="2:21" ht="12">
      <c r="B359" s="13" t="s">
        <v>199</v>
      </c>
      <c r="C359" s="16" t="s">
        <v>425</v>
      </c>
      <c r="D359" s="11" t="s">
        <v>133</v>
      </c>
      <c r="E359" s="14">
        <v>249</v>
      </c>
      <c r="F359" s="14">
        <v>2130</v>
      </c>
      <c r="G359" s="14"/>
      <c r="H359" s="14"/>
      <c r="I359" s="14"/>
      <c r="J359" s="14"/>
      <c r="K359" s="14"/>
      <c r="L359" s="14"/>
      <c r="M359" s="14"/>
      <c r="N359" s="14"/>
      <c r="O359" s="7"/>
      <c r="P359" s="7"/>
      <c r="Q359" s="7"/>
      <c r="R359" s="7"/>
      <c r="S359" s="14"/>
      <c r="T359" s="14"/>
      <c r="U359" s="12" t="s">
        <v>1</v>
      </c>
    </row>
    <row r="360" spans="2:21" ht="12">
      <c r="B360" s="13" t="s">
        <v>199</v>
      </c>
      <c r="C360" s="16" t="s">
        <v>426</v>
      </c>
      <c r="D360" s="11" t="s">
        <v>133</v>
      </c>
      <c r="E360" s="14">
        <v>252</v>
      </c>
      <c r="F360" s="14">
        <v>2133</v>
      </c>
      <c r="G360" s="14"/>
      <c r="H360" s="14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12" t="s">
        <v>1</v>
      </c>
    </row>
    <row r="361" spans="2:21" ht="12">
      <c r="B361" s="13" t="s">
        <v>199</v>
      </c>
      <c r="C361" s="13" t="s">
        <v>427</v>
      </c>
      <c r="D361" s="11" t="s">
        <v>133</v>
      </c>
      <c r="E361" s="14">
        <v>249</v>
      </c>
      <c r="F361" s="14">
        <v>2130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12" t="s">
        <v>1</v>
      </c>
    </row>
    <row r="362" spans="2:21" ht="12">
      <c r="B362" s="13" t="s">
        <v>199</v>
      </c>
      <c r="C362" s="13" t="s">
        <v>428</v>
      </c>
      <c r="D362" s="11" t="s">
        <v>133</v>
      </c>
      <c r="E362" s="14">
        <v>251</v>
      </c>
      <c r="F362" s="14">
        <v>2132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12" t="s">
        <v>1</v>
      </c>
    </row>
    <row r="363" spans="2:21" ht="12">
      <c r="B363" s="13" t="s">
        <v>199</v>
      </c>
      <c r="C363" s="13" t="s">
        <v>429</v>
      </c>
      <c r="D363" s="11" t="s">
        <v>133</v>
      </c>
      <c r="E363" s="14">
        <v>245</v>
      </c>
      <c r="F363" s="14">
        <v>2126</v>
      </c>
      <c r="G363" s="14"/>
      <c r="H363" s="14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12" t="s">
        <v>1</v>
      </c>
    </row>
    <row r="364" spans="2:21" ht="12">
      <c r="B364" s="13" t="s">
        <v>199</v>
      </c>
      <c r="C364" s="13" t="s">
        <v>430</v>
      </c>
      <c r="D364" s="11" t="s">
        <v>133</v>
      </c>
      <c r="E364" s="14">
        <v>243</v>
      </c>
      <c r="F364" s="14">
        <v>2124</v>
      </c>
      <c r="G364" s="14"/>
      <c r="H364" s="14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12" t="s">
        <v>1</v>
      </c>
    </row>
    <row r="365" spans="2:21" ht="12">
      <c r="B365" s="13" t="s">
        <v>199</v>
      </c>
      <c r="C365" s="13" t="s">
        <v>431</v>
      </c>
      <c r="D365" s="11" t="s">
        <v>133</v>
      </c>
      <c r="E365" s="14">
        <v>243</v>
      </c>
      <c r="F365" s="14">
        <v>2124</v>
      </c>
      <c r="G365" s="14"/>
      <c r="H365" s="14"/>
      <c r="I365" s="7"/>
      <c r="J365" s="7"/>
      <c r="K365" s="14"/>
      <c r="L365" s="14"/>
      <c r="M365" s="7"/>
      <c r="N365" s="7"/>
      <c r="O365" s="7"/>
      <c r="P365" s="7"/>
      <c r="Q365" s="7"/>
      <c r="R365" s="7"/>
      <c r="S365" s="7"/>
      <c r="T365" s="7"/>
      <c r="U365" s="12" t="s">
        <v>1</v>
      </c>
    </row>
    <row r="366" spans="2:21" ht="12">
      <c r="B366" s="13" t="s">
        <v>199</v>
      </c>
      <c r="C366" s="13" t="s">
        <v>432</v>
      </c>
      <c r="D366" s="11" t="s">
        <v>133</v>
      </c>
      <c r="E366" s="14">
        <v>235</v>
      </c>
      <c r="F366" s="14">
        <v>2116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12" t="s">
        <v>1</v>
      </c>
    </row>
    <row r="367" spans="2:21" ht="12">
      <c r="B367" s="13" t="s">
        <v>199</v>
      </c>
      <c r="C367" s="13" t="s">
        <v>433</v>
      </c>
      <c r="D367" s="11" t="s">
        <v>133</v>
      </c>
      <c r="E367" s="14">
        <v>243</v>
      </c>
      <c r="F367" s="14">
        <v>2124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12" t="s">
        <v>1</v>
      </c>
    </row>
    <row r="368" spans="2:21" ht="12">
      <c r="B368" s="13" t="s">
        <v>199</v>
      </c>
      <c r="C368" s="13" t="s">
        <v>434</v>
      </c>
      <c r="D368" s="11" t="s">
        <v>133</v>
      </c>
      <c r="E368" s="14">
        <v>234</v>
      </c>
      <c r="F368" s="14">
        <v>2115</v>
      </c>
      <c r="G368" s="14"/>
      <c r="H368" s="14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12" t="s">
        <v>1</v>
      </c>
    </row>
    <row r="369" spans="2:21" ht="12">
      <c r="B369" s="13" t="s">
        <v>199</v>
      </c>
      <c r="C369" s="13" t="s">
        <v>435</v>
      </c>
      <c r="D369" s="11" t="s">
        <v>133</v>
      </c>
      <c r="E369" s="14">
        <v>243</v>
      </c>
      <c r="F369" s="14">
        <v>2124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12" t="s">
        <v>1</v>
      </c>
    </row>
    <row r="370" spans="2:21" ht="12">
      <c r="B370" s="13" t="s">
        <v>199</v>
      </c>
      <c r="C370" s="13" t="s">
        <v>436</v>
      </c>
      <c r="D370" s="11" t="s">
        <v>133</v>
      </c>
      <c r="E370" s="14">
        <v>248</v>
      </c>
      <c r="F370" s="14">
        <v>2129</v>
      </c>
      <c r="G370" s="14"/>
      <c r="H370" s="14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12" t="s">
        <v>1</v>
      </c>
    </row>
    <row r="371" spans="2:24" ht="12">
      <c r="B371" s="13" t="s">
        <v>199</v>
      </c>
      <c r="C371" s="13" t="s">
        <v>437</v>
      </c>
      <c r="D371" s="11" t="s">
        <v>133</v>
      </c>
      <c r="E371" s="14">
        <v>251</v>
      </c>
      <c r="F371" s="14">
        <v>2132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12" t="s">
        <v>1</v>
      </c>
      <c r="V371" s="7"/>
      <c r="W371" s="7"/>
      <c r="X371" s="7"/>
    </row>
    <row r="372" spans="2:24" ht="12">
      <c r="B372" s="13" t="s">
        <v>199</v>
      </c>
      <c r="C372" s="13" t="s">
        <v>438</v>
      </c>
      <c r="D372" s="11" t="s">
        <v>133</v>
      </c>
      <c r="E372" s="14">
        <v>240</v>
      </c>
      <c r="F372" s="14">
        <v>2121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12" t="s">
        <v>1</v>
      </c>
      <c r="V372" s="7"/>
      <c r="W372" s="7"/>
      <c r="X372" s="7"/>
    </row>
    <row r="373" spans="2:24" ht="12">
      <c r="B373" s="13" t="s">
        <v>199</v>
      </c>
      <c r="C373" s="16" t="s">
        <v>439</v>
      </c>
      <c r="D373" s="11" t="s">
        <v>175</v>
      </c>
      <c r="E373" s="14">
        <v>1140</v>
      </c>
      <c r="F373" s="14">
        <v>5067</v>
      </c>
      <c r="G373" s="14">
        <v>1140</v>
      </c>
      <c r="H373" s="14">
        <v>5067</v>
      </c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12" t="s">
        <v>1</v>
      </c>
      <c r="V373" s="7"/>
      <c r="W373" s="7"/>
      <c r="X373" s="7"/>
    </row>
    <row r="374" spans="2:24" ht="12">
      <c r="B374" s="13" t="s">
        <v>199</v>
      </c>
      <c r="C374" s="16" t="s">
        <v>439</v>
      </c>
      <c r="D374" s="11" t="s">
        <v>175</v>
      </c>
      <c r="E374" s="14">
        <v>1140</v>
      </c>
      <c r="F374" s="14">
        <v>5067</v>
      </c>
      <c r="G374" s="14">
        <v>1140</v>
      </c>
      <c r="H374" s="14">
        <v>5067</v>
      </c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12" t="s">
        <v>1</v>
      </c>
      <c r="V374" s="7"/>
      <c r="W374" s="7"/>
      <c r="X374" s="7"/>
    </row>
    <row r="375" spans="1:24" ht="12">
      <c r="A375" s="1" t="s">
        <v>102</v>
      </c>
      <c r="B375" s="13" t="s">
        <v>201</v>
      </c>
      <c r="C375" s="16" t="s">
        <v>440</v>
      </c>
      <c r="D375" s="11" t="s">
        <v>105</v>
      </c>
      <c r="E375" s="14">
        <v>1061</v>
      </c>
      <c r="F375" s="14">
        <v>3302</v>
      </c>
      <c r="G375" s="14">
        <v>1122</v>
      </c>
      <c r="H375" s="14">
        <v>3611</v>
      </c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12" t="s">
        <v>1</v>
      </c>
      <c r="V375" s="7"/>
      <c r="W375" s="7"/>
      <c r="X375" s="7"/>
    </row>
    <row r="376" spans="2:24" ht="12">
      <c r="B376" s="13" t="s">
        <v>201</v>
      </c>
      <c r="C376" s="16" t="s">
        <v>441</v>
      </c>
      <c r="D376" s="11" t="s">
        <v>105</v>
      </c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14">
        <v>2336</v>
      </c>
      <c r="R376" s="14">
        <v>7025</v>
      </c>
      <c r="S376" s="7"/>
      <c r="T376" s="7"/>
      <c r="U376" s="12" t="s">
        <v>1</v>
      </c>
      <c r="V376" s="7"/>
      <c r="W376" s="7"/>
      <c r="X376" s="7"/>
    </row>
    <row r="377" spans="2:24" ht="12">
      <c r="B377" s="13" t="s">
        <v>201</v>
      </c>
      <c r="C377" s="13" t="s">
        <v>442</v>
      </c>
      <c r="D377" s="11" t="s">
        <v>105</v>
      </c>
      <c r="E377" s="14">
        <v>1087</v>
      </c>
      <c r="F377" s="14">
        <v>3328</v>
      </c>
      <c r="G377" s="14">
        <v>1157</v>
      </c>
      <c r="H377" s="14">
        <v>3646</v>
      </c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12" t="s">
        <v>1</v>
      </c>
      <c r="V377" s="7"/>
      <c r="W377" s="7"/>
      <c r="X377" s="7"/>
    </row>
    <row r="378" spans="2:24" ht="12">
      <c r="B378" s="13" t="s">
        <v>201</v>
      </c>
      <c r="C378" s="16" t="s">
        <v>443</v>
      </c>
      <c r="D378" s="11" t="s">
        <v>105</v>
      </c>
      <c r="E378" s="7"/>
      <c r="F378" s="7"/>
      <c r="G378" s="7"/>
      <c r="H378" s="7"/>
      <c r="I378" s="7"/>
      <c r="J378" s="7"/>
      <c r="K378" s="14">
        <v>3318</v>
      </c>
      <c r="L378" s="14">
        <v>8285</v>
      </c>
      <c r="M378" s="14">
        <v>3718</v>
      </c>
      <c r="N378" s="14">
        <v>8189</v>
      </c>
      <c r="O378" s="7"/>
      <c r="P378" s="7"/>
      <c r="Q378" s="7"/>
      <c r="R378" s="7"/>
      <c r="S378" s="7"/>
      <c r="T378" s="7"/>
      <c r="U378" s="12" t="s">
        <v>1</v>
      </c>
      <c r="V378" s="7"/>
      <c r="W378" s="7"/>
      <c r="X378" s="7"/>
    </row>
    <row r="379" spans="2:21" ht="12">
      <c r="B379" s="13" t="s">
        <v>201</v>
      </c>
      <c r="C379" s="16" t="s">
        <v>444</v>
      </c>
      <c r="D379" s="11" t="s">
        <v>105</v>
      </c>
      <c r="E379" s="7"/>
      <c r="F379" s="7"/>
      <c r="G379" s="7"/>
      <c r="H379" s="7"/>
      <c r="I379" s="7"/>
      <c r="J379" s="7"/>
      <c r="K379" s="14">
        <v>1814</v>
      </c>
      <c r="L379" s="14">
        <v>5485</v>
      </c>
      <c r="M379" s="7"/>
      <c r="N379" s="7"/>
      <c r="O379" s="7"/>
      <c r="P379" s="7"/>
      <c r="Q379" s="7"/>
      <c r="R379" s="7"/>
      <c r="S379" s="7"/>
      <c r="T379" s="7"/>
      <c r="U379" s="12" t="s">
        <v>1</v>
      </c>
    </row>
    <row r="380" spans="2:21" ht="12">
      <c r="B380" s="13" t="s">
        <v>201</v>
      </c>
      <c r="C380" s="16" t="s">
        <v>445</v>
      </c>
      <c r="D380" s="11" t="s">
        <v>105</v>
      </c>
      <c r="E380" s="14">
        <v>968</v>
      </c>
      <c r="F380" s="14">
        <v>3209</v>
      </c>
      <c r="G380" s="14">
        <v>1040</v>
      </c>
      <c r="H380" s="14">
        <v>3529</v>
      </c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12" t="s">
        <v>1</v>
      </c>
    </row>
    <row r="381" spans="2:21" ht="12">
      <c r="B381" s="13" t="s">
        <v>201</v>
      </c>
      <c r="C381" s="16" t="s">
        <v>446</v>
      </c>
      <c r="D381" s="11" t="s">
        <v>105</v>
      </c>
      <c r="E381" s="7"/>
      <c r="F381" s="7"/>
      <c r="G381" s="7"/>
      <c r="H381" s="7"/>
      <c r="I381" s="14">
        <v>1157</v>
      </c>
      <c r="J381" s="14">
        <v>3646</v>
      </c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12" t="s">
        <v>1</v>
      </c>
    </row>
    <row r="382" spans="2:21" ht="12">
      <c r="B382" s="13" t="s">
        <v>201</v>
      </c>
      <c r="C382" s="16" t="s">
        <v>447</v>
      </c>
      <c r="D382" s="11" t="s">
        <v>125</v>
      </c>
      <c r="E382" s="14">
        <v>779</v>
      </c>
      <c r="F382" s="14">
        <v>2239</v>
      </c>
      <c r="G382" s="14">
        <v>785</v>
      </c>
      <c r="H382" s="14">
        <v>2279</v>
      </c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12" t="s">
        <v>1</v>
      </c>
    </row>
    <row r="383" spans="2:21" ht="12">
      <c r="B383" s="13" t="s">
        <v>201</v>
      </c>
      <c r="C383" s="16" t="s">
        <v>370</v>
      </c>
      <c r="D383" s="11" t="s">
        <v>125</v>
      </c>
      <c r="E383" s="14">
        <v>796</v>
      </c>
      <c r="F383" s="14">
        <v>2256</v>
      </c>
      <c r="G383" s="14">
        <v>796</v>
      </c>
      <c r="H383" s="14">
        <v>2290</v>
      </c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12" t="s">
        <v>1</v>
      </c>
    </row>
    <row r="384" spans="2:21" ht="12">
      <c r="B384" s="13" t="s">
        <v>201</v>
      </c>
      <c r="C384" s="16" t="s">
        <v>448</v>
      </c>
      <c r="D384" s="11" t="s">
        <v>125</v>
      </c>
      <c r="E384" s="14">
        <v>810</v>
      </c>
      <c r="F384" s="14">
        <v>2270</v>
      </c>
      <c r="G384" s="14">
        <v>810</v>
      </c>
      <c r="H384" s="14">
        <v>2304</v>
      </c>
      <c r="I384" s="7"/>
      <c r="J384" s="7"/>
      <c r="K384" s="7"/>
      <c r="L384" s="7"/>
      <c r="M384" s="7"/>
      <c r="N384" s="7"/>
      <c r="O384" s="14">
        <v>2560</v>
      </c>
      <c r="P384" s="14">
        <v>6200</v>
      </c>
      <c r="Q384" s="7"/>
      <c r="R384" s="7"/>
      <c r="S384" s="7"/>
      <c r="T384" s="7"/>
      <c r="U384" s="12" t="s">
        <v>1</v>
      </c>
    </row>
    <row r="385" spans="2:21" ht="12">
      <c r="B385" s="13" t="s">
        <v>201</v>
      </c>
      <c r="C385" s="16" t="s">
        <v>449</v>
      </c>
      <c r="D385" s="11" t="s">
        <v>125</v>
      </c>
      <c r="E385" s="14">
        <v>791</v>
      </c>
      <c r="F385" s="14">
        <v>2251</v>
      </c>
      <c r="G385" s="14">
        <v>797</v>
      </c>
      <c r="H385" s="14">
        <v>2291</v>
      </c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12" t="s">
        <v>1</v>
      </c>
    </row>
    <row r="386" spans="2:21" ht="12">
      <c r="B386" s="13" t="s">
        <v>201</v>
      </c>
      <c r="C386" s="16" t="s">
        <v>450</v>
      </c>
      <c r="D386" s="11" t="s">
        <v>125</v>
      </c>
      <c r="E386" s="14">
        <v>793</v>
      </c>
      <c r="F386" s="14">
        <v>2254</v>
      </c>
      <c r="G386" s="14">
        <v>797</v>
      </c>
      <c r="H386" s="14">
        <v>2291</v>
      </c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12" t="s">
        <v>1</v>
      </c>
    </row>
    <row r="387" spans="2:21" ht="12">
      <c r="B387" s="13" t="s">
        <v>201</v>
      </c>
      <c r="C387" s="16" t="s">
        <v>451</v>
      </c>
      <c r="D387" s="11" t="s">
        <v>125</v>
      </c>
      <c r="E387" s="14">
        <v>771</v>
      </c>
      <c r="F387" s="14">
        <v>2231</v>
      </c>
      <c r="G387" s="14">
        <v>777</v>
      </c>
      <c r="H387" s="14">
        <v>2271</v>
      </c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12" t="s">
        <v>1</v>
      </c>
    </row>
    <row r="388" spans="2:21" ht="12">
      <c r="B388" s="13" t="s">
        <v>201</v>
      </c>
      <c r="C388" s="16" t="s">
        <v>452</v>
      </c>
      <c r="D388" s="11" t="s">
        <v>131</v>
      </c>
      <c r="E388" s="14">
        <v>825</v>
      </c>
      <c r="F388" s="14">
        <v>2285</v>
      </c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12" t="s">
        <v>1</v>
      </c>
    </row>
    <row r="389" spans="2:21" ht="12">
      <c r="B389" s="13" t="s">
        <v>201</v>
      </c>
      <c r="C389" s="16" t="s">
        <v>453</v>
      </c>
      <c r="D389" s="11" t="s">
        <v>131</v>
      </c>
      <c r="E389" s="14">
        <v>837</v>
      </c>
      <c r="F389" s="14">
        <v>2297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12" t="s">
        <v>1</v>
      </c>
    </row>
    <row r="390" spans="2:21" ht="12">
      <c r="B390" s="13" t="s">
        <v>201</v>
      </c>
      <c r="C390" s="16" t="s">
        <v>454</v>
      </c>
      <c r="D390" s="11" t="s">
        <v>131</v>
      </c>
      <c r="E390" s="14">
        <v>802</v>
      </c>
      <c r="F390" s="14">
        <v>2262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12" t="s">
        <v>1</v>
      </c>
    </row>
    <row r="391" spans="2:21" ht="12">
      <c r="B391" s="13" t="s">
        <v>201</v>
      </c>
      <c r="C391" s="16" t="s">
        <v>455</v>
      </c>
      <c r="D391" s="11" t="s">
        <v>131</v>
      </c>
      <c r="E391" s="14">
        <v>766</v>
      </c>
      <c r="F391" s="14">
        <v>2226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12" t="s">
        <v>1</v>
      </c>
    </row>
    <row r="392" spans="2:21" ht="12">
      <c r="B392" s="13" t="s">
        <v>201</v>
      </c>
      <c r="C392" s="16" t="s">
        <v>456</v>
      </c>
      <c r="D392" s="11" t="s">
        <v>133</v>
      </c>
      <c r="E392" s="14">
        <v>588</v>
      </c>
      <c r="F392" s="14">
        <v>1713</v>
      </c>
      <c r="G392" s="14"/>
      <c r="H392" s="14"/>
      <c r="I392" s="14"/>
      <c r="J392" s="14"/>
      <c r="K392" s="14"/>
      <c r="L392" s="14"/>
      <c r="M392" s="7"/>
      <c r="N392" s="7"/>
      <c r="O392" s="7"/>
      <c r="P392" s="7"/>
      <c r="Q392" s="7"/>
      <c r="R392" s="7"/>
      <c r="S392" s="7"/>
      <c r="T392" s="7"/>
      <c r="U392" s="12" t="s">
        <v>1</v>
      </c>
    </row>
    <row r="393" spans="2:21" ht="12">
      <c r="B393" s="13" t="s">
        <v>201</v>
      </c>
      <c r="C393" s="16" t="s">
        <v>457</v>
      </c>
      <c r="D393" s="11" t="s">
        <v>133</v>
      </c>
      <c r="E393" s="14">
        <v>621</v>
      </c>
      <c r="F393" s="14">
        <v>1746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12" t="s">
        <v>1</v>
      </c>
    </row>
    <row r="394" spans="2:21" ht="12">
      <c r="B394" s="13" t="s">
        <v>201</v>
      </c>
      <c r="C394" s="16" t="s">
        <v>458</v>
      </c>
      <c r="D394" s="11" t="s">
        <v>133</v>
      </c>
      <c r="E394" s="14">
        <v>620</v>
      </c>
      <c r="F394" s="14">
        <v>1745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12" t="s">
        <v>1</v>
      </c>
    </row>
    <row r="395" spans="2:21" ht="12">
      <c r="B395" s="13" t="s">
        <v>201</v>
      </c>
      <c r="C395" s="16" t="s">
        <v>459</v>
      </c>
      <c r="D395" s="11" t="s">
        <v>133</v>
      </c>
      <c r="E395" s="14">
        <v>620</v>
      </c>
      <c r="F395" s="14">
        <v>1745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12" t="s">
        <v>1</v>
      </c>
    </row>
    <row r="396" spans="2:21" ht="12">
      <c r="B396" s="13" t="s">
        <v>201</v>
      </c>
      <c r="C396" s="16" t="s">
        <v>460</v>
      </c>
      <c r="D396" s="11" t="s">
        <v>133</v>
      </c>
      <c r="E396" s="14">
        <v>693</v>
      </c>
      <c r="F396" s="14">
        <v>1818</v>
      </c>
      <c r="G396" s="14"/>
      <c r="H396" s="14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12" t="s">
        <v>1</v>
      </c>
    </row>
    <row r="397" spans="2:21" ht="12">
      <c r="B397" s="13" t="s">
        <v>201</v>
      </c>
      <c r="C397" s="16" t="s">
        <v>461</v>
      </c>
      <c r="D397" s="11" t="s">
        <v>133</v>
      </c>
      <c r="E397" s="14">
        <v>575</v>
      </c>
      <c r="F397" s="14">
        <v>1700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12" t="s">
        <v>1</v>
      </c>
    </row>
    <row r="398" spans="2:21" ht="12">
      <c r="B398" s="13" t="s">
        <v>201</v>
      </c>
      <c r="C398" s="16" t="s">
        <v>462</v>
      </c>
      <c r="D398" s="11" t="s">
        <v>133</v>
      </c>
      <c r="E398" s="14">
        <v>543</v>
      </c>
      <c r="F398" s="14">
        <v>1668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12" t="s">
        <v>1</v>
      </c>
    </row>
    <row r="399" spans="2:21" ht="12">
      <c r="B399" s="13" t="s">
        <v>201</v>
      </c>
      <c r="C399" s="16" t="s">
        <v>463</v>
      </c>
      <c r="D399" s="11" t="s">
        <v>133</v>
      </c>
      <c r="E399" s="14">
        <v>618</v>
      </c>
      <c r="F399" s="14">
        <v>1743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12" t="s">
        <v>1</v>
      </c>
    </row>
    <row r="400" spans="2:21" ht="12">
      <c r="B400" s="13" t="s">
        <v>201</v>
      </c>
      <c r="C400" s="16" t="s">
        <v>464</v>
      </c>
      <c r="D400" s="11" t="s">
        <v>133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>
        <v>767</v>
      </c>
      <c r="T400" s="14">
        <v>2771</v>
      </c>
      <c r="U400" s="12" t="s">
        <v>1</v>
      </c>
    </row>
    <row r="401" spans="2:21" ht="12">
      <c r="B401" s="13" t="s">
        <v>201</v>
      </c>
      <c r="C401" s="16" t="s">
        <v>465</v>
      </c>
      <c r="D401" s="11" t="s">
        <v>133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>
        <v>744</v>
      </c>
      <c r="T401" s="14">
        <v>2748</v>
      </c>
      <c r="U401" s="12" t="s">
        <v>1</v>
      </c>
    </row>
    <row r="402" spans="2:21" ht="12">
      <c r="B402" s="13" t="s">
        <v>201</v>
      </c>
      <c r="C402" s="16" t="s">
        <v>466</v>
      </c>
      <c r="D402" s="11" t="s">
        <v>133</v>
      </c>
      <c r="E402" s="14">
        <v>633</v>
      </c>
      <c r="F402" s="14">
        <v>1758</v>
      </c>
      <c r="G402" s="14"/>
      <c r="H402" s="14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12" t="s">
        <v>1</v>
      </c>
    </row>
    <row r="403" spans="2:21" ht="12">
      <c r="B403" s="13" t="s">
        <v>201</v>
      </c>
      <c r="C403" s="16" t="s">
        <v>467</v>
      </c>
      <c r="D403" s="11" t="s">
        <v>133</v>
      </c>
      <c r="E403" s="14">
        <v>536</v>
      </c>
      <c r="F403" s="14">
        <v>1661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12" t="s">
        <v>1</v>
      </c>
    </row>
    <row r="404" spans="2:21" ht="12">
      <c r="B404" s="13" t="s">
        <v>201</v>
      </c>
      <c r="C404" s="16" t="s">
        <v>468</v>
      </c>
      <c r="D404" s="11" t="s">
        <v>133</v>
      </c>
      <c r="E404" s="14">
        <v>605</v>
      </c>
      <c r="F404" s="14">
        <v>1730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12" t="s">
        <v>1</v>
      </c>
    </row>
    <row r="405" spans="2:21" ht="12">
      <c r="B405" s="13" t="s">
        <v>201</v>
      </c>
      <c r="C405" s="16" t="s">
        <v>469</v>
      </c>
      <c r="D405" s="11" t="s">
        <v>133</v>
      </c>
      <c r="E405" s="14">
        <v>605</v>
      </c>
      <c r="F405" s="14">
        <v>1730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12" t="s">
        <v>1</v>
      </c>
    </row>
    <row r="406" spans="2:21" ht="12">
      <c r="B406" s="13" t="s">
        <v>201</v>
      </c>
      <c r="C406" s="16" t="s">
        <v>470</v>
      </c>
      <c r="D406" s="11" t="s">
        <v>133</v>
      </c>
      <c r="E406" s="14">
        <v>573</v>
      </c>
      <c r="F406" s="14">
        <v>1698</v>
      </c>
      <c r="G406" s="14"/>
      <c r="H406" s="14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12" t="s">
        <v>1</v>
      </c>
    </row>
    <row r="407" spans="1:21" ht="12">
      <c r="A407" s="1" t="s">
        <v>102</v>
      </c>
      <c r="B407" s="13" t="s">
        <v>203</v>
      </c>
      <c r="C407" s="16" t="s">
        <v>471</v>
      </c>
      <c r="D407" s="11" t="s">
        <v>105</v>
      </c>
      <c r="E407" s="14">
        <v>2028</v>
      </c>
      <c r="F407" s="14">
        <v>4148</v>
      </c>
      <c r="G407" s="14">
        <v>2028</v>
      </c>
      <c r="H407" s="14">
        <v>2028</v>
      </c>
      <c r="I407" s="14">
        <v>2228</v>
      </c>
      <c r="J407" s="14">
        <v>4448</v>
      </c>
      <c r="K407" s="14">
        <v>4000</v>
      </c>
      <c r="L407" s="14">
        <v>8000</v>
      </c>
      <c r="M407" s="7"/>
      <c r="N407" s="7"/>
      <c r="O407" s="7"/>
      <c r="P407" s="7"/>
      <c r="Q407" s="7"/>
      <c r="R407" s="7"/>
      <c r="S407" s="7"/>
      <c r="T407" s="7"/>
      <c r="U407" s="12" t="s">
        <v>1</v>
      </c>
    </row>
    <row r="408" spans="2:21" ht="12">
      <c r="B408" s="13" t="s">
        <v>203</v>
      </c>
      <c r="C408" s="16" t="s">
        <v>472</v>
      </c>
      <c r="D408" s="11" t="s">
        <v>108</v>
      </c>
      <c r="E408" s="14">
        <v>2090</v>
      </c>
      <c r="F408" s="14">
        <v>5130</v>
      </c>
      <c r="G408" s="14">
        <v>2090</v>
      </c>
      <c r="H408" s="14">
        <v>2090</v>
      </c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12" t="s">
        <v>1</v>
      </c>
    </row>
    <row r="409" spans="2:21" ht="12">
      <c r="B409" s="13" t="s">
        <v>203</v>
      </c>
      <c r="C409" s="16" t="s">
        <v>473</v>
      </c>
      <c r="D409" s="11" t="s">
        <v>118</v>
      </c>
      <c r="E409" s="14">
        <v>1450</v>
      </c>
      <c r="F409" s="14">
        <v>2980</v>
      </c>
      <c r="G409" s="14">
        <v>1450</v>
      </c>
      <c r="H409" s="14">
        <v>1450</v>
      </c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12" t="s">
        <v>1</v>
      </c>
    </row>
    <row r="410" spans="2:21" ht="12">
      <c r="B410" s="13" t="s">
        <v>203</v>
      </c>
      <c r="C410" s="16" t="s">
        <v>474</v>
      </c>
      <c r="D410" s="11" t="s">
        <v>125</v>
      </c>
      <c r="E410" s="14">
        <v>2110</v>
      </c>
      <c r="F410" s="14">
        <v>3036</v>
      </c>
      <c r="G410" s="14">
        <v>2110</v>
      </c>
      <c r="H410" s="14">
        <v>2110</v>
      </c>
      <c r="I410" s="14"/>
      <c r="J410" s="14"/>
      <c r="K410" s="14"/>
      <c r="L410" s="14"/>
      <c r="M410" s="7"/>
      <c r="N410" s="7"/>
      <c r="O410" s="7"/>
      <c r="P410" s="7"/>
      <c r="Q410" s="7"/>
      <c r="R410" s="7"/>
      <c r="S410" s="7"/>
      <c r="T410" s="7"/>
      <c r="U410" s="12" t="s">
        <v>1</v>
      </c>
    </row>
    <row r="411" spans="2:21" ht="12">
      <c r="B411" s="13" t="s">
        <v>203</v>
      </c>
      <c r="C411" s="16" t="s">
        <v>475</v>
      </c>
      <c r="D411" s="11" t="s">
        <v>125</v>
      </c>
      <c r="E411" s="14">
        <v>1340</v>
      </c>
      <c r="F411" s="14">
        <v>2680</v>
      </c>
      <c r="G411" s="14">
        <v>1340</v>
      </c>
      <c r="H411" s="14">
        <v>1340</v>
      </c>
      <c r="I411" s="7"/>
      <c r="J411" s="7"/>
      <c r="K411" s="14"/>
      <c r="L411" s="14"/>
      <c r="M411" s="14"/>
      <c r="N411" s="14"/>
      <c r="O411" s="7"/>
      <c r="P411" s="7"/>
      <c r="Q411" s="7"/>
      <c r="R411" s="7"/>
      <c r="S411" s="7"/>
      <c r="T411" s="7"/>
      <c r="U411" s="12" t="s">
        <v>1</v>
      </c>
    </row>
    <row r="412" spans="2:21" ht="12">
      <c r="B412" s="13" t="s">
        <v>203</v>
      </c>
      <c r="C412" s="16" t="s">
        <v>476</v>
      </c>
      <c r="D412" s="11" t="s">
        <v>125</v>
      </c>
      <c r="E412" s="14">
        <v>1820</v>
      </c>
      <c r="F412" s="14">
        <v>2420</v>
      </c>
      <c r="G412" s="14">
        <v>1820</v>
      </c>
      <c r="H412" s="14">
        <v>1820</v>
      </c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12" t="s">
        <v>1</v>
      </c>
    </row>
    <row r="413" spans="2:21" ht="12">
      <c r="B413" s="13" t="s">
        <v>203</v>
      </c>
      <c r="C413" s="13" t="s">
        <v>477</v>
      </c>
      <c r="D413" s="11" t="s">
        <v>125</v>
      </c>
      <c r="E413" s="14">
        <v>2182</v>
      </c>
      <c r="F413" s="14">
        <v>4816</v>
      </c>
      <c r="G413" s="14">
        <v>2182</v>
      </c>
      <c r="H413" s="14">
        <v>2182</v>
      </c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12" t="s">
        <v>1</v>
      </c>
    </row>
    <row r="414" spans="2:21" ht="12">
      <c r="B414" s="13" t="s">
        <v>203</v>
      </c>
      <c r="C414" s="16" t="s">
        <v>478</v>
      </c>
      <c r="D414" s="11" t="s">
        <v>125</v>
      </c>
      <c r="E414" s="14">
        <v>2060</v>
      </c>
      <c r="F414" s="14">
        <v>3646</v>
      </c>
      <c r="G414" s="14">
        <v>2060</v>
      </c>
      <c r="H414" s="14">
        <v>2060</v>
      </c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12" t="s">
        <v>1</v>
      </c>
    </row>
    <row r="415" spans="2:21" ht="12">
      <c r="B415" s="13" t="s">
        <v>203</v>
      </c>
      <c r="C415" s="13" t="s">
        <v>479</v>
      </c>
      <c r="D415" s="11" t="s">
        <v>131</v>
      </c>
      <c r="E415" s="14">
        <v>1400</v>
      </c>
      <c r="F415" s="14">
        <v>2940</v>
      </c>
      <c r="G415" s="14"/>
      <c r="H415" s="14"/>
      <c r="I415" s="14"/>
      <c r="J415" s="14"/>
      <c r="K415" s="14"/>
      <c r="L415" s="14"/>
      <c r="M415" s="7"/>
      <c r="N415" s="7"/>
      <c r="O415" s="7"/>
      <c r="P415" s="7"/>
      <c r="Q415" s="7"/>
      <c r="R415" s="7"/>
      <c r="S415" s="7"/>
      <c r="T415" s="7"/>
      <c r="U415" s="12" t="s">
        <v>1</v>
      </c>
    </row>
    <row r="416" spans="2:21" ht="12">
      <c r="B416" s="13" t="s">
        <v>203</v>
      </c>
      <c r="C416" s="16" t="s">
        <v>480</v>
      </c>
      <c r="D416" s="11" t="s">
        <v>131</v>
      </c>
      <c r="E416" s="14">
        <v>1400</v>
      </c>
      <c r="F416" s="14">
        <v>2940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12" t="s">
        <v>1</v>
      </c>
    </row>
    <row r="417" spans="2:21" ht="12">
      <c r="B417" s="13" t="s">
        <v>203</v>
      </c>
      <c r="C417" s="16" t="s">
        <v>481</v>
      </c>
      <c r="D417" s="11" t="s">
        <v>131</v>
      </c>
      <c r="E417" s="14">
        <v>1400</v>
      </c>
      <c r="F417" s="14">
        <v>2940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12" t="s">
        <v>1</v>
      </c>
    </row>
    <row r="418" spans="2:21" ht="12">
      <c r="B418" s="13" t="s">
        <v>203</v>
      </c>
      <c r="C418" s="16" t="s">
        <v>482</v>
      </c>
      <c r="D418" s="11" t="s">
        <v>132</v>
      </c>
      <c r="E418" s="14">
        <v>1200</v>
      </c>
      <c r="F418" s="14">
        <v>2570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12" t="s">
        <v>1</v>
      </c>
    </row>
    <row r="419" spans="2:21" ht="12">
      <c r="B419" s="13" t="s">
        <v>203</v>
      </c>
      <c r="C419" s="16" t="s">
        <v>483</v>
      </c>
      <c r="D419" s="11" t="s">
        <v>132</v>
      </c>
      <c r="E419" s="14">
        <v>1200</v>
      </c>
      <c r="F419" s="14">
        <v>2570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12" t="s">
        <v>1</v>
      </c>
    </row>
    <row r="420" spans="2:21" ht="12">
      <c r="B420" s="13" t="s">
        <v>203</v>
      </c>
      <c r="C420" s="16" t="s">
        <v>484</v>
      </c>
      <c r="D420" s="11" t="s">
        <v>132</v>
      </c>
      <c r="E420" s="14">
        <v>1200</v>
      </c>
      <c r="F420" s="14">
        <v>2570</v>
      </c>
      <c r="G420" s="14"/>
      <c r="H420" s="14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12" t="s">
        <v>1</v>
      </c>
    </row>
    <row r="421" spans="2:21" ht="12">
      <c r="B421" s="13" t="s">
        <v>203</v>
      </c>
      <c r="C421" s="16" t="s">
        <v>485</v>
      </c>
      <c r="D421" s="11" t="s">
        <v>132</v>
      </c>
      <c r="E421" s="14">
        <v>1200</v>
      </c>
      <c r="F421" s="14">
        <v>2570</v>
      </c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12" t="s">
        <v>1</v>
      </c>
    </row>
    <row r="422" spans="2:21" ht="12">
      <c r="B422" s="13" t="s">
        <v>203</v>
      </c>
      <c r="C422" s="16" t="s">
        <v>486</v>
      </c>
      <c r="D422" s="11" t="s">
        <v>132</v>
      </c>
      <c r="E422" s="14">
        <v>1200</v>
      </c>
      <c r="F422" s="14">
        <v>2570</v>
      </c>
      <c r="G422" s="14"/>
      <c r="H422" s="14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12" t="s">
        <v>1</v>
      </c>
    </row>
    <row r="423" spans="2:21" ht="12">
      <c r="B423" s="13" t="s">
        <v>203</v>
      </c>
      <c r="C423" s="16" t="s">
        <v>487</v>
      </c>
      <c r="D423" s="11" t="s">
        <v>133</v>
      </c>
      <c r="E423" s="14">
        <v>600</v>
      </c>
      <c r="F423" s="14">
        <v>885</v>
      </c>
      <c r="G423" s="14"/>
      <c r="H423" s="14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12" t="s">
        <v>1</v>
      </c>
    </row>
    <row r="424" spans="2:21" ht="12">
      <c r="B424" s="13" t="s">
        <v>203</v>
      </c>
      <c r="C424" s="16" t="s">
        <v>488</v>
      </c>
      <c r="D424" s="11" t="s">
        <v>133</v>
      </c>
      <c r="E424" s="14">
        <v>675</v>
      </c>
      <c r="F424" s="14">
        <v>900</v>
      </c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12" t="s">
        <v>1</v>
      </c>
    </row>
    <row r="425" spans="2:21" ht="12">
      <c r="B425" s="13" t="s">
        <v>203</v>
      </c>
      <c r="C425" s="16" t="s">
        <v>489</v>
      </c>
      <c r="D425" s="11" t="s">
        <v>133</v>
      </c>
      <c r="E425" s="14">
        <v>480</v>
      </c>
      <c r="F425" s="14">
        <v>780</v>
      </c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12" t="s">
        <v>1</v>
      </c>
    </row>
    <row r="426" spans="2:21" ht="12">
      <c r="B426" s="13" t="s">
        <v>203</v>
      </c>
      <c r="C426" s="16" t="s">
        <v>490</v>
      </c>
      <c r="D426" s="11" t="s">
        <v>133</v>
      </c>
      <c r="E426" s="14">
        <v>615</v>
      </c>
      <c r="F426" s="14">
        <v>1365</v>
      </c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12" t="s">
        <v>1</v>
      </c>
    </row>
    <row r="427" spans="2:21" ht="12">
      <c r="B427" s="13" t="s">
        <v>203</v>
      </c>
      <c r="C427" s="16" t="s">
        <v>491</v>
      </c>
      <c r="D427" s="11" t="s">
        <v>133</v>
      </c>
      <c r="E427" s="14">
        <v>675</v>
      </c>
      <c r="F427" s="14">
        <v>1050</v>
      </c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12" t="s">
        <v>1</v>
      </c>
    </row>
    <row r="428" spans="2:21" ht="12">
      <c r="B428" s="13" t="s">
        <v>203</v>
      </c>
      <c r="C428" s="16" t="s">
        <v>492</v>
      </c>
      <c r="D428" s="11" t="s">
        <v>133</v>
      </c>
      <c r="E428" s="14">
        <v>555</v>
      </c>
      <c r="F428" s="14">
        <v>953</v>
      </c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12" t="s">
        <v>1</v>
      </c>
    </row>
    <row r="429" spans="2:21" ht="12">
      <c r="B429" s="13" t="s">
        <v>203</v>
      </c>
      <c r="C429" s="16" t="s">
        <v>493</v>
      </c>
      <c r="D429" s="11" t="s">
        <v>133</v>
      </c>
      <c r="E429" s="14">
        <v>600</v>
      </c>
      <c r="F429" s="14">
        <v>1200</v>
      </c>
      <c r="G429" s="14"/>
      <c r="H429" s="14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12" t="s">
        <v>1</v>
      </c>
    </row>
    <row r="430" spans="2:21" ht="12">
      <c r="B430" s="13" t="s">
        <v>203</v>
      </c>
      <c r="C430" s="16" t="s">
        <v>494</v>
      </c>
      <c r="D430" s="11" t="s">
        <v>133</v>
      </c>
      <c r="E430" s="14">
        <v>750</v>
      </c>
      <c r="F430" s="14">
        <v>1500</v>
      </c>
      <c r="G430" s="14"/>
      <c r="H430" s="14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12" t="s">
        <v>1</v>
      </c>
    </row>
    <row r="431" spans="2:21" ht="12">
      <c r="B431" s="13" t="s">
        <v>203</v>
      </c>
      <c r="C431" s="16" t="s">
        <v>495</v>
      </c>
      <c r="D431" s="11" t="s">
        <v>133</v>
      </c>
      <c r="E431" s="14">
        <v>570</v>
      </c>
      <c r="F431" s="14">
        <v>870</v>
      </c>
      <c r="G431" s="14"/>
      <c r="H431" s="14"/>
      <c r="I431" s="7"/>
      <c r="J431" s="7"/>
      <c r="K431" s="14"/>
      <c r="L431" s="14"/>
      <c r="M431" s="14"/>
      <c r="N431" s="14"/>
      <c r="O431" s="7"/>
      <c r="P431" s="7"/>
      <c r="Q431" s="7"/>
      <c r="R431" s="7"/>
      <c r="S431" s="7"/>
      <c r="T431" s="7"/>
      <c r="U431" s="12" t="s">
        <v>1</v>
      </c>
    </row>
    <row r="432" spans="2:21" ht="12">
      <c r="B432" s="13" t="s">
        <v>203</v>
      </c>
      <c r="C432" s="16" t="s">
        <v>496</v>
      </c>
      <c r="D432" s="11" t="s">
        <v>133</v>
      </c>
      <c r="E432" s="14">
        <v>701</v>
      </c>
      <c r="F432" s="14">
        <v>1095</v>
      </c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12" t="s">
        <v>1</v>
      </c>
    </row>
    <row r="433" spans="2:21" ht="12">
      <c r="B433" s="13" t="s">
        <v>203</v>
      </c>
      <c r="C433" s="16" t="s">
        <v>497</v>
      </c>
      <c r="D433" s="11" t="s">
        <v>133</v>
      </c>
      <c r="E433" s="14">
        <v>540</v>
      </c>
      <c r="F433" s="14">
        <v>1080</v>
      </c>
      <c r="G433" s="14"/>
      <c r="H433" s="14"/>
      <c r="I433" s="7"/>
      <c r="J433" s="7"/>
      <c r="K433" s="14"/>
      <c r="L433" s="14"/>
      <c r="M433" s="14"/>
      <c r="N433" s="14"/>
      <c r="O433" s="7"/>
      <c r="P433" s="7"/>
      <c r="Q433" s="7"/>
      <c r="R433" s="7"/>
      <c r="S433" s="7"/>
      <c r="T433" s="7"/>
      <c r="U433" s="12" t="s">
        <v>1</v>
      </c>
    </row>
    <row r="434" spans="2:21" ht="12">
      <c r="B434" s="13" t="s">
        <v>203</v>
      </c>
      <c r="C434" s="13" t="s">
        <v>498</v>
      </c>
      <c r="D434" s="11" t="s">
        <v>133</v>
      </c>
      <c r="E434" s="14">
        <v>594</v>
      </c>
      <c r="F434" s="14">
        <v>936</v>
      </c>
      <c r="G434" s="14"/>
      <c r="H434" s="14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12" t="s">
        <v>1</v>
      </c>
    </row>
    <row r="435" spans="2:21" ht="12">
      <c r="B435" s="13" t="s">
        <v>203</v>
      </c>
      <c r="C435" s="16" t="s">
        <v>499</v>
      </c>
      <c r="D435" s="11" t="s">
        <v>133</v>
      </c>
      <c r="E435" s="14">
        <v>630</v>
      </c>
      <c r="F435" s="14">
        <v>1260</v>
      </c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12" t="s">
        <v>1</v>
      </c>
    </row>
    <row r="436" spans="2:21" ht="12">
      <c r="B436" s="13" t="s">
        <v>203</v>
      </c>
      <c r="C436" s="16" t="s">
        <v>500</v>
      </c>
      <c r="D436" s="11" t="s">
        <v>133</v>
      </c>
      <c r="E436" s="14">
        <v>600</v>
      </c>
      <c r="F436" s="14">
        <v>1188</v>
      </c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12" t="s">
        <v>1</v>
      </c>
    </row>
    <row r="437" spans="2:21" ht="12">
      <c r="B437" s="13" t="s">
        <v>203</v>
      </c>
      <c r="C437" s="16" t="s">
        <v>501</v>
      </c>
      <c r="D437" s="11" t="s">
        <v>133</v>
      </c>
      <c r="E437" s="14">
        <v>450</v>
      </c>
      <c r="F437" s="14">
        <v>450</v>
      </c>
      <c r="G437" s="14"/>
      <c r="H437" s="14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12" t="s">
        <v>1</v>
      </c>
    </row>
    <row r="438" spans="2:21" ht="12">
      <c r="B438" s="13" t="s">
        <v>203</v>
      </c>
      <c r="C438" s="16" t="s">
        <v>502</v>
      </c>
      <c r="D438" s="11" t="s">
        <v>133</v>
      </c>
      <c r="E438" s="14">
        <v>450</v>
      </c>
      <c r="F438" s="14">
        <v>900</v>
      </c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12" t="s">
        <v>1</v>
      </c>
    </row>
    <row r="439" spans="2:21" ht="12">
      <c r="B439" s="13" t="s">
        <v>203</v>
      </c>
      <c r="C439" s="16" t="s">
        <v>503</v>
      </c>
      <c r="D439" s="11" t="s">
        <v>175</v>
      </c>
      <c r="E439" s="14">
        <v>1540</v>
      </c>
      <c r="F439" s="14">
        <v>2801</v>
      </c>
      <c r="G439" s="14">
        <v>1540</v>
      </c>
      <c r="H439" s="14">
        <v>1540</v>
      </c>
      <c r="I439" s="7"/>
      <c r="J439" s="7"/>
      <c r="K439" s="14">
        <v>3630</v>
      </c>
      <c r="L439" s="14">
        <v>7260</v>
      </c>
      <c r="M439" s="14">
        <v>2530</v>
      </c>
      <c r="N439" s="14">
        <v>5060</v>
      </c>
      <c r="O439" s="7"/>
      <c r="P439" s="7"/>
      <c r="Q439" s="7"/>
      <c r="R439" s="7"/>
      <c r="S439" s="7"/>
      <c r="T439" s="7"/>
      <c r="U439" s="12" t="s">
        <v>1</v>
      </c>
    </row>
    <row r="440" spans="1:21" ht="12">
      <c r="A440" s="1" t="s">
        <v>102</v>
      </c>
      <c r="B440" s="13" t="s">
        <v>205</v>
      </c>
      <c r="C440" s="13" t="s">
        <v>504</v>
      </c>
      <c r="D440" s="11" t="s">
        <v>105</v>
      </c>
      <c r="E440" s="14">
        <v>1404</v>
      </c>
      <c r="F440" s="14">
        <v>4008</v>
      </c>
      <c r="G440" s="14">
        <v>1704</v>
      </c>
      <c r="H440" s="14">
        <v>4308</v>
      </c>
      <c r="I440" s="14">
        <v>1886</v>
      </c>
      <c r="J440" s="14">
        <v>4490</v>
      </c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12" t="s">
        <v>1</v>
      </c>
    </row>
    <row r="441" spans="2:21" ht="12">
      <c r="B441" s="13" t="s">
        <v>205</v>
      </c>
      <c r="C441" s="16" t="s">
        <v>322</v>
      </c>
      <c r="D441" s="11" t="s">
        <v>108</v>
      </c>
      <c r="E441" s="14">
        <v>1296</v>
      </c>
      <c r="F441" s="14">
        <v>3900</v>
      </c>
      <c r="G441" s="14">
        <v>1564</v>
      </c>
      <c r="H441" s="14">
        <v>4168</v>
      </c>
      <c r="I441" s="14">
        <v>1936</v>
      </c>
      <c r="J441" s="14">
        <v>4540</v>
      </c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12" t="s">
        <v>1</v>
      </c>
    </row>
    <row r="442" spans="2:21" ht="12">
      <c r="B442" s="13" t="s">
        <v>205</v>
      </c>
      <c r="C442" s="13" t="s">
        <v>505</v>
      </c>
      <c r="D442" s="11" t="s">
        <v>118</v>
      </c>
      <c r="E442" s="14">
        <v>1138</v>
      </c>
      <c r="F442" s="14">
        <v>3742</v>
      </c>
      <c r="G442" s="14">
        <v>1474</v>
      </c>
      <c r="H442" s="14">
        <v>4078</v>
      </c>
      <c r="I442" s="7"/>
      <c r="J442" s="7"/>
      <c r="K442" s="14">
        <v>5756</v>
      </c>
      <c r="L442" s="14">
        <v>9122</v>
      </c>
      <c r="M442" s="7"/>
      <c r="N442" s="7"/>
      <c r="O442" s="7"/>
      <c r="P442" s="7"/>
      <c r="Q442" s="7"/>
      <c r="R442" s="7"/>
      <c r="S442" s="7"/>
      <c r="T442" s="7"/>
      <c r="U442" s="12" t="s">
        <v>1</v>
      </c>
    </row>
    <row r="443" spans="2:21" ht="12">
      <c r="B443" s="13" t="s">
        <v>205</v>
      </c>
      <c r="C443" s="16" t="s">
        <v>506</v>
      </c>
      <c r="D443" s="11" t="s">
        <v>118</v>
      </c>
      <c r="E443" s="14">
        <v>1112</v>
      </c>
      <c r="F443" s="14">
        <v>3716</v>
      </c>
      <c r="G443" s="14">
        <v>1448</v>
      </c>
      <c r="H443" s="14">
        <v>4052</v>
      </c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12" t="s">
        <v>1</v>
      </c>
    </row>
    <row r="444" spans="2:21" ht="12">
      <c r="B444" s="13" t="s">
        <v>205</v>
      </c>
      <c r="C444" s="16" t="s">
        <v>325</v>
      </c>
      <c r="D444" s="11" t="s">
        <v>118</v>
      </c>
      <c r="E444" s="14">
        <v>1140</v>
      </c>
      <c r="F444" s="14">
        <v>3744</v>
      </c>
      <c r="G444" s="14">
        <v>1476</v>
      </c>
      <c r="H444" s="14">
        <v>4080</v>
      </c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12" t="s">
        <v>1</v>
      </c>
    </row>
    <row r="445" spans="2:21" ht="12">
      <c r="B445" s="13" t="s">
        <v>205</v>
      </c>
      <c r="C445" s="16" t="s">
        <v>507</v>
      </c>
      <c r="D445" s="11" t="s">
        <v>118</v>
      </c>
      <c r="E445" s="14">
        <v>1197</v>
      </c>
      <c r="F445" s="14">
        <v>3801</v>
      </c>
      <c r="G445" s="14">
        <v>1533</v>
      </c>
      <c r="H445" s="14">
        <v>4137</v>
      </c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12" t="s">
        <v>1</v>
      </c>
    </row>
    <row r="446" spans="2:21" ht="12">
      <c r="B446" s="13" t="s">
        <v>205</v>
      </c>
      <c r="C446" s="16" t="s">
        <v>508</v>
      </c>
      <c r="D446" s="11" t="s">
        <v>125</v>
      </c>
      <c r="E446" s="14">
        <v>1209</v>
      </c>
      <c r="F446" s="14">
        <v>3813</v>
      </c>
      <c r="G446" s="14">
        <v>1545</v>
      </c>
      <c r="H446" s="14">
        <v>4149</v>
      </c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12" t="s">
        <v>1</v>
      </c>
    </row>
    <row r="447" spans="2:21" ht="12">
      <c r="B447" s="13" t="s">
        <v>205</v>
      </c>
      <c r="C447" s="16" t="s">
        <v>509</v>
      </c>
      <c r="D447" s="11" t="s">
        <v>125</v>
      </c>
      <c r="E447" s="14">
        <v>1228</v>
      </c>
      <c r="F447" s="14">
        <v>3832</v>
      </c>
      <c r="G447" s="14">
        <v>1580</v>
      </c>
      <c r="H447" s="14">
        <v>4184</v>
      </c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12" t="s">
        <v>1</v>
      </c>
    </row>
    <row r="448" spans="2:21" ht="12">
      <c r="B448" s="13" t="s">
        <v>205</v>
      </c>
      <c r="C448" s="16" t="s">
        <v>510</v>
      </c>
      <c r="D448" s="11" t="s">
        <v>125</v>
      </c>
      <c r="E448" s="14">
        <v>1254</v>
      </c>
      <c r="F448" s="14">
        <v>3858</v>
      </c>
      <c r="G448" s="14">
        <v>1566</v>
      </c>
      <c r="H448" s="14">
        <v>4170</v>
      </c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12" t="s">
        <v>1</v>
      </c>
    </row>
    <row r="449" spans="2:21" ht="12">
      <c r="B449" s="13" t="s">
        <v>205</v>
      </c>
      <c r="C449" s="16" t="s">
        <v>511</v>
      </c>
      <c r="D449" s="11" t="s">
        <v>133</v>
      </c>
      <c r="E449" s="14">
        <v>681</v>
      </c>
      <c r="F449" s="14">
        <v>3111</v>
      </c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12" t="s">
        <v>1</v>
      </c>
    </row>
    <row r="450" spans="2:21" ht="12">
      <c r="B450" s="13" t="s">
        <v>205</v>
      </c>
      <c r="C450" s="16" t="s">
        <v>512</v>
      </c>
      <c r="D450" s="11" t="s">
        <v>133</v>
      </c>
      <c r="E450" s="14">
        <v>681</v>
      </c>
      <c r="F450" s="14">
        <v>3111</v>
      </c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12" t="s">
        <v>1</v>
      </c>
    </row>
    <row r="451" spans="2:21" ht="12">
      <c r="B451" s="13" t="s">
        <v>205</v>
      </c>
      <c r="C451" s="16" t="s">
        <v>513</v>
      </c>
      <c r="D451" s="11" t="s">
        <v>133</v>
      </c>
      <c r="E451" s="14">
        <v>681</v>
      </c>
      <c r="F451" s="14">
        <v>3111</v>
      </c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12" t="s">
        <v>1</v>
      </c>
    </row>
    <row r="452" spans="2:21" ht="12">
      <c r="B452" s="13" t="s">
        <v>205</v>
      </c>
      <c r="C452" s="16" t="s">
        <v>514</v>
      </c>
      <c r="D452" s="11" t="s">
        <v>133</v>
      </c>
      <c r="E452" s="14">
        <v>681</v>
      </c>
      <c r="F452" s="14">
        <v>3111</v>
      </c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12" t="s">
        <v>1</v>
      </c>
    </row>
    <row r="453" spans="2:21" ht="12">
      <c r="B453" s="13" t="s">
        <v>205</v>
      </c>
      <c r="C453" s="16" t="s">
        <v>515</v>
      </c>
      <c r="D453" s="11" t="s">
        <v>133</v>
      </c>
      <c r="E453" s="14">
        <v>681</v>
      </c>
      <c r="F453" s="14">
        <v>3111</v>
      </c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12" t="s">
        <v>1</v>
      </c>
    </row>
    <row r="454" spans="2:21" ht="12">
      <c r="B454" s="13" t="s">
        <v>205</v>
      </c>
      <c r="C454" s="16" t="s">
        <v>516</v>
      </c>
      <c r="D454" s="11" t="s">
        <v>133</v>
      </c>
      <c r="E454" s="14">
        <v>681</v>
      </c>
      <c r="F454" s="14">
        <v>3111</v>
      </c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12" t="s">
        <v>1</v>
      </c>
    </row>
    <row r="455" spans="2:21" ht="12">
      <c r="B455" s="13" t="s">
        <v>205</v>
      </c>
      <c r="C455" s="16" t="s">
        <v>517</v>
      </c>
      <c r="D455" s="11" t="s">
        <v>133</v>
      </c>
      <c r="E455" s="14">
        <v>681</v>
      </c>
      <c r="F455" s="14">
        <v>3111</v>
      </c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12" t="s">
        <v>1</v>
      </c>
    </row>
    <row r="456" spans="2:21" ht="12">
      <c r="B456" s="13" t="s">
        <v>205</v>
      </c>
      <c r="C456" s="16" t="s">
        <v>518</v>
      </c>
      <c r="D456" s="11" t="s">
        <v>133</v>
      </c>
      <c r="E456" s="14">
        <v>681</v>
      </c>
      <c r="F456" s="14">
        <v>3111</v>
      </c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12" t="s">
        <v>1</v>
      </c>
    </row>
    <row r="457" spans="2:21" ht="12">
      <c r="B457" s="13" t="s">
        <v>205</v>
      </c>
      <c r="C457" s="16" t="s">
        <v>519</v>
      </c>
      <c r="D457" s="11" t="s">
        <v>133</v>
      </c>
      <c r="E457" s="14">
        <v>681</v>
      </c>
      <c r="F457" s="14">
        <v>3111</v>
      </c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12" t="s">
        <v>1</v>
      </c>
    </row>
    <row r="458" spans="2:21" ht="12">
      <c r="B458" s="13" t="s">
        <v>205</v>
      </c>
      <c r="C458" s="16" t="s">
        <v>520</v>
      </c>
      <c r="D458" s="11" t="s">
        <v>133</v>
      </c>
      <c r="E458" s="14">
        <v>681</v>
      </c>
      <c r="F458" s="14">
        <v>3111</v>
      </c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12" t="s">
        <v>1</v>
      </c>
    </row>
    <row r="459" spans="2:21" ht="12">
      <c r="B459" s="13" t="s">
        <v>205</v>
      </c>
      <c r="C459" s="16" t="s">
        <v>521</v>
      </c>
      <c r="D459" s="11" t="s">
        <v>133</v>
      </c>
      <c r="E459" s="14">
        <v>681</v>
      </c>
      <c r="F459" s="14">
        <v>3111</v>
      </c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12" t="s">
        <v>1</v>
      </c>
    </row>
    <row r="460" spans="2:21" ht="12">
      <c r="B460" s="13" t="s">
        <v>205</v>
      </c>
      <c r="C460" s="16" t="s">
        <v>522</v>
      </c>
      <c r="D460" s="11" t="s">
        <v>133</v>
      </c>
      <c r="E460" s="14">
        <v>681</v>
      </c>
      <c r="F460" s="14">
        <v>3111</v>
      </c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12" t="s">
        <v>1</v>
      </c>
    </row>
    <row r="461" spans="2:21" ht="12">
      <c r="B461" s="13" t="s">
        <v>205</v>
      </c>
      <c r="C461" s="16" t="s">
        <v>523</v>
      </c>
      <c r="D461" s="11" t="s">
        <v>133</v>
      </c>
      <c r="E461" s="14">
        <v>684</v>
      </c>
      <c r="F461" s="14">
        <v>3114</v>
      </c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12" t="s">
        <v>1</v>
      </c>
    </row>
    <row r="462" spans="2:21" ht="12">
      <c r="B462" s="13" t="s">
        <v>205</v>
      </c>
      <c r="C462" s="16" t="s">
        <v>524</v>
      </c>
      <c r="D462" s="11" t="s">
        <v>133</v>
      </c>
      <c r="E462" s="14">
        <v>681</v>
      </c>
      <c r="F462" s="14">
        <v>3111</v>
      </c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12" t="s">
        <v>1</v>
      </c>
    </row>
    <row r="463" spans="2:21" ht="12">
      <c r="B463" s="13" t="s">
        <v>205</v>
      </c>
      <c r="C463" s="16" t="s">
        <v>525</v>
      </c>
      <c r="D463" s="11" t="s">
        <v>135</v>
      </c>
      <c r="E463" s="14">
        <v>165</v>
      </c>
      <c r="F463" s="20" t="s">
        <v>263</v>
      </c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12" t="s">
        <v>1</v>
      </c>
    </row>
    <row r="464" spans="2:21" ht="12">
      <c r="B464" s="13" t="s">
        <v>205</v>
      </c>
      <c r="C464" s="16" t="s">
        <v>526</v>
      </c>
      <c r="D464" s="11" t="s">
        <v>175</v>
      </c>
      <c r="E464" s="7"/>
      <c r="F464" s="7"/>
      <c r="G464" s="7"/>
      <c r="H464" s="7"/>
      <c r="I464" s="7"/>
      <c r="J464" s="7"/>
      <c r="K464" s="14">
        <v>5850</v>
      </c>
      <c r="L464" s="14">
        <v>9216</v>
      </c>
      <c r="M464" s="14">
        <v>3924</v>
      </c>
      <c r="N464" s="14">
        <v>7290</v>
      </c>
      <c r="O464" s="7"/>
      <c r="P464" s="7"/>
      <c r="Q464" s="7"/>
      <c r="R464" s="7"/>
      <c r="S464" s="7"/>
      <c r="T464" s="7"/>
      <c r="U464" s="12" t="s">
        <v>1</v>
      </c>
    </row>
    <row r="465" spans="2:21" ht="12">
      <c r="B465" s="13" t="s">
        <v>205</v>
      </c>
      <c r="C465" s="16" t="s">
        <v>527</v>
      </c>
      <c r="D465" s="11" t="s">
        <v>175</v>
      </c>
      <c r="E465" s="14">
        <v>1404</v>
      </c>
      <c r="F465" s="14">
        <v>4008</v>
      </c>
      <c r="G465" s="14">
        <v>1704</v>
      </c>
      <c r="H465" s="14">
        <v>4308</v>
      </c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12" t="s">
        <v>1</v>
      </c>
    </row>
    <row r="466" spans="2:21" ht="12">
      <c r="B466" s="13" t="s">
        <v>205</v>
      </c>
      <c r="C466" s="16" t="s">
        <v>528</v>
      </c>
      <c r="D466" s="11" t="s">
        <v>175</v>
      </c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14">
        <v>2757</v>
      </c>
      <c r="R466" s="14">
        <v>5361</v>
      </c>
      <c r="S466" s="7"/>
      <c r="T466" s="7"/>
      <c r="U466" s="12" t="s">
        <v>1</v>
      </c>
    </row>
    <row r="467" spans="1:21" ht="12">
      <c r="A467" s="1" t="s">
        <v>102</v>
      </c>
      <c r="B467" s="13" t="s">
        <v>207</v>
      </c>
      <c r="C467" s="16" t="s">
        <v>529</v>
      </c>
      <c r="D467" s="17" t="s">
        <v>105</v>
      </c>
      <c r="E467" s="14">
        <v>900</v>
      </c>
      <c r="F467" s="14">
        <v>4020</v>
      </c>
      <c r="G467" s="14">
        <v>720</v>
      </c>
      <c r="H467" s="14">
        <v>3216</v>
      </c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2" t="s">
        <v>1</v>
      </c>
    </row>
    <row r="468" spans="2:21" ht="12">
      <c r="B468" s="13" t="s">
        <v>207</v>
      </c>
      <c r="C468" s="16" t="s">
        <v>530</v>
      </c>
      <c r="D468" s="17" t="s">
        <v>105</v>
      </c>
      <c r="E468" s="14">
        <v>1050</v>
      </c>
      <c r="F468" s="14">
        <v>3170</v>
      </c>
      <c r="G468" s="14">
        <v>840</v>
      </c>
      <c r="H468" s="14">
        <v>3336</v>
      </c>
      <c r="I468" s="14"/>
      <c r="J468" s="14"/>
      <c r="K468" s="14">
        <v>4506</v>
      </c>
      <c r="L468" s="14">
        <v>15306</v>
      </c>
      <c r="M468" s="14"/>
      <c r="N468" s="14"/>
      <c r="O468" s="14"/>
      <c r="P468" s="14"/>
      <c r="Q468" s="14">
        <v>3245</v>
      </c>
      <c r="R468" s="14">
        <v>10445</v>
      </c>
      <c r="S468" s="14"/>
      <c r="T468" s="14"/>
      <c r="U468" s="12" t="s">
        <v>1</v>
      </c>
    </row>
    <row r="469" spans="2:21" ht="12">
      <c r="B469" s="13" t="s">
        <v>207</v>
      </c>
      <c r="C469" s="16" t="s">
        <v>531</v>
      </c>
      <c r="D469" s="17" t="s">
        <v>105</v>
      </c>
      <c r="E469" s="14">
        <v>900</v>
      </c>
      <c r="F469" s="14">
        <v>4020</v>
      </c>
      <c r="G469" s="14">
        <v>720</v>
      </c>
      <c r="H469" s="14">
        <v>3216</v>
      </c>
      <c r="I469" s="14">
        <v>1860</v>
      </c>
      <c r="J469" s="14">
        <v>4920</v>
      </c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2" t="s">
        <v>1</v>
      </c>
    </row>
    <row r="470" spans="2:21" ht="12">
      <c r="B470" s="13" t="s">
        <v>207</v>
      </c>
      <c r="C470" s="16" t="s">
        <v>532</v>
      </c>
      <c r="D470" s="11" t="s">
        <v>105</v>
      </c>
      <c r="E470" s="14">
        <v>1168</v>
      </c>
      <c r="F470" s="14">
        <v>3888</v>
      </c>
      <c r="G470" s="14">
        <v>744</v>
      </c>
      <c r="H470" s="14">
        <v>6290</v>
      </c>
      <c r="I470" s="14">
        <v>1728</v>
      </c>
      <c r="J470" s="14">
        <v>4788</v>
      </c>
      <c r="K470" s="14"/>
      <c r="L470" s="14"/>
      <c r="M470" s="14"/>
      <c r="N470" s="14"/>
      <c r="O470" s="14">
        <v>744</v>
      </c>
      <c r="P470" s="14">
        <v>6290</v>
      </c>
      <c r="Q470" s="14"/>
      <c r="R470" s="14"/>
      <c r="S470" s="14"/>
      <c r="T470" s="14"/>
      <c r="U470" s="12" t="s">
        <v>1</v>
      </c>
    </row>
    <row r="471" spans="2:21" ht="12">
      <c r="B471" s="13" t="s">
        <v>207</v>
      </c>
      <c r="C471" s="16" t="s">
        <v>533</v>
      </c>
      <c r="D471" s="17" t="s">
        <v>105</v>
      </c>
      <c r="E471" s="14">
        <v>876</v>
      </c>
      <c r="F471" s="14">
        <v>3976</v>
      </c>
      <c r="G471" s="14">
        <v>701</v>
      </c>
      <c r="H471" s="14">
        <v>3197</v>
      </c>
      <c r="I471" s="14">
        <v>1836</v>
      </c>
      <c r="J471" s="14">
        <v>4896</v>
      </c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2" t="s">
        <v>1</v>
      </c>
    </row>
    <row r="472" spans="2:21" ht="12">
      <c r="B472" s="13" t="s">
        <v>207</v>
      </c>
      <c r="C472" s="16" t="s">
        <v>534</v>
      </c>
      <c r="D472" s="11" t="s">
        <v>108</v>
      </c>
      <c r="E472" s="14">
        <v>885</v>
      </c>
      <c r="F472" s="14">
        <v>4005</v>
      </c>
      <c r="G472" s="14">
        <v>708</v>
      </c>
      <c r="H472" s="14">
        <v>3204</v>
      </c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2" t="s">
        <v>1</v>
      </c>
    </row>
    <row r="473" spans="2:21" ht="12">
      <c r="B473" s="13" t="s">
        <v>207</v>
      </c>
      <c r="C473" s="16" t="s">
        <v>535</v>
      </c>
      <c r="D473" s="11" t="s">
        <v>108</v>
      </c>
      <c r="E473" s="14">
        <v>882</v>
      </c>
      <c r="F473" s="14">
        <v>4002</v>
      </c>
      <c r="G473" s="14">
        <v>786</v>
      </c>
      <c r="H473" s="14">
        <v>3282</v>
      </c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2" t="s">
        <v>1</v>
      </c>
    </row>
    <row r="474" spans="2:21" ht="12">
      <c r="B474" s="13" t="s">
        <v>207</v>
      </c>
      <c r="C474" s="16" t="s">
        <v>536</v>
      </c>
      <c r="D474" s="11" t="s">
        <v>108</v>
      </c>
      <c r="E474" s="14">
        <v>957</v>
      </c>
      <c r="F474" s="14">
        <v>4077</v>
      </c>
      <c r="G474" s="14">
        <v>766</v>
      </c>
      <c r="H474" s="14">
        <v>3262</v>
      </c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2" t="s">
        <v>1</v>
      </c>
    </row>
    <row r="475" spans="2:21" ht="12">
      <c r="B475" s="13" t="s">
        <v>207</v>
      </c>
      <c r="C475" s="16" t="s">
        <v>537</v>
      </c>
      <c r="D475" s="11" t="s">
        <v>108</v>
      </c>
      <c r="E475" s="14">
        <v>885</v>
      </c>
      <c r="F475" s="14">
        <v>4005</v>
      </c>
      <c r="G475" s="14">
        <v>708</v>
      </c>
      <c r="H475" s="14">
        <v>3203</v>
      </c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2" t="s">
        <v>1</v>
      </c>
    </row>
    <row r="476" spans="2:21" ht="12">
      <c r="B476" s="13" t="s">
        <v>207</v>
      </c>
      <c r="C476" s="16" t="s">
        <v>538</v>
      </c>
      <c r="D476" s="11" t="s">
        <v>118</v>
      </c>
      <c r="E476" s="14">
        <v>880</v>
      </c>
      <c r="F476" s="14">
        <v>4000</v>
      </c>
      <c r="G476" s="14">
        <v>704</v>
      </c>
      <c r="H476" s="14">
        <v>3200</v>
      </c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2" t="s">
        <v>1</v>
      </c>
    </row>
    <row r="477" spans="2:21" ht="12">
      <c r="B477" s="13" t="s">
        <v>207</v>
      </c>
      <c r="C477" s="16" t="s">
        <v>539</v>
      </c>
      <c r="D477" s="11" t="s">
        <v>118</v>
      </c>
      <c r="E477" s="14">
        <v>850</v>
      </c>
      <c r="F477" s="14">
        <v>3970</v>
      </c>
      <c r="G477" s="14">
        <v>680</v>
      </c>
      <c r="H477" s="14">
        <v>3176</v>
      </c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2" t="s">
        <v>1</v>
      </c>
    </row>
    <row r="478" spans="2:21" ht="12">
      <c r="B478" s="13" t="s">
        <v>207</v>
      </c>
      <c r="C478" s="16" t="s">
        <v>540</v>
      </c>
      <c r="D478" s="11" t="s">
        <v>118</v>
      </c>
      <c r="E478" s="14">
        <v>880</v>
      </c>
      <c r="F478" s="14">
        <v>4000</v>
      </c>
      <c r="G478" s="14">
        <v>704</v>
      </c>
      <c r="H478" s="14">
        <v>3200</v>
      </c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2" t="s">
        <v>1</v>
      </c>
    </row>
    <row r="479" spans="2:21" ht="12">
      <c r="B479" s="13" t="s">
        <v>207</v>
      </c>
      <c r="C479" s="16" t="s">
        <v>325</v>
      </c>
      <c r="D479" s="11" t="s">
        <v>118</v>
      </c>
      <c r="E479" s="14">
        <v>900</v>
      </c>
      <c r="F479" s="14">
        <v>4020</v>
      </c>
      <c r="G479" s="14">
        <v>720</v>
      </c>
      <c r="H479" s="14">
        <v>3216</v>
      </c>
      <c r="I479" s="14">
        <v>1860</v>
      </c>
      <c r="J479" s="14">
        <v>4920</v>
      </c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2" t="s">
        <v>1</v>
      </c>
    </row>
    <row r="480" spans="2:21" ht="12">
      <c r="B480" s="13" t="s">
        <v>207</v>
      </c>
      <c r="C480" s="16" t="s">
        <v>541</v>
      </c>
      <c r="D480" s="11" t="s">
        <v>118</v>
      </c>
      <c r="E480" s="14">
        <v>867</v>
      </c>
      <c r="F480" s="14">
        <v>3987</v>
      </c>
      <c r="G480" s="14">
        <v>694</v>
      </c>
      <c r="H480" s="14">
        <v>3190</v>
      </c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2" t="s">
        <v>1</v>
      </c>
    </row>
    <row r="481" spans="2:21" ht="12">
      <c r="B481" s="13" t="s">
        <v>207</v>
      </c>
      <c r="C481" s="16" t="s">
        <v>542</v>
      </c>
      <c r="D481" s="11" t="s">
        <v>118</v>
      </c>
      <c r="E481" s="14">
        <v>885</v>
      </c>
      <c r="F481" s="14">
        <v>4005</v>
      </c>
      <c r="G481" s="14">
        <v>708</v>
      </c>
      <c r="H481" s="14">
        <v>3204</v>
      </c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2" t="s">
        <v>1</v>
      </c>
    </row>
    <row r="482" spans="2:21" ht="12">
      <c r="B482" s="13" t="s">
        <v>207</v>
      </c>
      <c r="C482" s="16" t="s">
        <v>543</v>
      </c>
      <c r="D482" s="17" t="s">
        <v>122</v>
      </c>
      <c r="E482" s="14">
        <v>840</v>
      </c>
      <c r="F482" s="14">
        <v>3960</v>
      </c>
      <c r="G482" s="14">
        <v>672</v>
      </c>
      <c r="H482" s="14">
        <v>3168</v>
      </c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2" t="s">
        <v>1</v>
      </c>
    </row>
    <row r="483" spans="2:21" ht="12">
      <c r="B483" s="13" t="s">
        <v>207</v>
      </c>
      <c r="C483" s="16" t="s">
        <v>544</v>
      </c>
      <c r="D483" s="17" t="s">
        <v>122</v>
      </c>
      <c r="E483" s="14">
        <v>750</v>
      </c>
      <c r="F483" s="14">
        <v>3900</v>
      </c>
      <c r="G483" s="14">
        <v>648</v>
      </c>
      <c r="H483" s="14">
        <v>3144</v>
      </c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2" t="s">
        <v>1</v>
      </c>
    </row>
    <row r="484" spans="2:21" ht="12">
      <c r="B484" s="13" t="s">
        <v>207</v>
      </c>
      <c r="C484" s="16" t="s">
        <v>545</v>
      </c>
      <c r="D484" s="17" t="s">
        <v>122</v>
      </c>
      <c r="E484" s="14">
        <v>906</v>
      </c>
      <c r="F484" s="14">
        <v>4026</v>
      </c>
      <c r="G484" s="14">
        <v>724</v>
      </c>
      <c r="H484" s="14">
        <v>3220</v>
      </c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2" t="s">
        <v>1</v>
      </c>
    </row>
    <row r="485" spans="2:21" ht="12">
      <c r="B485" s="13" t="s">
        <v>207</v>
      </c>
      <c r="C485" s="16" t="s">
        <v>546</v>
      </c>
      <c r="D485" s="17" t="s">
        <v>122</v>
      </c>
      <c r="E485" s="14">
        <v>816</v>
      </c>
      <c r="F485" s="14">
        <v>3930</v>
      </c>
      <c r="G485" s="14">
        <v>648</v>
      </c>
      <c r="H485" s="14">
        <v>3144</v>
      </c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2" t="s">
        <v>1</v>
      </c>
    </row>
    <row r="486" spans="2:21" ht="12">
      <c r="B486" s="13" t="s">
        <v>207</v>
      </c>
      <c r="C486" s="16" t="s">
        <v>547</v>
      </c>
      <c r="D486" s="17" t="s">
        <v>122</v>
      </c>
      <c r="E486" s="14">
        <v>830</v>
      </c>
      <c r="F486" s="14">
        <v>3950</v>
      </c>
      <c r="G486" s="14">
        <v>664</v>
      </c>
      <c r="H486" s="14">
        <v>3160</v>
      </c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2" t="s">
        <v>1</v>
      </c>
    </row>
    <row r="487" spans="2:21" ht="12">
      <c r="B487" s="13" t="s">
        <v>207</v>
      </c>
      <c r="C487" s="16" t="s">
        <v>548</v>
      </c>
      <c r="D487" s="17" t="s">
        <v>122</v>
      </c>
      <c r="E487" s="14">
        <v>882</v>
      </c>
      <c r="F487" s="14">
        <v>4002</v>
      </c>
      <c r="G487" s="14">
        <v>705</v>
      </c>
      <c r="H487" s="14">
        <v>3201</v>
      </c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2" t="s">
        <v>1</v>
      </c>
    </row>
    <row r="488" spans="2:21" ht="12">
      <c r="B488" s="13" t="s">
        <v>207</v>
      </c>
      <c r="C488" s="16" t="s">
        <v>549</v>
      </c>
      <c r="D488" s="17" t="s">
        <v>122</v>
      </c>
      <c r="E488" s="14">
        <v>940</v>
      </c>
      <c r="F488" s="14">
        <v>4060</v>
      </c>
      <c r="G488" s="14">
        <v>752</v>
      </c>
      <c r="H488" s="14">
        <v>3248</v>
      </c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2" t="s">
        <v>1</v>
      </c>
    </row>
    <row r="489" spans="2:21" ht="12">
      <c r="B489" s="13" t="s">
        <v>207</v>
      </c>
      <c r="C489" s="16" t="s">
        <v>550</v>
      </c>
      <c r="D489" s="17" t="s">
        <v>122</v>
      </c>
      <c r="E489" s="14">
        <v>886</v>
      </c>
      <c r="F489" s="14">
        <v>4006</v>
      </c>
      <c r="G489" s="14">
        <v>708</v>
      </c>
      <c r="H489" s="14">
        <v>3204</v>
      </c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2" t="s">
        <v>1</v>
      </c>
    </row>
    <row r="490" spans="2:21" ht="12">
      <c r="B490" s="13" t="s">
        <v>207</v>
      </c>
      <c r="C490" s="16" t="s">
        <v>551</v>
      </c>
      <c r="D490" s="17" t="s">
        <v>122</v>
      </c>
      <c r="E490" s="14">
        <v>854</v>
      </c>
      <c r="F490" s="14">
        <v>3974</v>
      </c>
      <c r="G490" s="14">
        <v>758</v>
      </c>
      <c r="H490" s="14">
        <v>3240</v>
      </c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2" t="s">
        <v>1</v>
      </c>
    </row>
    <row r="491" spans="2:21" ht="12">
      <c r="B491" s="13" t="s">
        <v>207</v>
      </c>
      <c r="C491" s="16" t="s">
        <v>552</v>
      </c>
      <c r="D491" s="17" t="s">
        <v>122</v>
      </c>
      <c r="E491" s="14">
        <v>912</v>
      </c>
      <c r="F491" s="14">
        <v>4032</v>
      </c>
      <c r="G491" s="14">
        <v>728</v>
      </c>
      <c r="H491" s="14">
        <v>3225</v>
      </c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2" t="s">
        <v>1</v>
      </c>
    </row>
    <row r="492" spans="2:21" ht="12">
      <c r="B492" s="13" t="s">
        <v>207</v>
      </c>
      <c r="C492" s="16" t="s">
        <v>553</v>
      </c>
      <c r="D492" s="17" t="s">
        <v>122</v>
      </c>
      <c r="E492" s="14">
        <v>881</v>
      </c>
      <c r="F492" s="14">
        <v>4001</v>
      </c>
      <c r="G492" s="14">
        <v>705</v>
      </c>
      <c r="H492" s="14">
        <v>3201</v>
      </c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2" t="s">
        <v>1</v>
      </c>
    </row>
    <row r="493" spans="2:21" ht="12">
      <c r="B493" s="13" t="s">
        <v>207</v>
      </c>
      <c r="C493" s="16" t="s">
        <v>554</v>
      </c>
      <c r="D493" s="17" t="s">
        <v>122</v>
      </c>
      <c r="E493" s="14">
        <v>849</v>
      </c>
      <c r="F493" s="14">
        <v>3969</v>
      </c>
      <c r="G493" s="14">
        <v>679</v>
      </c>
      <c r="H493" s="14">
        <v>3280</v>
      </c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2" t="s">
        <v>1</v>
      </c>
    </row>
    <row r="494" spans="2:21" ht="12">
      <c r="B494" s="13" t="s">
        <v>207</v>
      </c>
      <c r="C494" s="16" t="s">
        <v>124</v>
      </c>
      <c r="D494" s="11" t="s">
        <v>125</v>
      </c>
      <c r="E494" s="14">
        <v>900</v>
      </c>
      <c r="F494" s="14">
        <v>4020</v>
      </c>
      <c r="G494" s="14">
        <v>720</v>
      </c>
      <c r="H494" s="14">
        <v>3216</v>
      </c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2" t="s">
        <v>1</v>
      </c>
    </row>
    <row r="495" spans="2:21" ht="12">
      <c r="B495" s="13" t="s">
        <v>207</v>
      </c>
      <c r="C495" s="16" t="s">
        <v>555</v>
      </c>
      <c r="D495" s="11" t="s">
        <v>125</v>
      </c>
      <c r="E495" s="14">
        <v>810</v>
      </c>
      <c r="F495" s="14">
        <v>3930</v>
      </c>
      <c r="G495" s="14">
        <v>648</v>
      </c>
      <c r="H495" s="14">
        <v>3144</v>
      </c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2" t="s">
        <v>1</v>
      </c>
    </row>
    <row r="496" spans="2:21" ht="12">
      <c r="B496" s="13" t="s">
        <v>207</v>
      </c>
      <c r="C496" s="16" t="s">
        <v>556</v>
      </c>
      <c r="D496" s="11" t="s">
        <v>125</v>
      </c>
      <c r="E496" s="14">
        <v>816</v>
      </c>
      <c r="F496" s="14">
        <v>3930</v>
      </c>
      <c r="G496" s="14">
        <v>648</v>
      </c>
      <c r="H496" s="14">
        <v>3144</v>
      </c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2" t="s">
        <v>1</v>
      </c>
    </row>
    <row r="497" spans="2:21" ht="12">
      <c r="B497" s="13" t="s">
        <v>207</v>
      </c>
      <c r="C497" s="16" t="s">
        <v>557</v>
      </c>
      <c r="D497" s="11" t="s">
        <v>125</v>
      </c>
      <c r="E497" s="14">
        <v>960</v>
      </c>
      <c r="F497" s="14">
        <v>4080</v>
      </c>
      <c r="G497" s="14">
        <v>768</v>
      </c>
      <c r="H497" s="14">
        <v>3264</v>
      </c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2" t="s">
        <v>1</v>
      </c>
    </row>
    <row r="498" spans="2:21" ht="12">
      <c r="B498" s="13" t="s">
        <v>207</v>
      </c>
      <c r="C498" s="16" t="s">
        <v>558</v>
      </c>
      <c r="D498" s="11" t="s">
        <v>125</v>
      </c>
      <c r="E498" s="14">
        <v>855</v>
      </c>
      <c r="F498" s="14">
        <v>3975</v>
      </c>
      <c r="G498" s="14">
        <v>684</v>
      </c>
      <c r="H498" s="14">
        <v>3180</v>
      </c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2" t="s">
        <v>1</v>
      </c>
    </row>
    <row r="499" spans="2:21" ht="12">
      <c r="B499" s="13" t="s">
        <v>207</v>
      </c>
      <c r="C499" s="16" t="s">
        <v>559</v>
      </c>
      <c r="D499" s="11" t="s">
        <v>131</v>
      </c>
      <c r="E499" s="14">
        <v>695</v>
      </c>
      <c r="F499" s="14">
        <v>3815</v>
      </c>
      <c r="G499" s="14">
        <v>556</v>
      </c>
      <c r="H499" s="14">
        <v>3052</v>
      </c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2" t="s">
        <v>1</v>
      </c>
    </row>
    <row r="500" spans="2:21" ht="12">
      <c r="B500" s="13" t="s">
        <v>207</v>
      </c>
      <c r="C500" s="16" t="s">
        <v>560</v>
      </c>
      <c r="D500" s="11" t="s">
        <v>131</v>
      </c>
      <c r="E500" s="14">
        <v>992</v>
      </c>
      <c r="F500" s="14">
        <v>4112</v>
      </c>
      <c r="G500" s="14">
        <v>794</v>
      </c>
      <c r="H500" s="14">
        <v>3264</v>
      </c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2" t="s">
        <v>1</v>
      </c>
    </row>
    <row r="501" spans="2:21" ht="12">
      <c r="B501" s="13" t="s">
        <v>207</v>
      </c>
      <c r="C501" s="16" t="s">
        <v>561</v>
      </c>
      <c r="D501" s="11" t="s">
        <v>133</v>
      </c>
      <c r="E501" s="14">
        <v>324</v>
      </c>
      <c r="F501" s="14">
        <v>1340</v>
      </c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2" t="s">
        <v>1</v>
      </c>
    </row>
    <row r="502" spans="2:21" ht="12">
      <c r="B502" s="13" t="s">
        <v>207</v>
      </c>
      <c r="C502" s="16" t="s">
        <v>562</v>
      </c>
      <c r="D502" s="11" t="s">
        <v>133</v>
      </c>
      <c r="E502" s="14">
        <v>502</v>
      </c>
      <c r="F502" s="14">
        <v>1750</v>
      </c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2" t="s">
        <v>1</v>
      </c>
    </row>
    <row r="503" spans="2:21" ht="12">
      <c r="B503" s="13" t="s">
        <v>207</v>
      </c>
      <c r="C503" s="16" t="s">
        <v>563</v>
      </c>
      <c r="D503" s="11" t="s">
        <v>133</v>
      </c>
      <c r="E503" s="14">
        <v>577</v>
      </c>
      <c r="F503" s="14">
        <v>1071</v>
      </c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2" t="s">
        <v>1</v>
      </c>
    </row>
    <row r="504" spans="2:21" ht="12">
      <c r="B504" s="13" t="s">
        <v>207</v>
      </c>
      <c r="C504" s="16" t="s">
        <v>564</v>
      </c>
      <c r="D504" s="11" t="s">
        <v>133</v>
      </c>
      <c r="E504" s="14">
        <v>526</v>
      </c>
      <c r="F504" s="14">
        <v>2566</v>
      </c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2" t="s">
        <v>1</v>
      </c>
    </row>
    <row r="505" spans="2:21" ht="12">
      <c r="B505" s="13" t="s">
        <v>207</v>
      </c>
      <c r="C505" s="16" t="s">
        <v>565</v>
      </c>
      <c r="D505" s="11" t="s">
        <v>133</v>
      </c>
      <c r="E505" s="14">
        <v>328</v>
      </c>
      <c r="F505" s="14">
        <v>448</v>
      </c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2" t="s">
        <v>1</v>
      </c>
    </row>
    <row r="506" spans="2:21" ht="12">
      <c r="B506" s="13" t="s">
        <v>207</v>
      </c>
      <c r="C506" s="16" t="s">
        <v>566</v>
      </c>
      <c r="D506" s="11" t="s">
        <v>133</v>
      </c>
      <c r="E506" s="14">
        <v>618</v>
      </c>
      <c r="F506" s="14">
        <v>2406</v>
      </c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2" t="s">
        <v>1</v>
      </c>
    </row>
    <row r="507" spans="2:21" ht="12">
      <c r="B507" s="13" t="s">
        <v>207</v>
      </c>
      <c r="C507" s="16" t="s">
        <v>567</v>
      </c>
      <c r="D507" s="11" t="s">
        <v>133</v>
      </c>
      <c r="E507" s="14">
        <v>186</v>
      </c>
      <c r="F507" s="14">
        <v>454</v>
      </c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2" t="s">
        <v>1</v>
      </c>
    </row>
    <row r="508" spans="2:21" ht="12">
      <c r="B508" s="13" t="s">
        <v>207</v>
      </c>
      <c r="C508" s="16" t="s">
        <v>568</v>
      </c>
      <c r="D508" s="11" t="s">
        <v>133</v>
      </c>
      <c r="E508" s="14">
        <v>288</v>
      </c>
      <c r="F508" s="14">
        <v>1676</v>
      </c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2" t="s">
        <v>1</v>
      </c>
    </row>
    <row r="509" spans="2:21" ht="12">
      <c r="B509" s="13" t="s">
        <v>207</v>
      </c>
      <c r="C509" s="16" t="s">
        <v>569</v>
      </c>
      <c r="D509" s="11" t="s">
        <v>133</v>
      </c>
      <c r="E509" s="14">
        <v>288</v>
      </c>
      <c r="F509" s="14">
        <v>1676</v>
      </c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2" t="s">
        <v>1</v>
      </c>
    </row>
    <row r="510" spans="2:21" ht="12">
      <c r="B510" s="13" t="s">
        <v>207</v>
      </c>
      <c r="C510" s="16" t="s">
        <v>570</v>
      </c>
      <c r="D510" s="11" t="s">
        <v>133</v>
      </c>
      <c r="E510" s="14">
        <v>330</v>
      </c>
      <c r="F510" s="14">
        <v>670</v>
      </c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2" t="s">
        <v>1</v>
      </c>
    </row>
    <row r="511" spans="2:21" ht="12">
      <c r="B511" s="13" t="s">
        <v>207</v>
      </c>
      <c r="C511" s="16" t="s">
        <v>571</v>
      </c>
      <c r="D511" s="11" t="s">
        <v>133</v>
      </c>
      <c r="E511" s="14">
        <v>525</v>
      </c>
      <c r="F511" s="14">
        <v>1000</v>
      </c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2" t="s">
        <v>1</v>
      </c>
    </row>
    <row r="512" spans="2:21" ht="12">
      <c r="B512" s="13" t="s">
        <v>207</v>
      </c>
      <c r="C512" s="16" t="s">
        <v>572</v>
      </c>
      <c r="D512" s="11" t="s">
        <v>133</v>
      </c>
      <c r="E512" s="14">
        <v>422</v>
      </c>
      <c r="F512" s="14">
        <v>580</v>
      </c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2" t="s">
        <v>1</v>
      </c>
    </row>
    <row r="513" spans="2:21" ht="12">
      <c r="B513" s="13" t="s">
        <v>207</v>
      </c>
      <c r="C513" s="16" t="s">
        <v>573</v>
      </c>
      <c r="D513" s="11" t="s">
        <v>133</v>
      </c>
      <c r="E513" s="14">
        <v>135</v>
      </c>
      <c r="F513" s="14">
        <v>1215</v>
      </c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2" t="s">
        <v>1</v>
      </c>
    </row>
    <row r="514" spans="2:21" ht="12">
      <c r="B514" s="13" t="s">
        <v>207</v>
      </c>
      <c r="C514" s="16" t="s">
        <v>574</v>
      </c>
      <c r="D514" s="11" t="s">
        <v>133</v>
      </c>
      <c r="E514" s="14">
        <v>240</v>
      </c>
      <c r="F514" s="14">
        <v>960</v>
      </c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2" t="s">
        <v>1</v>
      </c>
    </row>
    <row r="515" spans="2:21" ht="12">
      <c r="B515" s="13" t="s">
        <v>207</v>
      </c>
      <c r="C515" s="16" t="s">
        <v>575</v>
      </c>
      <c r="D515" s="11" t="s">
        <v>133</v>
      </c>
      <c r="E515" s="14">
        <v>435</v>
      </c>
      <c r="F515" s="14">
        <v>825</v>
      </c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2" t="s">
        <v>1</v>
      </c>
    </row>
    <row r="516" spans="2:21" ht="12">
      <c r="B516" s="13" t="s">
        <v>207</v>
      </c>
      <c r="C516" s="16" t="s">
        <v>576</v>
      </c>
      <c r="D516" s="11" t="s">
        <v>133</v>
      </c>
      <c r="E516" s="14">
        <v>364</v>
      </c>
      <c r="F516" s="14">
        <v>1344</v>
      </c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2" t="s">
        <v>1</v>
      </c>
    </row>
    <row r="517" spans="2:21" ht="12">
      <c r="B517" s="13" t="s">
        <v>207</v>
      </c>
      <c r="C517" s="16" t="s">
        <v>577</v>
      </c>
      <c r="D517" s="11" t="s">
        <v>133</v>
      </c>
      <c r="E517" s="14">
        <v>288</v>
      </c>
      <c r="F517" s="14">
        <v>1676</v>
      </c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2" t="s">
        <v>1</v>
      </c>
    </row>
    <row r="518" spans="2:21" ht="12">
      <c r="B518" s="13" t="s">
        <v>207</v>
      </c>
      <c r="C518" s="16" t="s">
        <v>578</v>
      </c>
      <c r="D518" s="11" t="s">
        <v>133</v>
      </c>
      <c r="E518" s="14">
        <v>288</v>
      </c>
      <c r="F518" s="14">
        <v>1676</v>
      </c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2" t="s">
        <v>1</v>
      </c>
    </row>
    <row r="519" spans="2:21" ht="12">
      <c r="B519" s="13" t="s">
        <v>207</v>
      </c>
      <c r="C519" s="16" t="s">
        <v>579</v>
      </c>
      <c r="D519" s="11" t="s">
        <v>133</v>
      </c>
      <c r="E519" s="14">
        <v>473</v>
      </c>
      <c r="F519" s="14">
        <v>1557</v>
      </c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2" t="s">
        <v>1</v>
      </c>
    </row>
    <row r="520" spans="2:21" ht="12">
      <c r="B520" s="13" t="s">
        <v>207</v>
      </c>
      <c r="C520" s="16" t="s">
        <v>580</v>
      </c>
      <c r="D520" s="11" t="s">
        <v>133</v>
      </c>
      <c r="E520" s="14">
        <v>430</v>
      </c>
      <c r="F520" s="14">
        <v>590</v>
      </c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2" t="s">
        <v>1</v>
      </c>
    </row>
    <row r="521" spans="2:21" ht="12">
      <c r="B521" s="13" t="s">
        <v>207</v>
      </c>
      <c r="C521" s="16" t="s">
        <v>581</v>
      </c>
      <c r="D521" s="11" t="s">
        <v>133</v>
      </c>
      <c r="E521" s="14">
        <v>397</v>
      </c>
      <c r="F521" s="14">
        <v>757</v>
      </c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2" t="s">
        <v>1</v>
      </c>
    </row>
    <row r="522" spans="2:21" ht="12">
      <c r="B522" s="13" t="s">
        <v>207</v>
      </c>
      <c r="C522" s="16" t="s">
        <v>582</v>
      </c>
      <c r="D522" s="11" t="s">
        <v>133</v>
      </c>
      <c r="E522" s="14">
        <v>672</v>
      </c>
      <c r="F522" s="14">
        <v>2400</v>
      </c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2" t="s">
        <v>1</v>
      </c>
    </row>
    <row r="523" spans="2:21" ht="12">
      <c r="B523" s="13" t="s">
        <v>207</v>
      </c>
      <c r="C523" s="16" t="s">
        <v>583</v>
      </c>
      <c r="D523" s="11" t="s">
        <v>133</v>
      </c>
      <c r="E523" s="14">
        <v>576</v>
      </c>
      <c r="F523" s="14">
        <v>904</v>
      </c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2" t="s">
        <v>1</v>
      </c>
    </row>
    <row r="524" spans="2:21" ht="12">
      <c r="B524" s="13" t="s">
        <v>207</v>
      </c>
      <c r="C524" s="16" t="s">
        <v>584</v>
      </c>
      <c r="D524" s="11" t="s">
        <v>133</v>
      </c>
      <c r="E524" s="14">
        <v>840</v>
      </c>
      <c r="F524" s="14">
        <v>2280</v>
      </c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2" t="s">
        <v>1</v>
      </c>
    </row>
    <row r="525" spans="2:21" ht="12">
      <c r="B525" s="13" t="s">
        <v>207</v>
      </c>
      <c r="C525" s="16" t="s">
        <v>585</v>
      </c>
      <c r="D525" s="11" t="s">
        <v>133</v>
      </c>
      <c r="E525" s="14">
        <v>525</v>
      </c>
      <c r="F525" s="14">
        <v>850</v>
      </c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2" t="s">
        <v>1</v>
      </c>
    </row>
    <row r="526" spans="2:21" ht="12">
      <c r="B526" s="13" t="s">
        <v>207</v>
      </c>
      <c r="C526" s="16" t="s">
        <v>586</v>
      </c>
      <c r="D526" s="11" t="s">
        <v>133</v>
      </c>
      <c r="E526" s="14">
        <v>510</v>
      </c>
      <c r="F526" s="14">
        <v>1710</v>
      </c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2" t="s">
        <v>1</v>
      </c>
    </row>
    <row r="527" spans="2:21" ht="12">
      <c r="B527" s="13" t="s">
        <v>207</v>
      </c>
      <c r="C527" s="16" t="s">
        <v>587</v>
      </c>
      <c r="D527" s="11" t="s">
        <v>133</v>
      </c>
      <c r="E527" s="14">
        <v>484</v>
      </c>
      <c r="F527" s="14">
        <v>1374</v>
      </c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2" t="s">
        <v>1</v>
      </c>
    </row>
    <row r="528" spans="2:21" ht="12">
      <c r="B528" s="13" t="s">
        <v>207</v>
      </c>
      <c r="C528" s="16" t="s">
        <v>588</v>
      </c>
      <c r="D528" s="11" t="s">
        <v>133</v>
      </c>
      <c r="E528" s="14">
        <v>258</v>
      </c>
      <c r="F528" s="14">
        <v>1026</v>
      </c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2" t="s">
        <v>1</v>
      </c>
    </row>
    <row r="529" spans="2:21" ht="12">
      <c r="B529" s="13" t="s">
        <v>207</v>
      </c>
      <c r="C529" s="16" t="s">
        <v>589</v>
      </c>
      <c r="D529" s="11" t="s">
        <v>133</v>
      </c>
      <c r="E529" s="14">
        <v>432</v>
      </c>
      <c r="F529" s="14">
        <v>2472</v>
      </c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2" t="s">
        <v>1</v>
      </c>
    </row>
    <row r="530" spans="2:21" ht="12">
      <c r="B530" s="13" t="s">
        <v>207</v>
      </c>
      <c r="C530" s="16" t="s">
        <v>590</v>
      </c>
      <c r="D530" s="11" t="s">
        <v>133</v>
      </c>
      <c r="E530" s="14">
        <v>411</v>
      </c>
      <c r="F530" s="14">
        <v>975</v>
      </c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2" t="s">
        <v>1</v>
      </c>
    </row>
    <row r="531" spans="2:21" ht="12">
      <c r="B531" s="13" t="s">
        <v>207</v>
      </c>
      <c r="C531" s="16" t="s">
        <v>591</v>
      </c>
      <c r="D531" s="11" t="s">
        <v>133</v>
      </c>
      <c r="E531" s="14">
        <v>288</v>
      </c>
      <c r="F531" s="14">
        <v>1676</v>
      </c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2" t="s">
        <v>1</v>
      </c>
    </row>
    <row r="532" spans="2:21" ht="12">
      <c r="B532" s="13" t="s">
        <v>207</v>
      </c>
      <c r="C532" s="16" t="s">
        <v>592</v>
      </c>
      <c r="D532" s="11" t="s">
        <v>133</v>
      </c>
      <c r="E532" s="14">
        <v>752</v>
      </c>
      <c r="F532" s="14">
        <v>908</v>
      </c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2" t="s">
        <v>1</v>
      </c>
    </row>
    <row r="533" spans="2:21" ht="12">
      <c r="B533" s="13" t="s">
        <v>207</v>
      </c>
      <c r="C533" s="16" t="s">
        <v>593</v>
      </c>
      <c r="D533" s="11" t="s">
        <v>133</v>
      </c>
      <c r="E533" s="14">
        <v>330</v>
      </c>
      <c r="F533" s="14">
        <v>512</v>
      </c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2" t="s">
        <v>1</v>
      </c>
    </row>
    <row r="534" spans="2:21" ht="12">
      <c r="B534" s="13" t="s">
        <v>207</v>
      </c>
      <c r="C534" s="16" t="s">
        <v>594</v>
      </c>
      <c r="D534" s="11" t="s">
        <v>133</v>
      </c>
      <c r="E534" s="14">
        <v>288</v>
      </c>
      <c r="F534" s="14">
        <v>1676</v>
      </c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2" t="s">
        <v>1</v>
      </c>
    </row>
    <row r="535" spans="2:21" ht="12">
      <c r="B535" s="13" t="s">
        <v>207</v>
      </c>
      <c r="C535" s="16" t="s">
        <v>595</v>
      </c>
      <c r="D535" s="11" t="s">
        <v>133</v>
      </c>
      <c r="E535" s="14">
        <v>222</v>
      </c>
      <c r="F535" s="14">
        <v>606</v>
      </c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2" t="s">
        <v>1</v>
      </c>
    </row>
    <row r="536" spans="2:21" ht="12">
      <c r="B536" s="13" t="s">
        <v>207</v>
      </c>
      <c r="C536" s="16" t="s">
        <v>596</v>
      </c>
      <c r="D536" s="11" t="s">
        <v>133</v>
      </c>
      <c r="E536" s="14">
        <v>400</v>
      </c>
      <c r="F536" s="14">
        <v>640</v>
      </c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2" t="s">
        <v>1</v>
      </c>
    </row>
    <row r="537" spans="2:21" ht="12">
      <c r="B537" s="13" t="s">
        <v>207</v>
      </c>
      <c r="C537" s="16" t="s">
        <v>597</v>
      </c>
      <c r="D537" s="11" t="s">
        <v>133</v>
      </c>
      <c r="E537" s="14">
        <v>370</v>
      </c>
      <c r="F537" s="14">
        <v>1440</v>
      </c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2" t="s">
        <v>1</v>
      </c>
    </row>
    <row r="538" spans="2:21" ht="12">
      <c r="B538" s="13" t="s">
        <v>207</v>
      </c>
      <c r="C538" s="16" t="s">
        <v>598</v>
      </c>
      <c r="D538" s="11" t="s">
        <v>133</v>
      </c>
      <c r="E538" s="14">
        <v>344</v>
      </c>
      <c r="F538" s="14">
        <v>746</v>
      </c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2" t="s">
        <v>1</v>
      </c>
    </row>
    <row r="539" spans="2:21" ht="12">
      <c r="B539" s="13" t="s">
        <v>207</v>
      </c>
      <c r="C539" s="16" t="s">
        <v>599</v>
      </c>
      <c r="D539" s="11" t="s">
        <v>133</v>
      </c>
      <c r="E539" s="14">
        <v>688</v>
      </c>
      <c r="F539" s="14">
        <v>1552</v>
      </c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2" t="s">
        <v>1</v>
      </c>
    </row>
    <row r="540" spans="2:21" ht="12">
      <c r="B540" s="13" t="s">
        <v>207</v>
      </c>
      <c r="C540" s="16" t="s">
        <v>600</v>
      </c>
      <c r="D540" s="11" t="s">
        <v>133</v>
      </c>
      <c r="E540" s="14">
        <v>512</v>
      </c>
      <c r="F540" s="14">
        <v>788</v>
      </c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2" t="s">
        <v>1</v>
      </c>
    </row>
    <row r="541" spans="2:21" ht="12">
      <c r="B541" s="13" t="s">
        <v>207</v>
      </c>
      <c r="C541" s="16" t="s">
        <v>601</v>
      </c>
      <c r="D541" s="11" t="s">
        <v>133</v>
      </c>
      <c r="E541" s="14">
        <v>288</v>
      </c>
      <c r="F541" s="14">
        <v>1676</v>
      </c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2" t="s">
        <v>1</v>
      </c>
    </row>
    <row r="542" spans="2:21" ht="12">
      <c r="B542" s="13" t="s">
        <v>207</v>
      </c>
      <c r="C542" s="16" t="s">
        <v>602</v>
      </c>
      <c r="D542" s="11" t="s">
        <v>133</v>
      </c>
      <c r="E542" s="14">
        <v>450</v>
      </c>
      <c r="F542" s="14">
        <v>750</v>
      </c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2" t="s">
        <v>1</v>
      </c>
    </row>
    <row r="543" spans="2:21" ht="12">
      <c r="B543" s="13" t="s">
        <v>207</v>
      </c>
      <c r="C543" s="16" t="s">
        <v>603</v>
      </c>
      <c r="D543" s="11" t="s">
        <v>133</v>
      </c>
      <c r="E543" s="14">
        <v>370</v>
      </c>
      <c r="F543" s="14">
        <v>1440</v>
      </c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2" t="s">
        <v>1</v>
      </c>
    </row>
    <row r="544" spans="2:21" ht="12">
      <c r="B544" s="13" t="s">
        <v>207</v>
      </c>
      <c r="C544" s="16" t="s">
        <v>604</v>
      </c>
      <c r="D544" s="11" t="s">
        <v>133</v>
      </c>
      <c r="E544" s="14">
        <v>330</v>
      </c>
      <c r="F544" s="14">
        <v>630</v>
      </c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2" t="s">
        <v>1</v>
      </c>
    </row>
    <row r="545" spans="2:21" ht="12">
      <c r="B545" s="13" t="s">
        <v>207</v>
      </c>
      <c r="C545" s="16" t="s">
        <v>605</v>
      </c>
      <c r="D545" s="11" t="s">
        <v>133</v>
      </c>
      <c r="E545" s="14">
        <v>425</v>
      </c>
      <c r="F545" s="14">
        <v>1985</v>
      </c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2" t="s">
        <v>1</v>
      </c>
    </row>
    <row r="546" spans="2:21" ht="12">
      <c r="B546" s="13" t="s">
        <v>207</v>
      </c>
      <c r="C546" s="16" t="s">
        <v>606</v>
      </c>
      <c r="D546" s="11" t="s">
        <v>133</v>
      </c>
      <c r="E546" s="14">
        <v>370</v>
      </c>
      <c r="F546" s="14">
        <v>1440</v>
      </c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2" t="s">
        <v>1</v>
      </c>
    </row>
    <row r="547" spans="2:21" ht="12">
      <c r="B547" s="13" t="s">
        <v>207</v>
      </c>
      <c r="C547" s="16" t="s">
        <v>607</v>
      </c>
      <c r="D547" s="11" t="s">
        <v>133</v>
      </c>
      <c r="E547" s="14">
        <v>428</v>
      </c>
      <c r="F547" s="14">
        <v>4388</v>
      </c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2" t="s">
        <v>1</v>
      </c>
    </row>
    <row r="548" spans="2:21" ht="12">
      <c r="B548" s="13" t="s">
        <v>207</v>
      </c>
      <c r="C548" s="16" t="s">
        <v>608</v>
      </c>
      <c r="D548" s="11" t="s">
        <v>133</v>
      </c>
      <c r="E548" s="14">
        <v>508</v>
      </c>
      <c r="F548" s="14">
        <v>1528</v>
      </c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2" t="s">
        <v>1</v>
      </c>
    </row>
    <row r="549" spans="2:21" ht="12">
      <c r="B549" s="13" t="s">
        <v>207</v>
      </c>
      <c r="C549" s="16" t="s">
        <v>609</v>
      </c>
      <c r="D549" s="11" t="s">
        <v>133</v>
      </c>
      <c r="E549" s="14">
        <v>360</v>
      </c>
      <c r="F549" s="14">
        <v>762</v>
      </c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2" t="s">
        <v>1</v>
      </c>
    </row>
    <row r="550" spans="2:21" ht="12">
      <c r="B550" s="13" t="s">
        <v>207</v>
      </c>
      <c r="C550" s="16" t="s">
        <v>610</v>
      </c>
      <c r="D550" s="11" t="s">
        <v>133</v>
      </c>
      <c r="E550" s="14">
        <v>500</v>
      </c>
      <c r="F550" s="14">
        <v>2996</v>
      </c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2" t="s">
        <v>1</v>
      </c>
    </row>
    <row r="551" spans="2:21" ht="12">
      <c r="B551" s="13" t="s">
        <v>207</v>
      </c>
      <c r="C551" s="16" t="s">
        <v>611</v>
      </c>
      <c r="D551" s="11" t="s">
        <v>133</v>
      </c>
      <c r="E551" s="14">
        <v>620</v>
      </c>
      <c r="F551" s="14">
        <v>2216</v>
      </c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2" t="s">
        <v>1</v>
      </c>
    </row>
    <row r="552" spans="2:21" ht="12">
      <c r="B552" s="13" t="s">
        <v>207</v>
      </c>
      <c r="C552" s="16" t="s">
        <v>612</v>
      </c>
      <c r="D552" s="11" t="s">
        <v>133</v>
      </c>
      <c r="E552" s="14">
        <v>276</v>
      </c>
      <c r="F552" s="14">
        <v>1140</v>
      </c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2" t="s">
        <v>1</v>
      </c>
    </row>
    <row r="553" spans="2:21" ht="12">
      <c r="B553" s="13" t="s">
        <v>207</v>
      </c>
      <c r="C553" s="16" t="s">
        <v>613</v>
      </c>
      <c r="D553" s="11" t="s">
        <v>133</v>
      </c>
      <c r="E553" s="14">
        <v>744</v>
      </c>
      <c r="F553" s="14">
        <v>968</v>
      </c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2" t="s">
        <v>1</v>
      </c>
    </row>
    <row r="554" spans="2:21" ht="12">
      <c r="B554" s="13" t="s">
        <v>207</v>
      </c>
      <c r="C554" s="16" t="s">
        <v>614</v>
      </c>
      <c r="D554" s="11" t="s">
        <v>133</v>
      </c>
      <c r="E554" s="14">
        <v>454</v>
      </c>
      <c r="F554" s="14">
        <v>1990</v>
      </c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2" t="s">
        <v>1</v>
      </c>
    </row>
    <row r="555" spans="2:21" ht="12">
      <c r="B555" s="13" t="s">
        <v>207</v>
      </c>
      <c r="C555" s="16" t="s">
        <v>615</v>
      </c>
      <c r="D555" s="11" t="s">
        <v>133</v>
      </c>
      <c r="E555" s="14">
        <v>478</v>
      </c>
      <c r="F555" s="14">
        <v>3934</v>
      </c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2" t="s">
        <v>1</v>
      </c>
    </row>
    <row r="556" spans="2:21" ht="12">
      <c r="B556" s="13" t="s">
        <v>207</v>
      </c>
      <c r="C556" s="16" t="s">
        <v>616</v>
      </c>
      <c r="D556" s="11" t="s">
        <v>133</v>
      </c>
      <c r="E556" s="14">
        <v>460</v>
      </c>
      <c r="F556" s="14">
        <v>620</v>
      </c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2" t="s">
        <v>1</v>
      </c>
    </row>
    <row r="557" spans="2:21" ht="12">
      <c r="B557" s="13" t="s">
        <v>207</v>
      </c>
      <c r="C557" s="16" t="s">
        <v>617</v>
      </c>
      <c r="D557" s="11" t="s">
        <v>133</v>
      </c>
      <c r="E557" s="14">
        <v>435</v>
      </c>
      <c r="F557" s="14">
        <v>1530</v>
      </c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2" t="s">
        <v>1</v>
      </c>
    </row>
    <row r="558" spans="2:21" ht="12">
      <c r="B558" s="13" t="s">
        <v>207</v>
      </c>
      <c r="C558" s="16" t="s">
        <v>618</v>
      </c>
      <c r="D558" s="17" t="s">
        <v>134</v>
      </c>
      <c r="E558" s="14">
        <v>628</v>
      </c>
      <c r="F558" s="14">
        <v>4448</v>
      </c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2" t="s">
        <v>1</v>
      </c>
    </row>
    <row r="559" spans="2:21" ht="12">
      <c r="B559" s="13" t="s">
        <v>207</v>
      </c>
      <c r="C559" s="16" t="s">
        <v>619</v>
      </c>
      <c r="D559" s="17" t="s">
        <v>134</v>
      </c>
      <c r="E559" s="14">
        <v>604</v>
      </c>
      <c r="F559" s="14">
        <v>4276</v>
      </c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2" t="s">
        <v>1</v>
      </c>
    </row>
    <row r="560" spans="2:21" ht="12">
      <c r="B560" s="13" t="s">
        <v>207</v>
      </c>
      <c r="C560" s="16" t="s">
        <v>620</v>
      </c>
      <c r="D560" s="17" t="s">
        <v>134</v>
      </c>
      <c r="E560" s="14">
        <v>672</v>
      </c>
      <c r="F560" s="14">
        <v>4560</v>
      </c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2" t="s">
        <v>1</v>
      </c>
    </row>
    <row r="561" spans="2:21" ht="12">
      <c r="B561" s="13" t="s">
        <v>207</v>
      </c>
      <c r="C561" s="16" t="s">
        <v>621</v>
      </c>
      <c r="D561" s="17" t="s">
        <v>134</v>
      </c>
      <c r="E561" s="14">
        <v>618</v>
      </c>
      <c r="F561" s="14">
        <v>4290</v>
      </c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2" t="s">
        <v>1</v>
      </c>
    </row>
    <row r="562" spans="2:21" ht="12">
      <c r="B562" s="13" t="s">
        <v>207</v>
      </c>
      <c r="C562" s="16" t="s">
        <v>622</v>
      </c>
      <c r="D562" s="11" t="s">
        <v>175</v>
      </c>
      <c r="E562" s="14"/>
      <c r="F562" s="14"/>
      <c r="G562" s="14"/>
      <c r="H562" s="14"/>
      <c r="I562" s="14"/>
      <c r="J562" s="14"/>
      <c r="K562" s="14">
        <v>4250</v>
      </c>
      <c r="L562" s="14">
        <v>15050</v>
      </c>
      <c r="M562" s="14"/>
      <c r="N562" s="14"/>
      <c r="O562" s="14"/>
      <c r="P562" s="14"/>
      <c r="Q562" s="14"/>
      <c r="R562" s="14"/>
      <c r="S562" s="14"/>
      <c r="T562" s="14"/>
      <c r="U562" s="12" t="s">
        <v>1</v>
      </c>
    </row>
    <row r="563" spans="2:21" ht="12">
      <c r="B563" s="13" t="s">
        <v>207</v>
      </c>
      <c r="C563" s="16" t="s">
        <v>623</v>
      </c>
      <c r="D563" s="11" t="s">
        <v>175</v>
      </c>
      <c r="E563" s="14"/>
      <c r="F563" s="14"/>
      <c r="G563" s="14"/>
      <c r="H563" s="14"/>
      <c r="I563" s="14"/>
      <c r="J563" s="14"/>
      <c r="K563" s="14">
        <v>4040</v>
      </c>
      <c r="L563" s="14">
        <v>14840</v>
      </c>
      <c r="M563" s="14"/>
      <c r="N563" s="14"/>
      <c r="O563" s="14"/>
      <c r="P563" s="14"/>
      <c r="Q563" s="14"/>
      <c r="R563" s="14"/>
      <c r="S563" s="14"/>
      <c r="T563" s="14"/>
      <c r="U563" s="12" t="s">
        <v>1</v>
      </c>
    </row>
    <row r="564" spans="2:21" ht="12">
      <c r="B564" s="13" t="s">
        <v>207</v>
      </c>
      <c r="C564" s="16" t="s">
        <v>624</v>
      </c>
      <c r="D564" s="11" t="s">
        <v>175</v>
      </c>
      <c r="E564" s="14"/>
      <c r="F564" s="14"/>
      <c r="G564" s="14"/>
      <c r="H564" s="14"/>
      <c r="I564" s="14"/>
      <c r="J564" s="14"/>
      <c r="K564" s="14">
        <v>3937</v>
      </c>
      <c r="L564" s="14">
        <v>14737</v>
      </c>
      <c r="M564" s="14"/>
      <c r="N564" s="14"/>
      <c r="O564" s="14"/>
      <c r="P564" s="14"/>
      <c r="Q564" s="14"/>
      <c r="R564" s="14"/>
      <c r="S564" s="14"/>
      <c r="T564" s="14"/>
      <c r="U564" s="12" t="s">
        <v>1</v>
      </c>
    </row>
    <row r="565" spans="2:21" ht="12">
      <c r="B565" s="13" t="s">
        <v>207</v>
      </c>
      <c r="C565" s="16" t="s">
        <v>625</v>
      </c>
      <c r="D565" s="11" t="s">
        <v>175</v>
      </c>
      <c r="E565" s="14"/>
      <c r="F565" s="14"/>
      <c r="G565" s="14"/>
      <c r="H565" s="14"/>
      <c r="I565" s="14"/>
      <c r="J565" s="14"/>
      <c r="K565" s="14">
        <v>3860</v>
      </c>
      <c r="L565" s="14">
        <v>14660</v>
      </c>
      <c r="M565" s="14">
        <v>2837</v>
      </c>
      <c r="N565" s="14">
        <v>10337</v>
      </c>
      <c r="O565" s="14"/>
      <c r="P565" s="14"/>
      <c r="Q565" s="14"/>
      <c r="R565" s="14"/>
      <c r="S565" s="14"/>
      <c r="T565" s="14"/>
      <c r="U565" s="12" t="s">
        <v>1</v>
      </c>
    </row>
    <row r="566" spans="2:21" ht="12">
      <c r="B566" s="13" t="s">
        <v>207</v>
      </c>
      <c r="C566" s="16" t="s">
        <v>626</v>
      </c>
      <c r="D566" s="11" t="s">
        <v>175</v>
      </c>
      <c r="E566" s="14"/>
      <c r="F566" s="14"/>
      <c r="G566" s="14"/>
      <c r="H566" s="14"/>
      <c r="I566" s="14"/>
      <c r="J566" s="14"/>
      <c r="K566" s="14">
        <v>3660</v>
      </c>
      <c r="L566" s="14">
        <v>14460</v>
      </c>
      <c r="M566" s="14">
        <v>2560</v>
      </c>
      <c r="N566" s="14">
        <v>10060</v>
      </c>
      <c r="O566" s="14"/>
      <c r="P566" s="14"/>
      <c r="Q566" s="14"/>
      <c r="R566" s="14"/>
      <c r="S566" s="14"/>
      <c r="T566" s="14"/>
      <c r="U566" s="12" t="s">
        <v>1</v>
      </c>
    </row>
    <row r="567" spans="2:21" ht="12">
      <c r="B567" s="13" t="s">
        <v>207</v>
      </c>
      <c r="C567" s="16" t="s">
        <v>627</v>
      </c>
      <c r="D567" s="11" t="s">
        <v>175</v>
      </c>
      <c r="E567" s="14"/>
      <c r="F567" s="14"/>
      <c r="G567" s="14"/>
      <c r="H567" s="14"/>
      <c r="I567" s="14"/>
      <c r="J567" s="14"/>
      <c r="K567" s="14">
        <v>3849</v>
      </c>
      <c r="L567" s="14">
        <v>14649</v>
      </c>
      <c r="M567" s="14"/>
      <c r="N567" s="14"/>
      <c r="O567" s="14"/>
      <c r="P567" s="14"/>
      <c r="Q567" s="14"/>
      <c r="R567" s="14"/>
      <c r="S567" s="14"/>
      <c r="T567" s="14"/>
      <c r="U567" s="12" t="s">
        <v>1</v>
      </c>
    </row>
    <row r="568" spans="1:21" ht="12">
      <c r="A568" s="1" t="s">
        <v>102</v>
      </c>
      <c r="B568" s="13" t="s">
        <v>209</v>
      </c>
      <c r="C568" s="13" t="s">
        <v>628</v>
      </c>
      <c r="D568" s="11" t="s">
        <v>105</v>
      </c>
      <c r="E568" s="14">
        <v>2366</v>
      </c>
      <c r="F568" s="14">
        <v>5796</v>
      </c>
      <c r="G568" s="14">
        <v>2366</v>
      </c>
      <c r="H568" s="14">
        <v>5796</v>
      </c>
      <c r="I568" s="14">
        <v>3524</v>
      </c>
      <c r="J568" s="14">
        <v>7504</v>
      </c>
      <c r="K568" s="14">
        <v>5785</v>
      </c>
      <c r="L568" s="14">
        <v>11655</v>
      </c>
      <c r="M568" s="14"/>
      <c r="N568" s="14"/>
      <c r="O568" s="14"/>
      <c r="P568" s="14"/>
      <c r="Q568" s="14"/>
      <c r="R568" s="14"/>
      <c r="S568" s="14"/>
      <c r="T568" s="14"/>
      <c r="U568" s="12" t="s">
        <v>1</v>
      </c>
    </row>
    <row r="569" spans="2:21" ht="12">
      <c r="B569" s="13" t="s">
        <v>209</v>
      </c>
      <c r="C569" s="16" t="s">
        <v>629</v>
      </c>
      <c r="D569" s="11" t="s">
        <v>105</v>
      </c>
      <c r="E569" s="14">
        <v>2319</v>
      </c>
      <c r="F569" s="14">
        <v>4659</v>
      </c>
      <c r="G569" s="14">
        <v>2673</v>
      </c>
      <c r="H569" s="14">
        <v>2943</v>
      </c>
      <c r="I569" s="14"/>
      <c r="J569" s="14"/>
      <c r="K569" s="14"/>
      <c r="L569" s="14"/>
      <c r="M569" s="14"/>
      <c r="N569" s="14"/>
      <c r="O569" s="14"/>
      <c r="P569" s="14"/>
      <c r="Q569" s="14">
        <v>4914</v>
      </c>
      <c r="R569" s="14">
        <v>19914</v>
      </c>
      <c r="S569" s="15" t="s">
        <v>630</v>
      </c>
      <c r="T569" s="14"/>
      <c r="U569" s="12" t="s">
        <v>1</v>
      </c>
    </row>
    <row r="570" spans="2:21" ht="12">
      <c r="B570" s="13" t="s">
        <v>209</v>
      </c>
      <c r="C570" s="13" t="s">
        <v>631</v>
      </c>
      <c r="D570" s="11" t="s">
        <v>108</v>
      </c>
      <c r="E570" s="14">
        <v>2315</v>
      </c>
      <c r="F570" s="14">
        <v>5315</v>
      </c>
      <c r="G570" s="14">
        <v>2641</v>
      </c>
      <c r="H570" s="14">
        <v>5301</v>
      </c>
      <c r="I570" s="14"/>
      <c r="J570" s="14"/>
      <c r="K570" s="14">
        <v>6288</v>
      </c>
      <c r="L570" s="14">
        <v>12283</v>
      </c>
      <c r="M570" s="14">
        <v>5538</v>
      </c>
      <c r="N570" s="14">
        <v>10673</v>
      </c>
      <c r="O570" s="14"/>
      <c r="P570" s="14"/>
      <c r="Q570" s="14"/>
      <c r="R570" s="14"/>
      <c r="S570" s="14"/>
      <c r="T570" s="14"/>
      <c r="U570" s="12" t="s">
        <v>1</v>
      </c>
    </row>
    <row r="571" spans="2:21" ht="12">
      <c r="B571" s="13" t="s">
        <v>209</v>
      </c>
      <c r="C571" s="16" t="s">
        <v>632</v>
      </c>
      <c r="D571" s="11" t="s">
        <v>108</v>
      </c>
      <c r="E571" s="14">
        <v>2750</v>
      </c>
      <c r="F571" s="14">
        <v>7234</v>
      </c>
      <c r="G571" s="14">
        <v>2750</v>
      </c>
      <c r="H571" s="14">
        <v>7234</v>
      </c>
      <c r="I571" s="14">
        <v>3186</v>
      </c>
      <c r="J571" s="14">
        <v>7670</v>
      </c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2" t="s">
        <v>1</v>
      </c>
    </row>
    <row r="572" spans="2:21" ht="12">
      <c r="B572" s="13" t="s">
        <v>209</v>
      </c>
      <c r="C572" s="16" t="s">
        <v>633</v>
      </c>
      <c r="D572" s="11" t="s">
        <v>118</v>
      </c>
      <c r="E572" s="14">
        <v>1824</v>
      </c>
      <c r="F572" s="14">
        <v>3648</v>
      </c>
      <c r="G572" s="14">
        <v>1824</v>
      </c>
      <c r="H572" s="14">
        <v>3648</v>
      </c>
      <c r="I572" s="14">
        <v>2544</v>
      </c>
      <c r="J572" s="14">
        <v>8694</v>
      </c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2" t="s">
        <v>1</v>
      </c>
    </row>
    <row r="573" spans="2:21" ht="12">
      <c r="B573" s="13" t="s">
        <v>209</v>
      </c>
      <c r="C573" s="16" t="s">
        <v>634</v>
      </c>
      <c r="D573" s="11" t="s">
        <v>118</v>
      </c>
      <c r="E573" s="14">
        <v>2222</v>
      </c>
      <c r="F573" s="14">
        <v>4070</v>
      </c>
      <c r="G573" s="14">
        <v>2582</v>
      </c>
      <c r="H573" s="14">
        <v>5510</v>
      </c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2" t="s">
        <v>1</v>
      </c>
    </row>
    <row r="574" spans="2:21" ht="12">
      <c r="B574" s="13" t="s">
        <v>209</v>
      </c>
      <c r="C574" s="16" t="s">
        <v>635</v>
      </c>
      <c r="D574" s="17" t="s">
        <v>122</v>
      </c>
      <c r="E574" s="14">
        <v>2472</v>
      </c>
      <c r="F574" s="14">
        <v>4452</v>
      </c>
      <c r="G574" s="14">
        <v>2148</v>
      </c>
      <c r="H574" s="14">
        <v>4284</v>
      </c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2" t="s">
        <v>1</v>
      </c>
    </row>
    <row r="575" spans="2:21" ht="12">
      <c r="B575" s="13" t="s">
        <v>209</v>
      </c>
      <c r="C575" s="16" t="s">
        <v>636</v>
      </c>
      <c r="D575" s="11" t="s">
        <v>125</v>
      </c>
      <c r="E575" s="14">
        <v>2638</v>
      </c>
      <c r="F575" s="14">
        <v>4126</v>
      </c>
      <c r="G575" s="14">
        <v>2638</v>
      </c>
      <c r="H575" s="14">
        <v>4126</v>
      </c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2" t="s">
        <v>1</v>
      </c>
    </row>
    <row r="576" spans="2:21" ht="12">
      <c r="B576" s="13" t="s">
        <v>209</v>
      </c>
      <c r="C576" s="16" t="s">
        <v>637</v>
      </c>
      <c r="D576" s="11" t="s">
        <v>125</v>
      </c>
      <c r="E576" s="14">
        <v>2122</v>
      </c>
      <c r="F576" s="14">
        <v>4130</v>
      </c>
      <c r="G576" s="14">
        <v>1584</v>
      </c>
      <c r="H576" s="14">
        <v>3096</v>
      </c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2" t="s">
        <v>1</v>
      </c>
    </row>
    <row r="577" spans="2:21" ht="12">
      <c r="B577" s="13" t="s">
        <v>209</v>
      </c>
      <c r="C577" s="16" t="s">
        <v>638</v>
      </c>
      <c r="D577" s="11" t="s">
        <v>125</v>
      </c>
      <c r="E577" s="14">
        <v>1370</v>
      </c>
      <c r="F577" s="14">
        <v>2590</v>
      </c>
      <c r="G577" s="14">
        <v>1630</v>
      </c>
      <c r="H577" s="14">
        <v>2770</v>
      </c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2" t="s">
        <v>1</v>
      </c>
    </row>
    <row r="578" spans="2:21" ht="12">
      <c r="B578" s="13" t="s">
        <v>209</v>
      </c>
      <c r="C578" s="16" t="s">
        <v>639</v>
      </c>
      <c r="D578" s="11" t="s">
        <v>125</v>
      </c>
      <c r="E578" s="14">
        <v>1920</v>
      </c>
      <c r="F578" s="14">
        <v>2754</v>
      </c>
      <c r="G578" s="14">
        <v>2016</v>
      </c>
      <c r="H578" s="14">
        <v>2244</v>
      </c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2" t="s">
        <v>1</v>
      </c>
    </row>
    <row r="579" spans="2:21" ht="12">
      <c r="B579" s="13" t="s">
        <v>209</v>
      </c>
      <c r="C579" s="16" t="s">
        <v>640</v>
      </c>
      <c r="D579" s="11" t="s">
        <v>125</v>
      </c>
      <c r="E579" s="14">
        <v>2349</v>
      </c>
      <c r="F579" s="14">
        <v>4159</v>
      </c>
      <c r="G579" s="14">
        <v>2489</v>
      </c>
      <c r="H579" s="14">
        <v>4339</v>
      </c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2" t="s">
        <v>1</v>
      </c>
    </row>
    <row r="580" spans="2:40" ht="12">
      <c r="B580" s="13" t="s">
        <v>209</v>
      </c>
      <c r="C580" s="16" t="s">
        <v>641</v>
      </c>
      <c r="D580" s="11" t="s">
        <v>131</v>
      </c>
      <c r="E580" s="14">
        <v>1935</v>
      </c>
      <c r="F580" s="14">
        <v>3150</v>
      </c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2" t="s">
        <v>1</v>
      </c>
      <c r="AN580" s="5" t="s">
        <v>8</v>
      </c>
    </row>
    <row r="581" spans="2:21" ht="12">
      <c r="B581" s="13" t="s">
        <v>209</v>
      </c>
      <c r="C581" s="16" t="s">
        <v>642</v>
      </c>
      <c r="D581" s="11" t="s">
        <v>131</v>
      </c>
      <c r="E581" s="14">
        <v>1472</v>
      </c>
      <c r="F581" s="14">
        <v>2336</v>
      </c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2" t="s">
        <v>1</v>
      </c>
    </row>
    <row r="582" spans="2:21" ht="12">
      <c r="B582" s="13" t="s">
        <v>209</v>
      </c>
      <c r="C582" s="16" t="s">
        <v>643</v>
      </c>
      <c r="D582" s="11" t="s">
        <v>132</v>
      </c>
      <c r="E582" s="14">
        <v>1260</v>
      </c>
      <c r="F582" s="14">
        <v>3110</v>
      </c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2" t="s">
        <v>1</v>
      </c>
    </row>
    <row r="583" spans="2:21" ht="12">
      <c r="B583" s="13" t="s">
        <v>209</v>
      </c>
      <c r="C583" s="16" t="s">
        <v>644</v>
      </c>
      <c r="D583" s="11" t="s">
        <v>133</v>
      </c>
      <c r="E583" s="14">
        <v>763</v>
      </c>
      <c r="F583" s="14">
        <v>3735</v>
      </c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2" t="s">
        <v>1</v>
      </c>
    </row>
    <row r="584" spans="2:21" ht="12">
      <c r="B584" s="13" t="s">
        <v>209</v>
      </c>
      <c r="C584" s="16" t="s">
        <v>644</v>
      </c>
      <c r="D584" s="17" t="s">
        <v>134</v>
      </c>
      <c r="E584" s="14">
        <v>763</v>
      </c>
      <c r="F584" s="14">
        <v>3735</v>
      </c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2" t="s">
        <v>1</v>
      </c>
    </row>
    <row r="585" spans="2:21" ht="12">
      <c r="B585" s="13" t="s">
        <v>209</v>
      </c>
      <c r="C585" s="16" t="s">
        <v>645</v>
      </c>
      <c r="D585" s="11" t="s">
        <v>175</v>
      </c>
      <c r="E585" s="14">
        <v>6165</v>
      </c>
      <c r="F585" s="14">
        <v>9165</v>
      </c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2" t="s">
        <v>1</v>
      </c>
    </row>
    <row r="586" spans="1:21" ht="12">
      <c r="A586" s="1" t="s">
        <v>102</v>
      </c>
      <c r="B586" s="13" t="s">
        <v>211</v>
      </c>
      <c r="C586" s="13" t="s">
        <v>646</v>
      </c>
      <c r="D586" s="11" t="s">
        <v>105</v>
      </c>
      <c r="E586" s="14">
        <v>1366</v>
      </c>
      <c r="F586" s="14">
        <v>3346</v>
      </c>
      <c r="G586" s="14">
        <v>1426</v>
      </c>
      <c r="H586" s="14">
        <v>3546</v>
      </c>
      <c r="I586" s="14">
        <v>1726</v>
      </c>
      <c r="J586" s="14">
        <v>3846</v>
      </c>
      <c r="K586" s="14">
        <v>3456</v>
      </c>
      <c r="L586" s="14">
        <v>6556</v>
      </c>
      <c r="M586" s="14">
        <v>2296</v>
      </c>
      <c r="N586" s="14">
        <v>4996</v>
      </c>
      <c r="O586" s="14"/>
      <c r="P586" s="14"/>
      <c r="Q586" s="14"/>
      <c r="R586" s="14"/>
      <c r="S586" s="14"/>
      <c r="T586" s="14"/>
      <c r="U586" s="12" t="s">
        <v>1</v>
      </c>
    </row>
    <row r="587" spans="2:21" ht="12">
      <c r="B587" s="13" t="s">
        <v>211</v>
      </c>
      <c r="C587" s="16" t="s">
        <v>647</v>
      </c>
      <c r="D587" s="17" t="s">
        <v>122</v>
      </c>
      <c r="E587" s="14">
        <v>1146</v>
      </c>
      <c r="F587" s="14">
        <v>2896</v>
      </c>
      <c r="G587" s="14">
        <v>1226</v>
      </c>
      <c r="H587" s="14">
        <v>3196</v>
      </c>
      <c r="I587" s="14"/>
      <c r="J587" s="14"/>
      <c r="K587" s="14">
        <v>3336</v>
      </c>
      <c r="L587" s="14">
        <v>6346</v>
      </c>
      <c r="M587" s="14"/>
      <c r="N587" s="14"/>
      <c r="O587" s="14"/>
      <c r="P587" s="14"/>
      <c r="Q587" s="14"/>
      <c r="R587" s="14"/>
      <c r="S587" s="14"/>
      <c r="T587" s="14"/>
      <c r="U587" s="12" t="s">
        <v>1</v>
      </c>
    </row>
    <row r="588" spans="2:21" ht="12">
      <c r="B588" s="13" t="s">
        <v>211</v>
      </c>
      <c r="C588" s="13" t="s">
        <v>648</v>
      </c>
      <c r="D588" s="11" t="s">
        <v>125</v>
      </c>
      <c r="E588" s="14">
        <v>1020</v>
      </c>
      <c r="F588" s="14">
        <v>2580</v>
      </c>
      <c r="G588" s="14">
        <v>1110</v>
      </c>
      <c r="H588" s="14">
        <v>2980</v>
      </c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2" t="s">
        <v>1</v>
      </c>
    </row>
    <row r="589" spans="2:21" ht="12">
      <c r="B589" s="13" t="s">
        <v>211</v>
      </c>
      <c r="C589" s="16" t="s">
        <v>326</v>
      </c>
      <c r="D589" s="11" t="s">
        <v>131</v>
      </c>
      <c r="E589" s="14">
        <v>970</v>
      </c>
      <c r="F589" s="14">
        <v>2480</v>
      </c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2" t="s">
        <v>1</v>
      </c>
    </row>
    <row r="590" spans="2:21" ht="12">
      <c r="B590" s="13" t="s">
        <v>211</v>
      </c>
      <c r="C590" s="16" t="s">
        <v>649</v>
      </c>
      <c r="D590" s="11" t="s">
        <v>131</v>
      </c>
      <c r="E590" s="14">
        <v>980</v>
      </c>
      <c r="F590" s="14">
        <v>2490</v>
      </c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2" t="s">
        <v>1</v>
      </c>
    </row>
    <row r="591" spans="2:21" ht="12">
      <c r="B591" s="13" t="s">
        <v>211</v>
      </c>
      <c r="C591" s="16" t="s">
        <v>650</v>
      </c>
      <c r="D591" s="11" t="s">
        <v>131</v>
      </c>
      <c r="E591" s="14">
        <v>972</v>
      </c>
      <c r="F591" s="14">
        <v>2482</v>
      </c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2" t="s">
        <v>1</v>
      </c>
    </row>
    <row r="592" spans="2:21" ht="12">
      <c r="B592" s="13" t="s">
        <v>211</v>
      </c>
      <c r="C592" s="16" t="s">
        <v>651</v>
      </c>
      <c r="D592" s="11" t="s">
        <v>131</v>
      </c>
      <c r="E592" s="14">
        <v>984</v>
      </c>
      <c r="F592" s="14">
        <v>2494</v>
      </c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2" t="s">
        <v>1</v>
      </c>
    </row>
    <row r="593" spans="2:21" ht="12">
      <c r="B593" s="13" t="s">
        <v>211</v>
      </c>
      <c r="C593" s="16" t="s">
        <v>203</v>
      </c>
      <c r="D593" s="11" t="s">
        <v>131</v>
      </c>
      <c r="E593" s="14">
        <v>980</v>
      </c>
      <c r="F593" s="14">
        <v>2490</v>
      </c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2" t="s">
        <v>1</v>
      </c>
    </row>
    <row r="594" spans="2:21" ht="12">
      <c r="B594" s="13" t="s">
        <v>211</v>
      </c>
      <c r="C594" s="16" t="s">
        <v>652</v>
      </c>
      <c r="D594" s="11" t="s">
        <v>131</v>
      </c>
      <c r="E594" s="14">
        <v>986</v>
      </c>
      <c r="F594" s="14">
        <v>2496</v>
      </c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2" t="s">
        <v>1</v>
      </c>
    </row>
    <row r="595" spans="2:21" ht="12">
      <c r="B595" s="13" t="s">
        <v>211</v>
      </c>
      <c r="C595" s="16" t="s">
        <v>653</v>
      </c>
      <c r="D595" s="11" t="s">
        <v>131</v>
      </c>
      <c r="E595" s="14">
        <v>988</v>
      </c>
      <c r="F595" s="14">
        <v>2498</v>
      </c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2" t="s">
        <v>1</v>
      </c>
    </row>
    <row r="596" spans="2:37" ht="12">
      <c r="B596" s="13" t="s">
        <v>211</v>
      </c>
      <c r="C596" s="16" t="s">
        <v>654</v>
      </c>
      <c r="D596" s="11" t="s">
        <v>133</v>
      </c>
      <c r="E596" s="14">
        <v>650</v>
      </c>
      <c r="F596" s="14">
        <v>2070</v>
      </c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2" t="s">
        <v>1</v>
      </c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 spans="2:37" ht="12">
      <c r="B597" s="13" t="s">
        <v>211</v>
      </c>
      <c r="C597" s="16" t="s">
        <v>655</v>
      </c>
      <c r="D597" s="11" t="s">
        <v>133</v>
      </c>
      <c r="E597" s="14">
        <v>984</v>
      </c>
      <c r="F597" s="14">
        <v>2494</v>
      </c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2" t="s">
        <v>1</v>
      </c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 spans="2:37" ht="12">
      <c r="B598" s="13" t="s">
        <v>211</v>
      </c>
      <c r="C598" s="16" t="s">
        <v>656</v>
      </c>
      <c r="D598" s="11" t="s">
        <v>133</v>
      </c>
      <c r="E598" s="14">
        <v>650</v>
      </c>
      <c r="F598" s="14">
        <v>2070</v>
      </c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2" t="s">
        <v>1</v>
      </c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 spans="2:37" ht="12">
      <c r="B599" s="13" t="s">
        <v>211</v>
      </c>
      <c r="C599" s="16" t="s">
        <v>657</v>
      </c>
      <c r="D599" s="11" t="s">
        <v>133</v>
      </c>
      <c r="E599" s="14">
        <v>656</v>
      </c>
      <c r="F599" s="14">
        <v>2076</v>
      </c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2" t="s">
        <v>1</v>
      </c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 spans="2:21" ht="12">
      <c r="B600" s="13" t="s">
        <v>211</v>
      </c>
      <c r="C600" s="16" t="s">
        <v>658</v>
      </c>
      <c r="D600" s="11" t="s">
        <v>175</v>
      </c>
      <c r="E600" s="14"/>
      <c r="F600" s="14"/>
      <c r="G600" s="14">
        <v>890</v>
      </c>
      <c r="H600" s="14">
        <v>2770</v>
      </c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2" t="s">
        <v>1</v>
      </c>
    </row>
    <row r="601" spans="2:37" ht="12">
      <c r="B601" s="13" t="s">
        <v>211</v>
      </c>
      <c r="C601" s="16" t="s">
        <v>659</v>
      </c>
      <c r="D601" s="11" t="s">
        <v>175</v>
      </c>
      <c r="E601" s="14"/>
      <c r="F601" s="14"/>
      <c r="G601" s="14"/>
      <c r="H601" s="14"/>
      <c r="I601" s="14"/>
      <c r="J601" s="14"/>
      <c r="K601" s="14">
        <v>3242</v>
      </c>
      <c r="L601" s="14">
        <v>6262</v>
      </c>
      <c r="M601" s="14"/>
      <c r="N601" s="14"/>
      <c r="O601" s="14"/>
      <c r="P601" s="14"/>
      <c r="Q601" s="14"/>
      <c r="R601" s="14"/>
      <c r="S601" s="14">
        <v>2596</v>
      </c>
      <c r="T601" s="14">
        <v>3106</v>
      </c>
      <c r="U601" s="12" t="s">
        <v>1</v>
      </c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spans="1:37" ht="12">
      <c r="A602" s="4" t="s">
        <v>8</v>
      </c>
      <c r="B602" s="4" t="s">
        <v>8</v>
      </c>
      <c r="C602" s="4" t="s">
        <v>8</v>
      </c>
      <c r="D602" s="4" t="s">
        <v>8</v>
      </c>
      <c r="E602" s="4" t="s">
        <v>8</v>
      </c>
      <c r="F602" s="4" t="s">
        <v>8</v>
      </c>
      <c r="G602" s="4" t="s">
        <v>8</v>
      </c>
      <c r="H602" s="4" t="s">
        <v>8</v>
      </c>
      <c r="I602" s="4" t="s">
        <v>8</v>
      </c>
      <c r="J602" s="4" t="s">
        <v>8</v>
      </c>
      <c r="K602" s="4" t="s">
        <v>8</v>
      </c>
      <c r="L602" s="4" t="s">
        <v>8</v>
      </c>
      <c r="M602" s="4" t="s">
        <v>8</v>
      </c>
      <c r="N602" s="4" t="s">
        <v>8</v>
      </c>
      <c r="O602" s="4" t="s">
        <v>8</v>
      </c>
      <c r="P602" s="4" t="s">
        <v>8</v>
      </c>
      <c r="Q602" s="4" t="s">
        <v>8</v>
      </c>
      <c r="R602" s="4" t="s">
        <v>8</v>
      </c>
      <c r="S602" s="4" t="s">
        <v>8</v>
      </c>
      <c r="T602" s="4" t="s">
        <v>8</v>
      </c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 spans="2:37" ht="12">
      <c r="B603" s="3">
        <v>16</v>
      </c>
      <c r="C603" s="3">
        <v>7</v>
      </c>
      <c r="D603" s="3">
        <v>7</v>
      </c>
      <c r="E603" s="3">
        <v>7</v>
      </c>
      <c r="F603" s="3">
        <v>7</v>
      </c>
      <c r="G603" s="3">
        <v>7</v>
      </c>
      <c r="H603" s="3">
        <v>7</v>
      </c>
      <c r="I603" s="3">
        <v>7</v>
      </c>
      <c r="J603" s="3">
        <v>7</v>
      </c>
      <c r="K603" s="3">
        <v>7</v>
      </c>
      <c r="L603" s="3">
        <v>7</v>
      </c>
      <c r="M603" s="3">
        <v>7</v>
      </c>
      <c r="N603" s="3">
        <v>7</v>
      </c>
      <c r="O603" s="3">
        <v>7</v>
      </c>
      <c r="P603" s="3">
        <v>7</v>
      </c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 ht="12">
      <c r="Q604" s="3">
        <f>SUM(B603:P608)</f>
        <v>115</v>
      </c>
    </row>
    <row r="605" spans="2:37" ht="12">
      <c r="B605" s="3">
        <f>((0-0)/2)+0</f>
        <v>0</v>
      </c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 spans="2:37" ht="12">
      <c r="B606" s="1" t="s">
        <v>660</v>
      </c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 spans="2:37" ht="12">
      <c r="B607" s="3">
        <f>COUNT(#VALUE!)</f>
        <v>1</v>
      </c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9" spans="1:37" ht="12">
      <c r="A609" s="1" t="s">
        <v>661</v>
      </c>
      <c r="D609" s="1" t="s">
        <v>662</v>
      </c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 spans="24:37" ht="12"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 spans="1:37" ht="12">
      <c r="A611" s="1" t="s">
        <v>663</v>
      </c>
      <c r="B611" s="1" t="s">
        <v>664</v>
      </c>
      <c r="D611" s="1" t="s">
        <v>665</v>
      </c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 ht="12">
      <c r="B612" s="1" t="s">
        <v>666</v>
      </c>
    </row>
    <row r="613" spans="2:37" ht="12">
      <c r="B613" s="1" t="s">
        <v>667</v>
      </c>
      <c r="T613" s="1" t="s">
        <v>630</v>
      </c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2:37" ht="12">
      <c r="B614" s="1" t="s">
        <v>668</v>
      </c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42" spans="24:31" ht="12">
      <c r="X642" s="7"/>
      <c r="Y642" s="7"/>
      <c r="Z642" s="7"/>
      <c r="AA642" s="7"/>
      <c r="AB642" s="7"/>
      <c r="AC642" s="7"/>
      <c r="AD642" s="7"/>
      <c r="AE642" s="7"/>
    </row>
    <row r="643" spans="24:31" ht="12">
      <c r="X643" s="7"/>
      <c r="Y643" s="7"/>
      <c r="Z643" s="7"/>
      <c r="AA643" s="7"/>
      <c r="AB643" s="7"/>
      <c r="AC643" s="7"/>
      <c r="AD643" s="7"/>
      <c r="AE643" s="7"/>
    </row>
    <row r="644" spans="24:31" ht="12">
      <c r="X644" s="7"/>
      <c r="Y644" s="7"/>
      <c r="Z644" s="7"/>
      <c r="AA644" s="7"/>
      <c r="AB644" s="7"/>
      <c r="AC644" s="7"/>
      <c r="AD644" s="7"/>
      <c r="AE644" s="7"/>
    </row>
    <row r="646" spans="24:31" ht="12">
      <c r="X646" s="7"/>
      <c r="Y646" s="7"/>
      <c r="Z646" s="7"/>
      <c r="AA646" s="7"/>
      <c r="AB646" s="7"/>
      <c r="AC646" s="7"/>
      <c r="AD646" s="7"/>
      <c r="AE646" s="7"/>
    </row>
    <row r="647" spans="24:31" ht="12">
      <c r="X647" s="7"/>
      <c r="Y647" s="7"/>
      <c r="Z647" s="7"/>
      <c r="AA647" s="7"/>
      <c r="AB647" s="7"/>
      <c r="AC647" s="7"/>
      <c r="AD647" s="7"/>
      <c r="AE647" s="7"/>
    </row>
    <row r="648" spans="24:31" ht="12">
      <c r="X648" s="7"/>
      <c r="Y648" s="7"/>
      <c r="Z648" s="7"/>
      <c r="AA648" s="7"/>
      <c r="AB648" s="7"/>
      <c r="AC648" s="7"/>
      <c r="AD648" s="7"/>
      <c r="AE648" s="7"/>
    </row>
    <row r="650" spans="24:31" ht="12">
      <c r="X650" s="7"/>
      <c r="Y650" s="7"/>
      <c r="Z650" s="7"/>
      <c r="AA650" s="7"/>
      <c r="AB650" s="7"/>
      <c r="AC650" s="7"/>
      <c r="AD650" s="7"/>
      <c r="AE650" s="7"/>
    </row>
    <row r="651" spans="24:31" ht="12">
      <c r="X651" s="7"/>
      <c r="Y651" s="7"/>
      <c r="Z651" s="7"/>
      <c r="AA651" s="7"/>
      <c r="AB651" s="7"/>
      <c r="AC651" s="7"/>
      <c r="AD651" s="7"/>
      <c r="AE651" s="7"/>
    </row>
    <row r="652" spans="24:31" ht="12">
      <c r="X652" s="7"/>
      <c r="Y652" s="7"/>
      <c r="Z652" s="7"/>
      <c r="AA652" s="7"/>
      <c r="AB652" s="7"/>
      <c r="AC652" s="7"/>
      <c r="AD652" s="7"/>
      <c r="AE652" s="7"/>
    </row>
    <row r="654" spans="24:31" ht="12">
      <c r="X654" s="7"/>
      <c r="Y654" s="7"/>
      <c r="Z654" s="7"/>
      <c r="AA654" s="7"/>
      <c r="AB654" s="7"/>
      <c r="AC654" s="7"/>
      <c r="AD654" s="7"/>
      <c r="AE654" s="7"/>
    </row>
    <row r="655" spans="24:31" ht="12">
      <c r="X655" s="7"/>
      <c r="Y655" s="7"/>
      <c r="Z655" s="7"/>
      <c r="AA655" s="7"/>
      <c r="AB655" s="7"/>
      <c r="AC655" s="7"/>
      <c r="AD655" s="7"/>
      <c r="AE655" s="7"/>
    </row>
    <row r="656" spans="24:31" ht="12">
      <c r="X656" s="7"/>
      <c r="Y656" s="7"/>
      <c r="Z656" s="7"/>
      <c r="AA656" s="7"/>
      <c r="AB656" s="7"/>
      <c r="AC656" s="7"/>
      <c r="AD656" s="7"/>
      <c r="AE656" s="7"/>
    </row>
    <row r="658" spans="24:31" ht="12">
      <c r="X658" s="7"/>
      <c r="Y658" s="7"/>
      <c r="Z658" s="7"/>
      <c r="AA658" s="7"/>
      <c r="AB658" s="7"/>
      <c r="AC658" s="7"/>
      <c r="AD658" s="7"/>
      <c r="AE658" s="7"/>
    </row>
    <row r="659" spans="24:31" ht="12">
      <c r="X659" s="7"/>
      <c r="Y659" s="7"/>
      <c r="Z659" s="7"/>
      <c r="AA659" s="7"/>
      <c r="AB659" s="7"/>
      <c r="AC659" s="7"/>
      <c r="AD659" s="7"/>
      <c r="AE659" s="7"/>
    </row>
    <row r="660" spans="24:31" ht="12">
      <c r="X660" s="7"/>
      <c r="Y660" s="7"/>
      <c r="Z660" s="7"/>
      <c r="AA660" s="7"/>
      <c r="AB660" s="7"/>
      <c r="AC660" s="7"/>
      <c r="AD660" s="7"/>
      <c r="AE660" s="7"/>
    </row>
    <row r="661" spans="24:31" ht="12">
      <c r="X661" s="7"/>
      <c r="Y661" s="7"/>
      <c r="Z661" s="7"/>
      <c r="AA661" s="7"/>
      <c r="AB661" s="7"/>
      <c r="AC661" s="7"/>
      <c r="AD661" s="7"/>
      <c r="AE661" s="7"/>
    </row>
    <row r="688" spans="24:35" ht="12"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</row>
    <row r="689" spans="24:35" ht="12"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</row>
    <row r="690" spans="24:35" ht="12"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</row>
    <row r="691" spans="24:35" ht="12"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</row>
    <row r="697" spans="24:35" ht="12"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</row>
    <row r="698" spans="24:35" ht="12"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</row>
    <row r="699" spans="24:35" ht="12"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</row>
    <row r="701" spans="24:35" ht="12"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</row>
    <row r="702" spans="24:35" ht="12"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</row>
    <row r="703" spans="24:35" ht="12"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</row>
    <row r="706" spans="24:35" ht="12"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</row>
    <row r="707" spans="24:35" ht="12"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</row>
    <row r="709" spans="24:35" ht="12"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</row>
    <row r="710" spans="24:35" ht="12"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</row>
    <row r="711" spans="24:35" ht="12"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</row>
    <row r="712" spans="24:35" ht="12"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</row>
    <row r="713" spans="17:35" ht="12">
      <c r="Q713" s="8"/>
      <c r="R713" s="8"/>
      <c r="S713" s="8"/>
      <c r="T713" s="8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</row>
    <row r="737" spans="24:35" ht="12"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</row>
    <row r="738" spans="24:35" ht="12"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</row>
    <row r="739" spans="24:35" ht="12"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</row>
    <row r="741" spans="24:35" ht="12"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</row>
    <row r="742" spans="24:35" ht="12"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</row>
    <row r="743" spans="24:35" ht="12"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</row>
    <row r="745" spans="24:35" ht="12"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</row>
    <row r="746" spans="24:35" ht="12"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</row>
    <row r="747" spans="24:35" ht="12"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</row>
    <row r="750" spans="24:35" ht="12"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</row>
    <row r="751" spans="24:35" ht="12"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</row>
    <row r="753" spans="24:35" ht="12"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</row>
    <row r="754" spans="24:35" ht="12"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</row>
    <row r="755" spans="24:35" ht="12"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</row>
    <row r="756" spans="24:35" ht="12"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</row>
    <row r="757" spans="24:35" ht="12"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&amp;LSREB-State Data Exchange&amp;C&amp;R&amp;D</oddHeader>
    <oddFooter>&amp;C-   -&amp;R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jmarks</cp:lastModifiedBy>
  <dcterms:created xsi:type="dcterms:W3CDTF">2000-07-24T14:48:59Z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