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65521" windowWidth="9600" windowHeight="11025" firstSheet="1" activeTab="1"/>
  </bookViews>
  <sheets>
    <sheet name="Tuition &amp; Fees Data" sheetId="1" r:id="rId1"/>
    <sheet name="Table 97" sheetId="2" r:id="rId2"/>
    <sheet name="Table 98" sheetId="3" r:id="rId3"/>
    <sheet name="Table 99" sheetId="4" r:id="rId4"/>
    <sheet name="Table 100" sheetId="5" r:id="rId5"/>
    <sheet name="Table 101" sheetId="6" r:id="rId6"/>
    <sheet name="Table 102" sheetId="7" r:id="rId7"/>
    <sheet name="Table 103" sheetId="8" r:id="rId8"/>
    <sheet name="Table 104" sheetId="9" r:id="rId9"/>
    <sheet name="Table 105" sheetId="10" r:id="rId10"/>
    <sheet name="Summary Medians from SPSS 07-08" sheetId="11" r:id="rId11"/>
    <sheet name="Tuition &amp; Fees Policies A" sheetId="12" r:id="rId12"/>
    <sheet name="Tuition &amp; Fees Policies B" sheetId="13" r:id="rId13"/>
    <sheet name="7 - Tuit-Fee Mid-Year Increases" sheetId="14" r:id="rId14"/>
  </sheets>
  <definedNames>
    <definedName name="APPHEAD">#REF!</definedName>
    <definedName name="CHHEAD">#REF!</definedName>
    <definedName name="PAGE_17">#REF!</definedName>
    <definedName name="PAGE1">#REF!</definedName>
    <definedName name="PAGE10">#REF!</definedName>
    <definedName name="PAGE11">#REF!</definedName>
    <definedName name="PAGE12">#REF!</definedName>
    <definedName name="PAGE13">#REF!</definedName>
    <definedName name="PAGE14">#REF!</definedName>
    <definedName name="PAGE15">#REF!</definedName>
    <definedName name="PAGE16">#REF!</definedName>
    <definedName name="PAGE17">#REF!</definedName>
    <definedName name="PAGE18">#REF!</definedName>
    <definedName name="PAGE19">#REF!</definedName>
    <definedName name="PAGE2">#REF!</definedName>
    <definedName name="PAGE20">#REF!</definedName>
    <definedName name="PAGE3">#REF!</definedName>
    <definedName name="PAGE4">#REF!</definedName>
    <definedName name="PAGE5">#REF!</definedName>
    <definedName name="PAGE6">#REF!</definedName>
    <definedName name="PAGE7">#REF!</definedName>
    <definedName name="PAGE8">#REF!</definedName>
    <definedName name="PAGE9">#REF!</definedName>
    <definedName name="PART1">#REF!</definedName>
    <definedName name="PART2">#REF!</definedName>
    <definedName name="PART3">#REF!</definedName>
    <definedName name="PART4A">#REF!</definedName>
    <definedName name="PART4B">#REF!</definedName>
    <definedName name="PART5">#REF!</definedName>
    <definedName name="PART6A">#REF!</definedName>
    <definedName name="PART6B">#REF!</definedName>
    <definedName name="PART6C">#REF!</definedName>
    <definedName name="PART7B">#REF!</definedName>
    <definedName name="PART7C">#REF!</definedName>
    <definedName name="PART8">#REF!</definedName>
    <definedName name="_xlnm.Print_Area" localSheetId="10">'Summary Medians from SPSS 07-08'!$C$3:$BD$274</definedName>
    <definedName name="_xlnm.Print_Area" localSheetId="4">'Table 100'!$A$1:$H$32</definedName>
    <definedName name="_xlnm.Print_Area" localSheetId="5">'Table 101'!$A$1:$J$33</definedName>
    <definedName name="_xlnm.Print_Area" localSheetId="6">'Table 102'!$A$1:$H$33</definedName>
    <definedName name="_xlnm.Print_Area" localSheetId="7">'Table 103'!$A$1:$H$33</definedName>
    <definedName name="_xlnm.Print_Area" localSheetId="8">'Table 104'!$A$1:$H$33</definedName>
    <definedName name="_xlnm.Print_Area" localSheetId="9">'Table 105'!$A$1:$H$33</definedName>
    <definedName name="_xlnm.Print_Area" localSheetId="1">'Table 97'!$A$1:$N$34</definedName>
    <definedName name="_xlnm.Print_Area" localSheetId="2">'Table 98'!$A$1:$H$34</definedName>
    <definedName name="_xlnm.Print_Area" localSheetId="3">'Table 99'!$A$1:$J$33</definedName>
    <definedName name="_xlnm.Print_Area" localSheetId="12">'Tuition &amp; Fees Policies B'!$A$3:$F$25</definedName>
    <definedName name="_xlnm.Print_Titles" localSheetId="10">'Summary Medians from SPSS 07-08'!$A:$B,'Summary Medians from SPSS 07-08'!$1:$2</definedName>
    <definedName name="_xlnm.Print_Titles" localSheetId="11">'Tuition &amp; Fees Policies A'!$A:$A,'Tuition &amp; Fees Policies A'!$1:$2</definedName>
    <definedName name="_xlnm.Print_Titles" localSheetId="12">'Tuition &amp; Fees Policies B'!$1:$2</definedName>
    <definedName name="RATIONALE">#REF!</definedName>
    <definedName name="RATIONALE2">#REF!</definedName>
    <definedName name="SALHEAD">#REF!</definedName>
  </definedNames>
  <calcPr fullCalcOnLoad="1"/>
</workbook>
</file>

<file path=xl/comments1.xml><?xml version="1.0" encoding="utf-8"?>
<comments xmlns="http://schemas.openxmlformats.org/spreadsheetml/2006/main">
  <authors>
    <author>claudiag</author>
    <author>mvann</author>
    <author>jennifer berg</author>
    <author>cbrown</author>
    <author>ponkh</author>
    <author>Alicia A. Diaz</author>
    <author>mloverde</author>
    <author>JLM</author>
  </authors>
  <commentList>
    <comment ref="E62" authorId="0">
      <text>
        <r>
          <rPr>
            <b/>
            <sz val="8"/>
            <rFont val="Tahoma"/>
            <family val="2"/>
          </rPr>
          <t>claudiag:</t>
        </r>
        <r>
          <rPr>
            <sz val="8"/>
            <rFont val="Tahoma"/>
            <family val="2"/>
          </rPr>
          <t xml:space="preserve">
College dropped in-district tution tier.  Other tiers of tuition did not change.</t>
        </r>
      </text>
    </comment>
    <comment ref="E78" authorId="0">
      <text>
        <r>
          <rPr>
            <b/>
            <sz val="8"/>
            <rFont val="Tahoma"/>
            <family val="2"/>
          </rPr>
          <t>claudiag:</t>
        </r>
        <r>
          <rPr>
            <sz val="8"/>
            <rFont val="Tahoma"/>
            <family val="2"/>
          </rPr>
          <t xml:space="preserve">
least expensive program - nursing</t>
        </r>
      </text>
    </comment>
    <comment ref="G78" authorId="0">
      <text>
        <r>
          <rPr>
            <b/>
            <sz val="8"/>
            <rFont val="Tahoma"/>
            <family val="2"/>
          </rPr>
          <t>claudiag:</t>
        </r>
        <r>
          <rPr>
            <sz val="8"/>
            <rFont val="Tahoma"/>
            <family val="2"/>
          </rPr>
          <t xml:space="preserve">
least expensive program - nursing</t>
        </r>
      </text>
    </comment>
    <comment ref="I292" authorId="1">
      <text>
        <r>
          <rPr>
            <b/>
            <sz val="10"/>
            <rFont val="Tahoma"/>
            <family val="2"/>
          </rPr>
          <t>mvann:</t>
        </r>
        <r>
          <rPr>
            <sz val="10"/>
            <rFont val="Tahoma"/>
            <family val="2"/>
          </rPr>
          <t xml:space="preserve">
New Master of Arts, Teaching degree offered Fall 2006 . Only graduate degree offering at St. Mary's. Charge one rate.</t>
        </r>
      </text>
    </comment>
    <comment ref="C320" authorId="2">
      <text>
        <r>
          <rPr>
            <sz val="8"/>
            <color indexed="8"/>
            <rFont val="Tahoma"/>
            <family val="2"/>
          </rPr>
          <t>includes Raymond campus (175786), Jackson campus (175777), Rankin campus (175795) and Vicksburg-Warren county (175801)</t>
        </r>
      </text>
    </comment>
    <comment ref="C323" authorId="2">
      <text>
        <r>
          <rPr>
            <sz val="8"/>
            <color indexed="8"/>
            <rFont val="Tahoma"/>
            <family val="2"/>
          </rPr>
          <t>includes Natchez campus (175564)</t>
        </r>
      </text>
    </comment>
    <comment ref="C332" authorId="2">
      <text>
        <r>
          <rPr>
            <sz val="8"/>
            <color indexed="8"/>
            <rFont val="Tahoma"/>
            <family val="2"/>
          </rPr>
          <t>includes Forrest county center (408127)</t>
        </r>
      </text>
    </comment>
    <comment ref="E499" authorId="3">
      <text>
        <r>
          <rPr>
            <b/>
            <sz val="8"/>
            <rFont val="Tahoma"/>
            <family val="2"/>
          </rPr>
          <t>cbrown:</t>
        </r>
        <r>
          <rPr>
            <sz val="8"/>
            <rFont val="Tahoma"/>
            <family val="2"/>
          </rPr>
          <t xml:space="preserve">
Spring increase to 3190</t>
        </r>
      </text>
    </comment>
    <comment ref="G499" authorId="3">
      <text>
        <r>
          <rPr>
            <b/>
            <sz val="8"/>
            <rFont val="Tahoma"/>
            <family val="2"/>
          </rPr>
          <t>cbrown:</t>
        </r>
        <r>
          <rPr>
            <sz val="8"/>
            <rFont val="Tahoma"/>
            <family val="2"/>
          </rPr>
          <t xml:space="preserve">
Spring increase to 5286</t>
        </r>
      </text>
    </comment>
    <comment ref="P567" authorId="4">
      <text>
        <r>
          <rPr>
            <b/>
            <sz val="10"/>
            <rFont val="Tahoma"/>
            <family val="2"/>
          </rPr>
          <t>ponkh:</t>
        </r>
        <r>
          <rPr>
            <sz val="10"/>
            <rFont val="Tahoma"/>
            <family val="2"/>
          </rPr>
          <t xml:space="preserve">
from website.  See notes
</t>
        </r>
      </text>
    </comment>
    <comment ref="Q565" authorId="5">
      <text>
        <r>
          <rPr>
            <b/>
            <sz val="8"/>
            <rFont val="Tahoma"/>
            <family val="2"/>
          </rPr>
          <t>Alicia A. Diaz:</t>
        </r>
        <r>
          <rPr>
            <sz val="8"/>
            <rFont val="Tahoma"/>
            <family val="2"/>
          </rPr>
          <t xml:space="preserve">
Is this a new program?  They recorded numbers in the medical category because they have Optometry
</t>
        </r>
      </text>
    </comment>
    <comment ref="R565" authorId="4">
      <text>
        <r>
          <rPr>
            <b/>
            <sz val="10"/>
            <rFont val="Tahoma"/>
            <family val="2"/>
          </rPr>
          <t>ponkh:</t>
        </r>
        <r>
          <rPr>
            <sz val="10"/>
            <rFont val="Tahoma"/>
            <family val="2"/>
          </rPr>
          <t xml:space="preserve">
from CSB medical table, Optometry = Medical so do not record numbers in Medical column</t>
        </r>
      </text>
    </comment>
    <comment ref="AD565" authorId="4">
      <text>
        <r>
          <rPr>
            <b/>
            <sz val="10"/>
            <rFont val="Tahoma"/>
            <family val="2"/>
          </rPr>
          <t>ponkh:</t>
        </r>
        <r>
          <rPr>
            <sz val="10"/>
            <rFont val="Tahoma"/>
            <family val="2"/>
          </rPr>
          <t xml:space="preserve">
from CSB medical table, Optometry = Medical so do not record numbers in Medical column
</t>
        </r>
      </text>
    </comment>
    <comment ref="AF565" authorId="4">
      <text>
        <r>
          <rPr>
            <b/>
            <sz val="10"/>
            <rFont val="Tahoma"/>
            <family val="2"/>
          </rPr>
          <t>ponkh:</t>
        </r>
        <r>
          <rPr>
            <sz val="10"/>
            <rFont val="Tahoma"/>
            <family val="2"/>
          </rPr>
          <t xml:space="preserve">
from CSB medical table, Optometry = Medical so do not record numbers in Medical column</t>
        </r>
      </text>
    </comment>
    <comment ref="Y566" authorId="4">
      <text>
        <r>
          <rPr>
            <b/>
            <sz val="10"/>
            <rFont val="Tahoma"/>
            <family val="2"/>
          </rPr>
          <t>ponkh:</t>
        </r>
        <r>
          <rPr>
            <sz val="10"/>
            <rFont val="Tahoma"/>
            <family val="2"/>
          </rPr>
          <t xml:space="preserve">
from UT website.  See notes
</t>
        </r>
      </text>
    </comment>
    <comment ref="AA566" authorId="4">
      <text>
        <r>
          <rPr>
            <b/>
            <sz val="10"/>
            <rFont val="Tahoma"/>
            <family val="2"/>
          </rPr>
          <t>ponkh:</t>
        </r>
        <r>
          <rPr>
            <sz val="10"/>
            <rFont val="Tahoma"/>
            <family val="2"/>
          </rPr>
          <t xml:space="preserve">
from UT website.  See notes  2006-2007
</t>
        </r>
      </text>
    </comment>
    <comment ref="AB566" authorId="4">
      <text>
        <r>
          <rPr>
            <b/>
            <sz val="10"/>
            <rFont val="Tahoma"/>
            <family val="2"/>
          </rPr>
          <t>ponkh:</t>
        </r>
        <r>
          <rPr>
            <sz val="10"/>
            <rFont val="Tahoma"/>
            <family val="2"/>
          </rPr>
          <t xml:space="preserve">
from UT website 2007-2008
</t>
        </r>
      </text>
    </comment>
    <comment ref="E570" authorId="4">
      <text>
        <r>
          <rPr>
            <b/>
            <sz val="10"/>
            <rFont val="Tahoma"/>
            <family val="2"/>
          </rPr>
          <t>ponkh:</t>
        </r>
        <r>
          <rPr>
            <sz val="10"/>
            <rFont val="Tahoma"/>
            <family val="2"/>
          </rPr>
          <t xml:space="preserve">
from CSB</t>
        </r>
      </text>
    </comment>
    <comment ref="G570" authorId="4">
      <text>
        <r>
          <rPr>
            <b/>
            <sz val="10"/>
            <rFont val="Tahoma"/>
            <family val="2"/>
          </rPr>
          <t>ponkh:</t>
        </r>
        <r>
          <rPr>
            <sz val="10"/>
            <rFont val="Tahoma"/>
            <family val="2"/>
          </rPr>
          <t xml:space="preserve">
from CSB</t>
        </r>
      </text>
    </comment>
    <comment ref="I581" authorId="4">
      <text>
        <r>
          <rPr>
            <b/>
            <sz val="10"/>
            <rFont val="Tahoma"/>
            <family val="2"/>
          </rPr>
          <t>ponkh:</t>
        </r>
        <r>
          <rPr>
            <sz val="10"/>
            <rFont val="Tahoma"/>
            <family val="2"/>
          </rPr>
          <t xml:space="preserve">
from CSB</t>
        </r>
      </text>
    </comment>
    <comment ref="K581" authorId="4">
      <text>
        <r>
          <rPr>
            <b/>
            <sz val="10"/>
            <rFont val="Tahoma"/>
            <family val="2"/>
          </rPr>
          <t>ponkh:</t>
        </r>
        <r>
          <rPr>
            <sz val="10"/>
            <rFont val="Tahoma"/>
            <family val="2"/>
          </rPr>
          <t xml:space="preserve">
from CSB</t>
        </r>
      </text>
    </comment>
    <comment ref="Y573" authorId="4">
      <text>
        <r>
          <rPr>
            <b/>
            <sz val="10"/>
            <rFont val="Tahoma"/>
            <family val="2"/>
          </rPr>
          <t>ponkh:</t>
        </r>
        <r>
          <rPr>
            <sz val="10"/>
            <rFont val="Tahoma"/>
            <family val="2"/>
          </rPr>
          <t xml:space="preserve">
From CSB 2006-2007, pharmacy table</t>
        </r>
      </text>
    </comment>
    <comment ref="AA573" authorId="4">
      <text>
        <r>
          <rPr>
            <b/>
            <sz val="10"/>
            <rFont val="Tahoma"/>
            <family val="2"/>
          </rPr>
          <t>ponkh:</t>
        </r>
        <r>
          <rPr>
            <sz val="10"/>
            <rFont val="Tahoma"/>
            <family val="2"/>
          </rPr>
          <t xml:space="preserve">
From CSB 2006-2007, pharmacy table</t>
        </r>
      </text>
    </comment>
    <comment ref="K588" authorId="4">
      <text>
        <r>
          <rPr>
            <b/>
            <sz val="10"/>
            <rFont val="Tahoma"/>
            <family val="2"/>
          </rPr>
          <t>ponkh:</t>
        </r>
        <r>
          <rPr>
            <sz val="10"/>
            <rFont val="Tahoma"/>
            <family val="2"/>
          </rPr>
          <t xml:space="preserve">
from CSB</t>
        </r>
      </text>
    </comment>
    <comment ref="G590" authorId="4">
      <text>
        <r>
          <rPr>
            <b/>
            <sz val="10"/>
            <rFont val="Tahoma"/>
            <family val="2"/>
          </rPr>
          <t>ponkh:</t>
        </r>
        <r>
          <rPr>
            <sz val="10"/>
            <rFont val="Tahoma"/>
            <family val="2"/>
          </rPr>
          <t xml:space="preserve">
as reported by school in CSB</t>
        </r>
      </text>
    </comment>
    <comment ref="H590" authorId="4">
      <text>
        <r>
          <rPr>
            <b/>
            <sz val="10"/>
            <rFont val="Tahoma"/>
            <family val="2"/>
          </rPr>
          <t>ponkh:</t>
        </r>
        <r>
          <rPr>
            <sz val="10"/>
            <rFont val="Tahoma"/>
            <family val="2"/>
          </rPr>
          <t xml:space="preserve">
as reported by school in CSB</t>
        </r>
      </text>
    </comment>
    <comment ref="G601" authorId="4">
      <text>
        <r>
          <rPr>
            <b/>
            <sz val="10"/>
            <rFont val="Tahoma"/>
            <family val="2"/>
          </rPr>
          <t>ponkh:</t>
        </r>
        <r>
          <rPr>
            <sz val="10"/>
            <rFont val="Tahoma"/>
            <family val="2"/>
          </rPr>
          <t xml:space="preserve">
from CSB</t>
        </r>
      </text>
    </comment>
    <comment ref="E602" authorId="4">
      <text>
        <r>
          <rPr>
            <b/>
            <sz val="10"/>
            <rFont val="Tahoma"/>
            <family val="2"/>
          </rPr>
          <t>ponkh:</t>
        </r>
        <r>
          <rPr>
            <sz val="10"/>
            <rFont val="Tahoma"/>
            <family val="2"/>
          </rPr>
          <t xml:space="preserve">
from CSB</t>
        </r>
      </text>
    </comment>
    <comment ref="G602" authorId="4">
      <text>
        <r>
          <rPr>
            <b/>
            <sz val="10"/>
            <rFont val="Tahoma"/>
            <family val="2"/>
          </rPr>
          <t>ponkh:</t>
        </r>
        <r>
          <rPr>
            <sz val="10"/>
            <rFont val="Tahoma"/>
            <family val="2"/>
          </rPr>
          <t xml:space="preserve">
from CSB</t>
        </r>
      </text>
    </comment>
    <comment ref="G604" authorId="4">
      <text>
        <r>
          <rPr>
            <b/>
            <sz val="10"/>
            <rFont val="Tahoma"/>
            <family val="2"/>
          </rPr>
          <t>ponkh:</t>
        </r>
        <r>
          <rPr>
            <sz val="10"/>
            <rFont val="Tahoma"/>
            <family val="2"/>
          </rPr>
          <t xml:space="preserve">
from CSB</t>
        </r>
      </text>
    </comment>
    <comment ref="E605" authorId="4">
      <text>
        <r>
          <rPr>
            <b/>
            <sz val="10"/>
            <rFont val="Tahoma"/>
            <family val="2"/>
          </rPr>
          <t>ponkh:</t>
        </r>
        <r>
          <rPr>
            <sz val="10"/>
            <rFont val="Tahoma"/>
            <family val="2"/>
          </rPr>
          <t xml:space="preserve">
from CSB</t>
        </r>
      </text>
    </comment>
    <comment ref="G605" authorId="4">
      <text>
        <r>
          <rPr>
            <b/>
            <sz val="10"/>
            <rFont val="Tahoma"/>
            <family val="2"/>
          </rPr>
          <t>ponkh:</t>
        </r>
        <r>
          <rPr>
            <sz val="10"/>
            <rFont val="Tahoma"/>
            <family val="2"/>
          </rPr>
          <t xml:space="preserve">
from CSB</t>
        </r>
      </text>
    </comment>
    <comment ref="E609" authorId="4">
      <text>
        <r>
          <rPr>
            <b/>
            <sz val="10"/>
            <rFont val="Tahoma"/>
            <family val="2"/>
          </rPr>
          <t>ponkh:</t>
        </r>
        <r>
          <rPr>
            <sz val="10"/>
            <rFont val="Tahoma"/>
            <family val="2"/>
          </rPr>
          <t xml:space="preserve">
from CSB</t>
        </r>
      </text>
    </comment>
    <comment ref="F609" authorId="4">
      <text>
        <r>
          <rPr>
            <b/>
            <sz val="10"/>
            <rFont val="Tahoma"/>
            <family val="2"/>
          </rPr>
          <t>ponkh:</t>
        </r>
        <r>
          <rPr>
            <sz val="10"/>
            <rFont val="Tahoma"/>
            <family val="2"/>
          </rPr>
          <t xml:space="preserve">
I doubled the in district tuition and fees. 
</t>
        </r>
      </text>
    </comment>
    <comment ref="G609" authorId="4">
      <text>
        <r>
          <rPr>
            <b/>
            <sz val="10"/>
            <rFont val="Tahoma"/>
            <family val="2"/>
          </rPr>
          <t>ponkh:</t>
        </r>
        <r>
          <rPr>
            <sz val="10"/>
            <rFont val="Tahoma"/>
            <family val="2"/>
          </rPr>
          <t xml:space="preserve">
from CSB</t>
        </r>
      </text>
    </comment>
    <comment ref="H609" authorId="4">
      <text>
        <r>
          <rPr>
            <b/>
            <sz val="10"/>
            <rFont val="Tahoma"/>
            <family val="2"/>
          </rPr>
          <t>ponkh:</t>
        </r>
        <r>
          <rPr>
            <sz val="10"/>
            <rFont val="Tahoma"/>
            <family val="2"/>
          </rPr>
          <t xml:space="preserve">
I doubled the out of district tuition and fees. </t>
        </r>
      </text>
    </comment>
    <comment ref="G611" authorId="4">
      <text>
        <r>
          <rPr>
            <b/>
            <sz val="10"/>
            <rFont val="Tahoma"/>
            <family val="2"/>
          </rPr>
          <t>ponkh:</t>
        </r>
        <r>
          <rPr>
            <sz val="10"/>
            <rFont val="Tahoma"/>
            <family val="2"/>
          </rPr>
          <t xml:space="preserve">
from CSB</t>
        </r>
      </text>
    </comment>
    <comment ref="E615" authorId="4">
      <text>
        <r>
          <rPr>
            <b/>
            <sz val="10"/>
            <rFont val="Tahoma"/>
            <family val="2"/>
          </rPr>
          <t>ponkh:</t>
        </r>
        <r>
          <rPr>
            <sz val="10"/>
            <rFont val="Tahoma"/>
            <family val="2"/>
          </rPr>
          <t xml:space="preserve">
from CSB</t>
        </r>
      </text>
    </comment>
    <comment ref="G615" authorId="4">
      <text>
        <r>
          <rPr>
            <b/>
            <sz val="10"/>
            <rFont val="Tahoma"/>
            <family val="2"/>
          </rPr>
          <t>ponkh:</t>
        </r>
        <r>
          <rPr>
            <sz val="10"/>
            <rFont val="Tahoma"/>
            <family val="2"/>
          </rPr>
          <t xml:space="preserve">
from CSB</t>
        </r>
      </text>
    </comment>
    <comment ref="E616" authorId="4">
      <text>
        <r>
          <rPr>
            <b/>
            <sz val="10"/>
            <rFont val="Tahoma"/>
            <family val="2"/>
          </rPr>
          <t>ponkh:</t>
        </r>
        <r>
          <rPr>
            <sz val="10"/>
            <rFont val="Tahoma"/>
            <family val="2"/>
          </rPr>
          <t xml:space="preserve">
from CSB</t>
        </r>
      </text>
    </comment>
    <comment ref="G616" authorId="4">
      <text>
        <r>
          <rPr>
            <b/>
            <sz val="10"/>
            <rFont val="Tahoma"/>
            <family val="2"/>
          </rPr>
          <t>ponkh:</t>
        </r>
        <r>
          <rPr>
            <sz val="10"/>
            <rFont val="Tahoma"/>
            <family val="2"/>
          </rPr>
          <t xml:space="preserve">
from CSB</t>
        </r>
      </text>
    </comment>
    <comment ref="E618" authorId="4">
      <text>
        <r>
          <rPr>
            <b/>
            <sz val="10"/>
            <rFont val="Tahoma"/>
            <family val="2"/>
          </rPr>
          <t>ponkh:</t>
        </r>
        <r>
          <rPr>
            <sz val="10"/>
            <rFont val="Tahoma"/>
            <family val="2"/>
          </rPr>
          <t xml:space="preserve">
from CSB</t>
        </r>
      </text>
    </comment>
    <comment ref="G618" authorId="4">
      <text>
        <r>
          <rPr>
            <b/>
            <sz val="10"/>
            <rFont val="Tahoma"/>
            <family val="2"/>
          </rPr>
          <t>ponkh:</t>
        </r>
        <r>
          <rPr>
            <sz val="10"/>
            <rFont val="Tahoma"/>
            <family val="2"/>
          </rPr>
          <t xml:space="preserve">
from CSB</t>
        </r>
      </text>
    </comment>
    <comment ref="E621" authorId="4">
      <text>
        <r>
          <rPr>
            <b/>
            <sz val="10"/>
            <rFont val="Tahoma"/>
            <family val="2"/>
          </rPr>
          <t>ponkh:</t>
        </r>
        <r>
          <rPr>
            <sz val="10"/>
            <rFont val="Tahoma"/>
            <family val="2"/>
          </rPr>
          <t xml:space="preserve">
from CSB</t>
        </r>
      </text>
    </comment>
    <comment ref="G621" authorId="4">
      <text>
        <r>
          <rPr>
            <b/>
            <sz val="10"/>
            <rFont val="Tahoma"/>
            <family val="2"/>
          </rPr>
          <t>ponkh:</t>
        </r>
        <r>
          <rPr>
            <sz val="10"/>
            <rFont val="Tahoma"/>
            <family val="2"/>
          </rPr>
          <t xml:space="preserve">
from CSB</t>
        </r>
      </text>
    </comment>
    <comment ref="E622" authorId="4">
      <text>
        <r>
          <rPr>
            <b/>
            <sz val="10"/>
            <rFont val="Tahoma"/>
            <family val="2"/>
          </rPr>
          <t>ponkh:</t>
        </r>
        <r>
          <rPr>
            <sz val="10"/>
            <rFont val="Tahoma"/>
            <family val="2"/>
          </rPr>
          <t xml:space="preserve">
from CSB</t>
        </r>
      </text>
    </comment>
    <comment ref="G622" authorId="4">
      <text>
        <r>
          <rPr>
            <b/>
            <sz val="10"/>
            <rFont val="Tahoma"/>
            <family val="2"/>
          </rPr>
          <t>ponkh:</t>
        </r>
        <r>
          <rPr>
            <sz val="10"/>
            <rFont val="Tahoma"/>
            <family val="2"/>
          </rPr>
          <t xml:space="preserve">
from CSB</t>
        </r>
      </text>
    </comment>
    <comment ref="G623" authorId="4">
      <text>
        <r>
          <rPr>
            <b/>
            <sz val="10"/>
            <rFont val="Tahoma"/>
            <family val="2"/>
          </rPr>
          <t>ponkh:</t>
        </r>
        <r>
          <rPr>
            <sz val="10"/>
            <rFont val="Tahoma"/>
            <family val="2"/>
          </rPr>
          <t xml:space="preserve">
data correction per David Ximenex, FA director, TCC</t>
        </r>
      </text>
    </comment>
    <comment ref="H623" authorId="4">
      <text>
        <r>
          <rPr>
            <b/>
            <sz val="10"/>
            <rFont val="Tahoma"/>
            <family val="2"/>
          </rPr>
          <t>ponkh:</t>
        </r>
        <r>
          <rPr>
            <sz val="10"/>
            <rFont val="Tahoma"/>
            <family val="2"/>
          </rPr>
          <t xml:space="preserve">
verified via their website $165 * 30</t>
        </r>
      </text>
    </comment>
    <comment ref="E624" authorId="4">
      <text>
        <r>
          <rPr>
            <b/>
            <sz val="10"/>
            <rFont val="Tahoma"/>
            <family val="2"/>
          </rPr>
          <t>ponkh:</t>
        </r>
        <r>
          <rPr>
            <sz val="10"/>
            <rFont val="Tahoma"/>
            <family val="2"/>
          </rPr>
          <t xml:space="preserve">
from CSB</t>
        </r>
      </text>
    </comment>
    <comment ref="G624" authorId="4">
      <text>
        <r>
          <rPr>
            <b/>
            <sz val="10"/>
            <rFont val="Tahoma"/>
            <family val="2"/>
          </rPr>
          <t>ponkh:</t>
        </r>
        <r>
          <rPr>
            <sz val="10"/>
            <rFont val="Tahoma"/>
            <family val="2"/>
          </rPr>
          <t xml:space="preserve">
from CSB</t>
        </r>
      </text>
    </comment>
    <comment ref="G626" authorId="4">
      <text>
        <r>
          <rPr>
            <b/>
            <sz val="10"/>
            <rFont val="Tahoma"/>
            <family val="2"/>
          </rPr>
          <t>ponkh:</t>
        </r>
        <r>
          <rPr>
            <sz val="10"/>
            <rFont val="Tahoma"/>
            <family val="2"/>
          </rPr>
          <t xml:space="preserve">
from CSB</t>
        </r>
      </text>
    </comment>
    <comment ref="G628" authorId="4">
      <text>
        <r>
          <rPr>
            <b/>
            <sz val="10"/>
            <rFont val="Tahoma"/>
            <family val="2"/>
          </rPr>
          <t>ponkh:</t>
        </r>
        <r>
          <rPr>
            <sz val="10"/>
            <rFont val="Tahoma"/>
            <family val="2"/>
          </rPr>
          <t xml:space="preserve">
from CSB</t>
        </r>
      </text>
    </comment>
    <comment ref="G634" authorId="4">
      <text>
        <r>
          <rPr>
            <b/>
            <sz val="10"/>
            <rFont val="Tahoma"/>
            <family val="2"/>
          </rPr>
          <t>ponkh:</t>
        </r>
        <r>
          <rPr>
            <sz val="10"/>
            <rFont val="Tahoma"/>
            <family val="2"/>
          </rPr>
          <t xml:space="preserve">
from CSB</t>
        </r>
      </text>
    </comment>
    <comment ref="E661" authorId="4">
      <text>
        <r>
          <rPr>
            <b/>
            <sz val="10"/>
            <rFont val="Tahoma"/>
            <family val="2"/>
          </rPr>
          <t>ponkh:</t>
        </r>
        <r>
          <rPr>
            <sz val="10"/>
            <rFont val="Tahoma"/>
            <family val="2"/>
          </rPr>
          <t xml:space="preserve">
from CSB</t>
        </r>
      </text>
    </comment>
    <comment ref="G661" authorId="4">
      <text>
        <r>
          <rPr>
            <b/>
            <sz val="10"/>
            <rFont val="Tahoma"/>
            <family val="2"/>
          </rPr>
          <t>ponkh:</t>
        </r>
        <r>
          <rPr>
            <sz val="10"/>
            <rFont val="Tahoma"/>
            <family val="2"/>
          </rPr>
          <t xml:space="preserve">
from CSB</t>
        </r>
      </text>
    </comment>
    <comment ref="E663" authorId="4">
      <text>
        <r>
          <rPr>
            <b/>
            <sz val="10"/>
            <rFont val="Tahoma"/>
            <family val="2"/>
          </rPr>
          <t>ponkh:</t>
        </r>
        <r>
          <rPr>
            <sz val="10"/>
            <rFont val="Tahoma"/>
            <family val="2"/>
          </rPr>
          <t xml:space="preserve">
corrections per Sharon King, FA Director, Ranger
</t>
        </r>
      </text>
    </comment>
    <comment ref="F663" authorId="4">
      <text>
        <r>
          <rPr>
            <b/>
            <sz val="10"/>
            <rFont val="Tahoma"/>
            <family val="2"/>
          </rPr>
          <t>ponkh:</t>
        </r>
        <r>
          <rPr>
            <sz val="10"/>
            <rFont val="Tahoma"/>
            <family val="2"/>
          </rPr>
          <t xml:space="preserve">
corrections per Sharon King, FA Director, Ranger
</t>
        </r>
      </text>
    </comment>
    <comment ref="G663" authorId="4">
      <text>
        <r>
          <rPr>
            <b/>
            <sz val="10"/>
            <rFont val="Tahoma"/>
            <family val="2"/>
          </rPr>
          <t>ponkh:</t>
        </r>
        <r>
          <rPr>
            <sz val="10"/>
            <rFont val="Tahoma"/>
            <family val="2"/>
          </rPr>
          <t xml:space="preserve">
corrections per Sharon King, FA Director, Ranger
</t>
        </r>
      </text>
    </comment>
    <comment ref="H663" authorId="4">
      <text>
        <r>
          <rPr>
            <b/>
            <sz val="10"/>
            <rFont val="Tahoma"/>
            <family val="2"/>
          </rPr>
          <t>ponkh:</t>
        </r>
        <r>
          <rPr>
            <sz val="10"/>
            <rFont val="Tahoma"/>
            <family val="2"/>
          </rPr>
          <t xml:space="preserve">
corrections per Sharon King, FA Director, Ranger
</t>
        </r>
      </text>
    </comment>
    <comment ref="T671" authorId="4">
      <text>
        <r>
          <rPr>
            <b/>
            <sz val="10"/>
            <rFont val="Tahoma"/>
            <family val="2"/>
          </rPr>
          <t>ponkh:</t>
        </r>
        <r>
          <rPr>
            <sz val="10"/>
            <rFont val="Tahoma"/>
            <family val="2"/>
          </rPr>
          <t xml:space="preserve">
Seems school did not report 
NonResident Fees. 
JLM: Should it then be blank?</t>
        </r>
      </text>
    </comment>
    <comment ref="J668" authorId="4">
      <text>
        <r>
          <rPr>
            <b/>
            <sz val="10"/>
            <rFont val="Tahoma"/>
            <family val="2"/>
          </rPr>
          <t>ponkh:</t>
        </r>
        <r>
          <rPr>
            <sz val="10"/>
            <rFont val="Tahoma"/>
            <family val="2"/>
          </rPr>
          <t xml:space="preserve">
seems wrong.  How can residents pay more than non residents.  And how can the cost jump so much</t>
        </r>
      </text>
    </comment>
    <comment ref="T668" authorId="4">
      <text>
        <r>
          <rPr>
            <b/>
            <sz val="10"/>
            <rFont val="Tahoma"/>
            <family val="2"/>
          </rPr>
          <t>ponkh:</t>
        </r>
        <r>
          <rPr>
            <sz val="10"/>
            <rFont val="Tahoma"/>
            <family val="2"/>
          </rPr>
          <t xml:space="preserve">
I believe the school made a data entry error
</t>
        </r>
      </text>
    </comment>
    <comment ref="Q672" authorId="5">
      <text>
        <r>
          <rPr>
            <b/>
            <sz val="8"/>
            <rFont val="Tahoma"/>
            <family val="2"/>
          </rPr>
          <t>Alicia A. Diaz:</t>
        </r>
        <r>
          <rPr>
            <sz val="8"/>
            <rFont val="Tahoma"/>
            <family val="2"/>
          </rPr>
          <t xml:space="preserve">
Is this a new program?
No
</t>
        </r>
      </text>
    </comment>
    <comment ref="I669" authorId="4">
      <text>
        <r>
          <rPr>
            <b/>
            <sz val="10"/>
            <rFont val="Tahoma"/>
            <family val="2"/>
          </rPr>
          <t>ponkh:</t>
        </r>
        <r>
          <rPr>
            <sz val="10"/>
            <rFont val="Tahoma"/>
            <family val="2"/>
          </rPr>
          <t xml:space="preserve">
from CSB</t>
        </r>
      </text>
    </comment>
    <comment ref="K669" authorId="4">
      <text>
        <r>
          <rPr>
            <b/>
            <sz val="10"/>
            <rFont val="Tahoma"/>
            <family val="2"/>
          </rPr>
          <t>ponkh:</t>
        </r>
        <r>
          <rPr>
            <sz val="10"/>
            <rFont val="Tahoma"/>
            <family val="2"/>
          </rPr>
          <t xml:space="preserve">
from CSB</t>
        </r>
      </text>
    </comment>
    <comment ref="E673" authorId="4">
      <text>
        <r>
          <rPr>
            <b/>
            <sz val="10"/>
            <rFont val="Tahoma"/>
            <family val="2"/>
          </rPr>
          <t>ponkh:</t>
        </r>
        <r>
          <rPr>
            <sz val="10"/>
            <rFont val="Tahoma"/>
            <family val="2"/>
          </rPr>
          <t xml:space="preserve">
from CSB as reported by school</t>
        </r>
      </text>
    </comment>
    <comment ref="F673" authorId="4">
      <text>
        <r>
          <rPr>
            <b/>
            <sz val="10"/>
            <rFont val="Tahoma"/>
            <family val="2"/>
          </rPr>
          <t>ponkh:</t>
        </r>
        <r>
          <rPr>
            <sz val="10"/>
            <rFont val="Tahoma"/>
            <family val="2"/>
          </rPr>
          <t xml:space="preserve">
from CSB as reported by school</t>
        </r>
      </text>
    </comment>
    <comment ref="G673" authorId="4">
      <text>
        <r>
          <rPr>
            <b/>
            <sz val="10"/>
            <rFont val="Tahoma"/>
            <family val="2"/>
          </rPr>
          <t>ponkh:</t>
        </r>
        <r>
          <rPr>
            <sz val="10"/>
            <rFont val="Tahoma"/>
            <family val="2"/>
          </rPr>
          <t xml:space="preserve">
from CSB as reported by school</t>
        </r>
      </text>
    </comment>
    <comment ref="H673" authorId="4">
      <text>
        <r>
          <rPr>
            <b/>
            <sz val="10"/>
            <rFont val="Tahoma"/>
            <family val="2"/>
          </rPr>
          <t>ponkh:</t>
        </r>
        <r>
          <rPr>
            <sz val="10"/>
            <rFont val="Tahoma"/>
            <family val="2"/>
          </rPr>
          <t xml:space="preserve">
from CSB as reported by school</t>
        </r>
      </text>
    </comment>
    <comment ref="F674" authorId="4">
      <text>
        <r>
          <rPr>
            <b/>
            <sz val="10"/>
            <rFont val="Tahoma"/>
            <family val="2"/>
          </rPr>
          <t>ponkh:</t>
        </r>
        <r>
          <rPr>
            <sz val="10"/>
            <rFont val="Tahoma"/>
            <family val="2"/>
          </rPr>
          <t xml:space="preserve">
school did not report any numbers for this year</t>
        </r>
      </text>
    </comment>
    <comment ref="H674" authorId="4">
      <text>
        <r>
          <rPr>
            <b/>
            <sz val="10"/>
            <rFont val="Tahoma"/>
            <family val="2"/>
          </rPr>
          <t>ponkh:</t>
        </r>
        <r>
          <rPr>
            <sz val="10"/>
            <rFont val="Tahoma"/>
            <family val="2"/>
          </rPr>
          <t xml:space="preserve">
school did not report any numbers for this year</t>
        </r>
      </text>
    </comment>
    <comment ref="J674" authorId="4">
      <text>
        <r>
          <rPr>
            <b/>
            <sz val="10"/>
            <rFont val="Tahoma"/>
            <family val="2"/>
          </rPr>
          <t>ponkh:</t>
        </r>
        <r>
          <rPr>
            <sz val="10"/>
            <rFont val="Tahoma"/>
            <family val="2"/>
          </rPr>
          <t xml:space="preserve">
school did not report any numbers for this year</t>
        </r>
      </text>
    </comment>
    <comment ref="L674" authorId="4">
      <text>
        <r>
          <rPr>
            <b/>
            <sz val="10"/>
            <rFont val="Tahoma"/>
            <family val="2"/>
          </rPr>
          <t>ponkh:</t>
        </r>
        <r>
          <rPr>
            <sz val="10"/>
            <rFont val="Tahoma"/>
            <family val="2"/>
          </rPr>
          <t xml:space="preserve">
school did not report any numbers for this year</t>
        </r>
      </text>
    </comment>
    <comment ref="Q674" authorId="4">
      <text>
        <r>
          <rPr>
            <b/>
            <sz val="10"/>
            <rFont val="Tahoma"/>
            <family val="2"/>
          </rPr>
          <t>ponkh:</t>
        </r>
        <r>
          <rPr>
            <sz val="10"/>
            <rFont val="Tahoma"/>
            <family val="2"/>
          </rPr>
          <t xml:space="preserve">
from CSB</t>
        </r>
      </text>
    </comment>
    <comment ref="S674" authorId="4">
      <text>
        <r>
          <rPr>
            <b/>
            <sz val="10"/>
            <rFont val="Tahoma"/>
            <family val="2"/>
          </rPr>
          <t>ponkh:</t>
        </r>
        <r>
          <rPr>
            <sz val="10"/>
            <rFont val="Tahoma"/>
            <family val="2"/>
          </rPr>
          <t xml:space="preserve">
from CSB</t>
        </r>
      </text>
    </comment>
    <comment ref="B9" authorId="6">
      <text>
        <r>
          <rPr>
            <b/>
            <sz val="8"/>
            <rFont val="Tahoma"/>
            <family val="2"/>
          </rPr>
          <t>Met criteria for classification as a SREB Four-Year 3 in 2007-08.</t>
        </r>
      </text>
    </comment>
    <comment ref="B14" authorId="6">
      <text>
        <r>
          <rPr>
            <b/>
            <sz val="8"/>
            <rFont val="Tahoma"/>
            <family val="2"/>
          </rPr>
          <t>Met criteria for classification as a SREB Four-Year 5 in 2007-08.</t>
        </r>
      </text>
    </comment>
    <comment ref="B54" authorId="6">
      <text>
        <r>
          <rPr>
            <b/>
            <sz val="8"/>
            <rFont val="Tahoma"/>
            <family val="2"/>
          </rPr>
          <t>Met criteria for classification as a SREB Four-Year 5 in 2007-08.</t>
        </r>
      </text>
    </comment>
    <comment ref="B55" authorId="6">
      <text>
        <r>
          <rPr>
            <b/>
            <sz val="8"/>
            <rFont val="Tahoma"/>
            <family val="2"/>
          </rPr>
          <t>met the criteria for classification as a SREB Four-Year 6 in 2007-08.</t>
        </r>
      </text>
    </comment>
    <comment ref="B83" authorId="5">
      <text>
        <r>
          <rPr>
            <b/>
            <sz val="8"/>
            <rFont val="Tahoma"/>
            <family val="2"/>
          </rPr>
          <t>met the criteria for a SREB two-year 2 ("9") in 2007-08</t>
        </r>
      </text>
    </comment>
    <comment ref="B87" authorId="6">
      <text>
        <r>
          <rPr>
            <b/>
            <sz val="8"/>
            <rFont val="Tahoma"/>
            <family val="2"/>
          </rPr>
          <t>Reclassified: met the criteria for a SREB Four-Year 1 institution in 2005-06, 2006-07, 2007-08. Was a 4-year 2.</t>
        </r>
      </text>
    </comment>
    <comment ref="B88" authorId="6">
      <text>
        <r>
          <rPr>
            <b/>
            <sz val="8"/>
            <rFont val="Tahoma"/>
            <family val="2"/>
          </rPr>
          <t>met the criteria for a SREB Four-Year 1 institution in 2007-08</t>
        </r>
      </text>
    </comment>
    <comment ref="B93" authorId="5">
      <text>
        <r>
          <rPr>
            <b/>
            <sz val="8"/>
            <rFont val="Tahoma"/>
            <family val="2"/>
          </rPr>
          <t>met the criteria for a SREB Four-Year 4 institution in 2006-07, 2007-08</t>
        </r>
      </text>
    </comment>
    <comment ref="B100" authorId="5">
      <text>
        <r>
          <rPr>
            <b/>
            <sz val="8"/>
            <rFont val="Tahoma"/>
            <family val="2"/>
          </rPr>
          <t>met the criteria for a SREB two-year with bachelor's ("7")  in 2007-08</t>
        </r>
      </text>
    </comment>
    <comment ref="B116" authorId="5">
      <text>
        <r>
          <rPr>
            <b/>
            <sz val="8"/>
            <rFont val="Tahoma"/>
            <family val="2"/>
          </rPr>
          <t>met the criteria for a SREB two-year with bachelor's ("7")  in 2006-07, 2007-08</t>
        </r>
      </text>
    </comment>
    <comment ref="B117" authorId="5">
      <text>
        <r>
          <rPr>
            <b/>
            <sz val="8"/>
            <rFont val="Tahoma"/>
            <family val="2"/>
          </rPr>
          <t>met the criteria for a SREB two-year 1 ("8") in 2006-07, 2007-08</t>
        </r>
      </text>
    </comment>
    <comment ref="B118" authorId="5">
      <text>
        <r>
          <rPr>
            <b/>
            <sz val="8"/>
            <rFont val="Tahoma"/>
            <family val="2"/>
          </rPr>
          <t>met the criteria for a SREB two-year 1 ("8") in 2007-08</t>
        </r>
      </text>
    </comment>
    <comment ref="B140" authorId="5">
      <text>
        <r>
          <rPr>
            <b/>
            <sz val="8"/>
            <rFont val="Tahoma"/>
            <family val="2"/>
          </rPr>
          <t>Alicia A. Diaz:</t>
        </r>
        <r>
          <rPr>
            <sz val="8"/>
            <rFont val="Tahoma"/>
            <family val="2"/>
          </rPr>
          <t xml:space="preserve">
New this year</t>
        </r>
      </text>
    </comment>
    <comment ref="B145" authorId="6">
      <text>
        <r>
          <rPr>
            <b/>
            <sz val="8"/>
            <rFont val="Tahoma"/>
            <family val="2"/>
          </rPr>
          <t xml:space="preserve">Reclassified: met the criteria for a SREB two-year 2 ("9") in 2005-06, 2006-07, 2007-08. Was a 2-year 3 ("10").
</t>
        </r>
      </text>
    </comment>
    <comment ref="B147" authorId="5">
      <text>
        <r>
          <rPr>
            <b/>
            <sz val="8"/>
            <rFont val="Tahoma"/>
            <family val="2"/>
          </rPr>
          <t>met the criteria for a SREB two-year 1 ("8")  in 2007-08</t>
        </r>
      </text>
    </comment>
    <comment ref="B152" authorId="5">
      <text>
        <r>
          <rPr>
            <b/>
            <sz val="8"/>
            <rFont val="Tahoma"/>
            <family val="2"/>
          </rPr>
          <t>met the criteria for a SREB two-year 2 ("9") in 2006-07, 2007-08</t>
        </r>
      </text>
    </comment>
    <comment ref="C150" authorId="5">
      <text>
        <r>
          <rPr>
            <b/>
            <sz val="8"/>
            <rFont val="Tahoma"/>
            <family val="2"/>
          </rPr>
          <t>Includes what used to be Georgia Aviation Technical College.</t>
        </r>
      </text>
    </comment>
    <comment ref="B185" authorId="6">
      <text>
        <r>
          <rPr>
            <b/>
            <sz val="8"/>
            <rFont val="Tahoma"/>
            <family val="2"/>
          </rPr>
          <t>Reclassified: met the criteria for a SREB Tech Inst or Col 2 (a "13") in 2005-06, 2006-07 and 2007-08. Was a 12 previously.</t>
        </r>
      </text>
    </comment>
    <comment ref="B189" authorId="6">
      <text>
        <r>
          <rPr>
            <b/>
            <sz val="8"/>
            <rFont val="Tahoma"/>
            <family val="2"/>
          </rPr>
          <t>Reclassified: met the criteria for a SREB Tech Inst or Col 2 (a "13") in 2005-06, 2006-07 and 2007-08. Was a 12 previously.</t>
        </r>
      </text>
    </comment>
    <comment ref="B192" authorId="5">
      <text>
        <r>
          <rPr>
            <b/>
            <sz val="8"/>
            <rFont val="Tahoma"/>
            <family val="2"/>
          </rPr>
          <t>Met the criteria for SREB four-year 1 in 2006-07, 2007-08</t>
        </r>
      </text>
    </comment>
    <comment ref="B204" authorId="5">
      <text>
        <r>
          <rPr>
            <b/>
            <sz val="8"/>
            <rFont val="Tahoma"/>
            <family val="2"/>
          </rPr>
          <t>met the criteria for a SREB two-year 3 in 2006-07, 2007-08</t>
        </r>
      </text>
    </comment>
    <comment ref="B212" authorId="5">
      <text>
        <r>
          <rPr>
            <b/>
            <sz val="8"/>
            <rFont val="Tahoma"/>
            <family val="2"/>
          </rPr>
          <t>met the criteria for a SREB two-year 2 in 2006-07, 2007-08</t>
        </r>
      </text>
    </comment>
    <comment ref="B214" authorId="5">
      <text>
        <r>
          <rPr>
            <b/>
            <sz val="8"/>
            <rFont val="Tahoma"/>
            <family val="2"/>
          </rPr>
          <t>met the criteria for a SREB tech institute or college 1 in 2006-07, 2007-08</t>
        </r>
      </text>
    </comment>
    <comment ref="B227" authorId="6">
      <text>
        <r>
          <rPr>
            <b/>
            <sz val="8"/>
            <rFont val="Tahoma"/>
            <family val="2"/>
          </rPr>
          <t>met the criteria for classification as a SREB Four-year 4 institution in 2007-08.</t>
        </r>
      </text>
    </comment>
    <comment ref="B232" authorId="5">
      <text>
        <r>
          <rPr>
            <b/>
            <sz val="8"/>
            <rFont val="Tahoma"/>
            <family val="2"/>
          </rPr>
          <t>met the criteria for a SREB two-year 3 in 2007-08</t>
        </r>
      </text>
    </comment>
    <comment ref="B287" authorId="6">
      <text>
        <r>
          <rPr>
            <b/>
            <sz val="8"/>
            <rFont val="Tahoma"/>
            <family val="2"/>
          </rPr>
          <t>Reclassified: met the criteria for classification as a SREB Four-year 4 institution in 2005-06, 2006-07, 2007-08. Was a 4-year 5.</t>
        </r>
      </text>
    </comment>
    <comment ref="B289" authorId="5">
      <text>
        <r>
          <rPr>
            <b/>
            <sz val="8"/>
            <rFont val="Tahoma"/>
            <family val="2"/>
          </rPr>
          <t xml:space="preserve">met the criteria for classification as a SREB Four-year 3 institution in  2006-07. met the criteria for classification as a SREB Four-year 2 institution in  2007-08.
</t>
        </r>
      </text>
    </comment>
    <comment ref="B297" authorId="7">
      <text>
        <r>
          <rPr>
            <b/>
            <sz val="8"/>
            <rFont val="Tahoma"/>
            <family val="2"/>
          </rPr>
          <t>Reclassified: Met the criteria for Two-Year 2 in 2005-06, 2006-07, 2007-08. Was a two-year 3 (10)</t>
        </r>
      </text>
    </comment>
    <comment ref="B301" authorId="7">
      <text>
        <r>
          <rPr>
            <b/>
            <sz val="8"/>
            <rFont val="Tahoma"/>
            <family val="2"/>
          </rPr>
          <t>Reclassified: Met the criteria for Two-Year 2 in 2005-06, 2006-07, 2007-08. Was a two-year 3 (10)</t>
        </r>
      </text>
    </comment>
    <comment ref="B311" authorId="6">
      <text>
        <r>
          <rPr>
            <b/>
            <sz val="8"/>
            <rFont val="Tahoma"/>
            <family val="2"/>
          </rPr>
          <t>Reclassified: met the criteria for classification as a SREB Four-Year 1 institution in 2005-06, 2006-07, 2007-08. Was a 4 year 2.</t>
        </r>
      </text>
    </comment>
    <comment ref="B313" authorId="6">
      <text>
        <r>
          <rPr>
            <b/>
            <sz val="8"/>
            <rFont val="Tahoma"/>
            <family val="2"/>
          </rPr>
          <t>met the criteria for a SREB Four-Year 1 institution in 2007-08</t>
        </r>
      </text>
    </comment>
    <comment ref="B318" authorId="6">
      <text>
        <r>
          <rPr>
            <b/>
            <sz val="8"/>
            <rFont val="Tahoma"/>
            <family val="2"/>
          </rPr>
          <t>met the criteria for a SREB Four-Year 4 institution in 2007-08</t>
        </r>
      </text>
    </comment>
    <comment ref="B324" authorId="5">
      <text>
        <r>
          <rPr>
            <b/>
            <sz val="8"/>
            <rFont val="Tahoma"/>
            <family val="2"/>
          </rPr>
          <t>met criteria as a SREB two-year 3 ("10") institution in 2007-08.</t>
        </r>
      </text>
    </comment>
    <comment ref="B337" authorId="6">
      <text>
        <r>
          <rPr>
            <b/>
            <sz val="8"/>
            <rFont val="Tahoma"/>
            <family val="2"/>
          </rPr>
          <t>Reclassified: met the criteria for a SREB Four-Year 2 institution in 2005-06, 2006-07, 2007-08. Was a 4-year 3.</t>
        </r>
      </text>
    </comment>
    <comment ref="B347" authorId="6">
      <text>
        <r>
          <rPr>
            <b/>
            <sz val="8"/>
            <rFont val="Tahoma"/>
            <family val="2"/>
          </rPr>
          <t>Reclassified: met the criteria for a SREB Four-Year 5 institution in 2005-06, 2006-07, 2007-08. Was a 4-year 6.</t>
        </r>
      </text>
    </comment>
    <comment ref="B364" authorId="6">
      <text>
        <r>
          <rPr>
            <b/>
            <sz val="8"/>
            <rFont val="Tahoma"/>
            <family val="2"/>
          </rPr>
          <t>met the criteria for SREB Two-Year 3 in 2006-07, 2007-08</t>
        </r>
      </text>
    </comment>
    <comment ref="B402" authorId="5">
      <text>
        <r>
          <rPr>
            <b/>
            <sz val="8"/>
            <rFont val="Tahoma"/>
            <family val="2"/>
          </rPr>
          <t>met criteria as a SREB two-year 2 institution in 2006-07, 2007-08.</t>
        </r>
      </text>
    </comment>
    <comment ref="B416" authorId="5">
      <text>
        <r>
          <rPr>
            <b/>
            <sz val="8"/>
            <rFont val="Tahoma"/>
            <family val="2"/>
          </rPr>
          <t>met the criteria for a SREB four-year 6 in 2007-08.</t>
        </r>
      </text>
    </comment>
    <comment ref="B420" authorId="5">
      <text>
        <r>
          <rPr>
            <b/>
            <sz val="8"/>
            <rFont val="Tahoma"/>
            <family val="2"/>
          </rPr>
          <t>Reclassified: met the criteria for a SREB four-year 6 in 2005-06, 2006-07 and 2007-08. Was a 2-year with bachelor's.</t>
        </r>
      </text>
    </comment>
    <comment ref="B425" authorId="6">
      <text>
        <r>
          <rPr>
            <b/>
            <sz val="8"/>
            <rFont val="Tahoma"/>
            <family val="2"/>
          </rPr>
          <t>met criteria as a SREB Two-Year with Bachelor's in 2006-07, 2007-08</t>
        </r>
      </text>
    </comment>
    <comment ref="B439" authorId="5">
      <text>
        <r>
          <rPr>
            <b/>
            <sz val="8"/>
            <rFont val="Tahoma"/>
            <family val="2"/>
          </rPr>
          <t>met criteria as a SREB technical institute or college 2 ("13")  in 2007-08.</t>
        </r>
      </text>
    </comment>
    <comment ref="B443" authorId="5">
      <text>
        <r>
          <rPr>
            <b/>
            <sz val="8"/>
            <rFont val="Tahoma"/>
            <family val="2"/>
          </rPr>
          <t>met criteria as a SREB technical institute or college 1 ("12")  in 2007-08.</t>
        </r>
      </text>
    </comment>
    <comment ref="B489" authorId="6">
      <text>
        <r>
          <rPr>
            <b/>
            <sz val="8"/>
            <rFont val="Tahoma"/>
            <family val="2"/>
          </rPr>
          <t>met the criteria for a SREB Four-Year 6 institution in 2007-08</t>
        </r>
      </text>
    </comment>
    <comment ref="B493" authorId="6">
      <text>
        <r>
          <rPr>
            <b/>
            <sz val="8"/>
            <rFont val="Tahoma"/>
            <family val="2"/>
          </rPr>
          <t>met the criteria for a SREB Four-Year 6 institution in 2007-08</t>
        </r>
      </text>
    </comment>
    <comment ref="B516" authorId="5">
      <text>
        <r>
          <rPr>
            <b/>
            <sz val="8"/>
            <rFont val="Tahoma"/>
            <family val="2"/>
          </rPr>
          <t>Met the criteria for SREB four-year 1 in 2007-08</t>
        </r>
      </text>
    </comment>
    <comment ref="B522" authorId="5">
      <text>
        <r>
          <rPr>
            <b/>
            <sz val="8"/>
            <rFont val="Tahoma"/>
            <family val="2"/>
          </rPr>
          <t xml:space="preserve">met the criteria for a SREB Four-Year 3 institution in 2007-08
</t>
        </r>
      </text>
    </comment>
    <comment ref="B570" authorId="6">
      <text>
        <r>
          <rPr>
            <b/>
            <sz val="8"/>
            <rFont val="Tahoma"/>
            <family val="2"/>
          </rPr>
          <t>Reclassified: met the criteria for a SREB Four-Year 1 institution in 2005-06, 2006-07, 2007-08. Was a 4-year 2.</t>
        </r>
      </text>
    </comment>
    <comment ref="B572" authorId="5">
      <text>
        <r>
          <rPr>
            <b/>
            <sz val="8"/>
            <rFont val="Tahoma"/>
            <family val="2"/>
          </rPr>
          <t xml:space="preserve">met the criteria for a SREB Four-Year 1 institution in 2006-07, 2007-08.
</t>
        </r>
      </text>
    </comment>
    <comment ref="B587" authorId="5">
      <text>
        <r>
          <rPr>
            <b/>
            <sz val="8"/>
            <rFont val="Tahoma"/>
            <family val="2"/>
          </rPr>
          <t>met the criteria for a SREB Four-Year 2 institution in 2006-07, 2007-08</t>
        </r>
      </text>
    </comment>
    <comment ref="B588" authorId="5">
      <text>
        <r>
          <rPr>
            <b/>
            <sz val="8"/>
            <rFont val="Tahoma"/>
            <family val="2"/>
          </rPr>
          <t>met the criteria for a SREB Four-Year 2 institution in 2007-08</t>
        </r>
      </text>
    </comment>
    <comment ref="B593" authorId="5">
      <text>
        <r>
          <rPr>
            <b/>
            <sz val="8"/>
            <rFont val="Tahoma"/>
            <family val="2"/>
          </rPr>
          <t xml:space="preserve">met the criteria for a SREB Four-Year 3 institution in 2007-08
</t>
        </r>
      </text>
    </comment>
    <comment ref="B595" authorId="5">
      <text>
        <r>
          <rPr>
            <b/>
            <sz val="8"/>
            <rFont val="Tahoma"/>
            <family val="2"/>
          </rPr>
          <t xml:space="preserve">met the criteria for a SREB Four-Year 3 institution in 2006-07, 2007-08
</t>
        </r>
      </text>
    </comment>
    <comment ref="B598" authorId="5">
      <text>
        <r>
          <rPr>
            <b/>
            <sz val="8"/>
            <rFont val="Tahoma"/>
            <family val="2"/>
          </rPr>
          <t xml:space="preserve">met the criteria for a SREB Four-Year 4 institution in 2007-08
</t>
        </r>
      </text>
    </comment>
    <comment ref="B612" authorId="6">
      <text>
        <r>
          <rPr>
            <b/>
            <sz val="8"/>
            <color indexed="8"/>
            <rFont val="Tahoma"/>
            <family val="2"/>
          </rPr>
          <t>Reclassified: met criteria for classification as a SREB Two-Year 1 ("8") in 2005-06, 2006-07, 2007-08. Was a 2-year 2 ("9").</t>
        </r>
      </text>
    </comment>
    <comment ref="B621" authorId="6">
      <text>
        <r>
          <rPr>
            <b/>
            <sz val="8"/>
            <rFont val="Tahoma"/>
            <family val="2"/>
          </rPr>
          <t>met criteria as a SREB Two-Year with Bachelor's ("7") in 2007-08.</t>
        </r>
      </text>
    </comment>
    <comment ref="B628" authorId="6">
      <text>
        <r>
          <rPr>
            <b/>
            <sz val="8"/>
            <rFont val="Tahoma"/>
            <family val="2"/>
          </rPr>
          <t>met criteria as a SREB Two-Year with Bachelor's ("7") in 2007-08.</t>
        </r>
      </text>
    </comment>
    <comment ref="B640" authorId="6">
      <text>
        <r>
          <rPr>
            <b/>
            <sz val="8"/>
            <rFont val="Tahoma"/>
            <family val="2"/>
          </rPr>
          <t>met criteria as a SREB Two-Year with Bachelor's ("7") in 2007-08.</t>
        </r>
      </text>
    </comment>
    <comment ref="B659" authorId="6">
      <text>
        <r>
          <rPr>
            <b/>
            <sz val="8"/>
            <color indexed="8"/>
            <rFont val="Tahoma"/>
            <family val="2"/>
          </rPr>
          <t>Reclassified: met criteria for classification as a SREB Two-Year 3 ("10") in 2005-06, 2006-07, 2007-08. Was a 2-year 2 ("9").</t>
        </r>
      </text>
    </comment>
    <comment ref="B660" authorId="5">
      <text>
        <r>
          <rPr>
            <b/>
            <sz val="8"/>
            <rFont val="Tahoma"/>
            <family val="2"/>
          </rPr>
          <t>Alicia A. Diaz:</t>
        </r>
        <r>
          <rPr>
            <sz val="8"/>
            <rFont val="Tahoma"/>
            <family val="2"/>
          </rPr>
          <t xml:space="preserve">
new in 2007-08</t>
        </r>
      </text>
    </comment>
    <comment ref="C660" authorId="5">
      <text>
        <r>
          <rPr>
            <b/>
            <sz val="8"/>
            <rFont val="Tahoma"/>
            <family val="2"/>
          </rPr>
          <t>Alicia A. Diaz:</t>
        </r>
        <r>
          <rPr>
            <sz val="8"/>
            <rFont val="Tahoma"/>
            <family val="2"/>
          </rPr>
          <t xml:space="preserve">
Not assigned until SACS accreditation</t>
        </r>
      </text>
    </comment>
    <comment ref="B680" authorId="6">
      <text>
        <r>
          <rPr>
            <b/>
            <sz val="8"/>
            <rFont val="Tahoma"/>
            <family val="2"/>
          </rPr>
          <t>Met criteria for classification as a SREB Four-Year 1 in 2006-07, 2007-08.</t>
        </r>
      </text>
    </comment>
    <comment ref="B681" authorId="6">
      <text>
        <r>
          <rPr>
            <b/>
            <sz val="8"/>
            <rFont val="Tahoma"/>
            <family val="2"/>
          </rPr>
          <t>Met criteria for classification as a SREB Four-Year 1 in 2007-08.</t>
        </r>
      </text>
    </comment>
    <comment ref="B683" authorId="6">
      <text>
        <r>
          <rPr>
            <b/>
            <sz val="8"/>
            <rFont val="Tahoma"/>
            <family val="2"/>
          </rPr>
          <t>Met criteria for classification as a SREB Four-Year 4 in 2007-08.</t>
        </r>
      </text>
    </comment>
    <comment ref="B684" authorId="6">
      <text>
        <r>
          <rPr>
            <b/>
            <sz val="8"/>
            <rFont val="Tahoma"/>
            <family val="2"/>
          </rPr>
          <t>Met criteria for classification as a SREB Four-Year 5 in 2007-08.</t>
        </r>
      </text>
    </comment>
    <comment ref="B685" authorId="6">
      <text>
        <r>
          <rPr>
            <b/>
            <sz val="8"/>
            <rFont val="Tahoma"/>
            <family val="2"/>
          </rPr>
          <t>Met criteria for classification as a SREB Four-Year 3 in 2007-08.</t>
        </r>
      </text>
    </comment>
    <comment ref="B701" authorId="6">
      <text>
        <r>
          <rPr>
            <b/>
            <sz val="8"/>
            <rFont val="Tahoma"/>
            <family val="2"/>
          </rPr>
          <t>met the criteria for classification as a SREB Two-Year 3 "10" in 2006-07, 2007-08.</t>
        </r>
      </text>
    </comment>
    <comment ref="B719" authorId="6">
      <text>
        <r>
          <rPr>
            <b/>
            <sz val="8"/>
            <rFont val="Tahoma"/>
            <family val="2"/>
          </rPr>
          <t>met the criteria for a SREB Four-Year 5 institution in 2007-08</t>
        </r>
      </text>
    </comment>
    <comment ref="B726" authorId="5">
      <text>
        <r>
          <rPr>
            <b/>
            <sz val="8"/>
            <rFont val="Tahoma"/>
            <family val="2"/>
          </rPr>
          <t>met criteria as a SREB two-year 3 ("10") institution in 2007-08.</t>
        </r>
      </text>
    </comment>
    <comment ref="B732" authorId="5">
      <text>
        <r>
          <rPr>
            <b/>
            <sz val="8"/>
            <rFont val="Tahoma"/>
            <family val="2"/>
          </rPr>
          <t>met criteria as a SREB two-year with bachelor's ("7") institution in 2007-08.</t>
        </r>
      </text>
    </comment>
    <comment ref="B734" authorId="5">
      <text>
        <r>
          <rPr>
            <b/>
            <sz val="8"/>
            <rFont val="Tahoma"/>
            <family val="2"/>
          </rPr>
          <t>met criteria as a SREB two-year 2 ("9") institution in 2006-07, 2007-08.</t>
        </r>
      </text>
    </comment>
    <comment ref="C726" authorId="5">
      <text>
        <r>
          <rPr>
            <b/>
            <sz val="8"/>
            <rFont val="Tahoma"/>
            <family val="2"/>
          </rPr>
          <t>Formerly Fairmont State Community &amp; Technical College</t>
        </r>
      </text>
    </comment>
    <comment ref="C727" authorId="5">
      <text>
        <r>
          <rPr>
            <b/>
            <sz val="8"/>
            <rFont val="Tahoma"/>
            <family val="2"/>
          </rPr>
          <t>Formerly Community &amp; Technical College of Shepherd</t>
        </r>
      </text>
    </comment>
    <comment ref="B690" authorId="5">
      <text>
        <r>
          <rPr>
            <b/>
            <sz val="14"/>
            <color indexed="10"/>
            <rFont val="Tahoma"/>
            <family val="2"/>
          </rPr>
          <t>Footnote for Table</t>
        </r>
        <r>
          <rPr>
            <b/>
            <sz val="14"/>
            <rFont val="Tahoma"/>
            <family val="2"/>
          </rPr>
          <t xml:space="preserve">
*In Virginia, mandatory fees for 2006-07 vary by institution up to $310 per academic year, and are not included. </t>
        </r>
        <r>
          <rPr>
            <b/>
            <sz val="14"/>
            <color indexed="10"/>
            <rFont val="Tahoma"/>
            <family val="2"/>
          </rPr>
          <t>(Please edit for new year or include fees in institution totals)</t>
        </r>
      </text>
    </comment>
  </commentList>
</comments>
</file>

<file path=xl/comments11.xml><?xml version="1.0" encoding="utf-8"?>
<comments xmlns="http://schemas.openxmlformats.org/spreadsheetml/2006/main">
  <authors>
    <author>mloverde</author>
  </authors>
  <commentList>
    <comment ref="A1" authorId="0">
      <text>
        <r>
          <rPr>
            <b/>
            <sz val="8"/>
            <rFont val="Tahoma"/>
            <family val="2"/>
          </rPr>
          <t>when computing medians for All 4-yr schools, do not include specialized institutions (type 15)</t>
        </r>
      </text>
    </comment>
  </commentList>
</comments>
</file>

<file path=xl/comments12.xml><?xml version="1.0" encoding="utf-8"?>
<comments xmlns="http://schemas.openxmlformats.org/spreadsheetml/2006/main">
  <authors>
    <author>jmarks</author>
  </authors>
  <commentList>
    <comment ref="E2" authorId="0">
      <text>
        <r>
          <rPr>
            <b/>
            <sz val="10"/>
            <rFont val="Tahoma"/>
            <family val="2"/>
          </rPr>
          <t>jmarks:</t>
        </r>
        <r>
          <rPr>
            <sz val="10"/>
            <rFont val="Tahoma"/>
            <family val="2"/>
          </rPr>
          <t xml:space="preserve">
all ACM states have at least that waiver</t>
        </r>
      </text>
    </comment>
  </commentList>
</comments>
</file>

<file path=xl/comments14.xml><?xml version="1.0" encoding="utf-8"?>
<comments xmlns="http://schemas.openxmlformats.org/spreadsheetml/2006/main">
  <authors>
    <author>JLM</author>
    <author>DTAE</author>
  </authors>
  <commentList>
    <comment ref="M1" authorId="0">
      <text>
        <r>
          <rPr>
            <b/>
            <sz val="10"/>
            <rFont val="Tahoma"/>
            <family val="2"/>
          </rPr>
          <t xml:space="preserve">JLM: </t>
        </r>
        <r>
          <rPr>
            <sz val="10"/>
            <color indexed="18"/>
            <rFont val="Tahoma"/>
            <family val="2"/>
          </rPr>
          <t>Please update this table to reflect any mid-year tuition/fee increases during 2007-08.  Color code new entries even is they remain the same so we know  you completed this section.</t>
        </r>
      </text>
    </comment>
    <comment ref="M14" authorId="1">
      <text>
        <r>
          <rPr>
            <b/>
            <sz val="8"/>
            <rFont val="Tahoma"/>
            <family val="2"/>
          </rPr>
          <t>DTAE:</t>
        </r>
        <r>
          <rPr>
            <sz val="8"/>
            <rFont val="Tahoma"/>
            <family val="2"/>
          </rPr>
          <t xml:space="preserve">
</t>
        </r>
        <r>
          <rPr>
            <sz val="8"/>
            <color indexed="10"/>
            <rFont val="Tahoma"/>
            <family val="2"/>
          </rPr>
          <t>Starting in Winter Quarter (January 2008) per credit hour charges  increased from $31 to $36.  Therefore, tuition for a full time student per term/quarter is $432.  Out-of-state is (and has been) double the in-state amount - now $72 per credit hour and $864 per quarter. For Non-resident aliens it is four times the amount - $144 per credit hour and $1,728 per quarter
This increase is represented in the Fall IPEDS/SREB Tuition Numbers reported since IPEDS advised us to go ahead report the new costs in Fall even though they did not start until Winter Quarter</t>
        </r>
      </text>
    </comment>
  </commentList>
</comments>
</file>

<file path=xl/comments2.xml><?xml version="1.0" encoding="utf-8"?>
<comments xmlns="http://schemas.openxmlformats.org/spreadsheetml/2006/main">
  <authors>
    <author>DTAE</author>
  </authors>
  <commentList>
    <comment ref="M14" authorId="0">
      <text>
        <r>
          <rPr>
            <b/>
            <sz val="8"/>
            <rFont val="Tahoma"/>
            <family val="2"/>
          </rPr>
          <t>DTAE:</t>
        </r>
        <r>
          <rPr>
            <sz val="8"/>
            <rFont val="Tahoma"/>
            <family val="2"/>
          </rPr>
          <t xml:space="preserve">
</t>
        </r>
        <r>
          <rPr>
            <sz val="8"/>
            <color indexed="10"/>
            <rFont val="Tahoma"/>
            <family val="2"/>
          </rPr>
          <t>Starting in Winter Quarter (January 2008) per credit hour charges  increased from $31 to $36.  Therefore, tuition for a full time student per term/quarter is $432.  Out-of-state is (and has been) double the in-state amount - now $72 per credit hour and $864 per quarter. For Non-resident aliens it is four times the amount - $144 per credit hour and $1,728 per quarter
This increase is represented in the Fall IPEDS/SREB Tuition Numbers reported since IPEDS advised us to go ahead report the new costs in Fall even though they did not start until Winter Quarter</t>
        </r>
      </text>
    </comment>
  </commentList>
</comments>
</file>

<file path=xl/sharedStrings.xml><?xml version="1.0" encoding="utf-8"?>
<sst xmlns="http://schemas.openxmlformats.org/spreadsheetml/2006/main" count="2911" uniqueCount="1118">
  <si>
    <t>Augusta State University</t>
  </si>
  <si>
    <t>Fort Valley State University</t>
  </si>
  <si>
    <t>Georgia Southwestern State University</t>
  </si>
  <si>
    <t>North Georgia College and State University</t>
  </si>
  <si>
    <t>Savannah State University</t>
  </si>
  <si>
    <t>Clayton State University</t>
  </si>
  <si>
    <t xml:space="preserve">Macon State College </t>
  </si>
  <si>
    <t xml:space="preserve">Dalton State College </t>
  </si>
  <si>
    <t xml:space="preserve">Georgia Perimeter College </t>
  </si>
  <si>
    <t xml:space="preserve">Abraham Baldwin Agricultural College </t>
  </si>
  <si>
    <t xml:space="preserve">Darton College </t>
  </si>
  <si>
    <t xml:space="preserve">Gainesville State College </t>
  </si>
  <si>
    <t xml:space="preserve">Georgia Highlands College </t>
  </si>
  <si>
    <t xml:space="preserve">Gordon College </t>
  </si>
  <si>
    <t xml:space="preserve">Middle Georgia College </t>
  </si>
  <si>
    <t>Atlanta Metropolitan College</t>
  </si>
  <si>
    <t xml:space="preserve">Bainbridge College </t>
  </si>
  <si>
    <t>Coastal Georgia Community College</t>
  </si>
  <si>
    <t>East Georgia College</t>
  </si>
  <si>
    <t xml:space="preserve">South Georgia College </t>
  </si>
  <si>
    <t xml:space="preserve">Waycross College </t>
  </si>
  <si>
    <t>Medical College of Georgia</t>
  </si>
  <si>
    <t>Southern Polytechnic State University</t>
  </si>
  <si>
    <t>Louisiana State University and A &amp; M College</t>
  </si>
  <si>
    <t xml:space="preserve">Louisiana Tech University </t>
  </si>
  <si>
    <t>University of Louisiana at Lafayette</t>
  </si>
  <si>
    <t>University of New Orleans</t>
  </si>
  <si>
    <t xml:space="preserve">Southeastern Louisiana University </t>
  </si>
  <si>
    <t xml:space="preserve">Southern University and A&amp;M College at Baton Rouge </t>
  </si>
  <si>
    <t>University of Louisiana at Monroe</t>
  </si>
  <si>
    <t>Grambling State University</t>
  </si>
  <si>
    <t>Louisiana State University in Shreveport</t>
  </si>
  <si>
    <t>McNeese State University</t>
  </si>
  <si>
    <t xml:space="preserve">Nicholls State University </t>
  </si>
  <si>
    <t>Northwestern State University</t>
  </si>
  <si>
    <t>Southern University at New Orleans</t>
  </si>
  <si>
    <t>Louisiana State University at Alexandria</t>
  </si>
  <si>
    <t>December 2008</t>
  </si>
  <si>
    <t>Public Four-Year Institutions, 2007-08</t>
  </si>
  <si>
    <t>Public Institutions, 2007-08</t>
  </si>
  <si>
    <t xml:space="preserve">Notes: The amounts shown for each state are the medians (middle values) of the institutions in each state. The "SREB states median" is the middle value of all institutions of each type. Full-time undergraduate students are defined by a 30 credit hour load per year. For two-year colleges, "in-district" rates are reported in the "in-state" column and "out-of-district" may be reported in the "out-of-state" column, if no other out-of-state rates apply. In Technical Institutes and Colleges in Georgia, degree program students are charged slightly higher fees than those shown above that reflect charges to students in certificate or diploma programs. </t>
  </si>
  <si>
    <r>
      <t>1</t>
    </r>
    <r>
      <rPr>
        <sz val="8"/>
        <rFont val="Arial"/>
        <family val="2"/>
      </rPr>
      <t xml:space="preserve"> Increase beginning Spring 2008</t>
    </r>
  </si>
  <si>
    <t>4</t>
  </si>
  <si>
    <r>
      <t>2</t>
    </r>
    <r>
      <rPr>
        <sz val="8"/>
        <rFont val="Arial"/>
        <family val="2"/>
      </rPr>
      <t xml:space="preserve"> Increase beginning Winter 2008</t>
    </r>
  </si>
  <si>
    <t xml:space="preserve">Pensacola Junior College </t>
  </si>
  <si>
    <t xml:space="preserve">Polk Community College </t>
  </si>
  <si>
    <t xml:space="preserve">St. Johns River Community College </t>
  </si>
  <si>
    <t xml:space="preserve">St. Petersburg College </t>
  </si>
  <si>
    <t xml:space="preserve">Santa Fe Community College </t>
  </si>
  <si>
    <t xml:space="preserve">Seminole Community College </t>
  </si>
  <si>
    <t xml:space="preserve">South Florida Community College </t>
  </si>
  <si>
    <t xml:space="preserve">Tallahassee Community College </t>
  </si>
  <si>
    <t xml:space="preserve">Valencia Community College </t>
  </si>
  <si>
    <t xml:space="preserve">Indian Capital Technology Center-Stilwell         </t>
  </si>
  <si>
    <t xml:space="preserve">Indian Capital Technology Center-Tahlequah        </t>
  </si>
  <si>
    <t xml:space="preserve">Kiamichi Technology Center-Atoka                  </t>
  </si>
  <si>
    <t xml:space="preserve">Kiamichi Technology Center-Durant                 </t>
  </si>
  <si>
    <t xml:space="preserve">Kiamichi Technology Center-Hugo                   </t>
  </si>
  <si>
    <t xml:space="preserve">Kiamichi Technology Center-Idabel                 </t>
  </si>
  <si>
    <t xml:space="preserve">Kiamichi Technology Center-McAlester              </t>
  </si>
  <si>
    <t xml:space="preserve">Kiamichi Technology Center-Poteau                 </t>
  </si>
  <si>
    <t xml:space="preserve">Kiamichi Technology Center-Spiro                  </t>
  </si>
  <si>
    <t xml:space="preserve">Kiamichi Technology Center-Stigler                </t>
  </si>
  <si>
    <t xml:space="preserve">Kiamichi Technology Center-Talihina               </t>
  </si>
  <si>
    <t xml:space="preserve">Meridian Technology Center                        </t>
  </si>
  <si>
    <t xml:space="preserve">Mid-America Technology Center                     </t>
  </si>
  <si>
    <t xml:space="preserve">Mid-Del Technology Center                         </t>
  </si>
  <si>
    <t xml:space="preserve">Northeast Technology Center-Afton                 </t>
  </si>
  <si>
    <t xml:space="preserve">Northeast Technology Center-Kansas                </t>
  </si>
  <si>
    <t xml:space="preserve">Northeast Technology Center-Pryor                 </t>
  </si>
  <si>
    <t xml:space="preserve">Northwest Technology Center-Alva                  </t>
  </si>
  <si>
    <t xml:space="preserve">Northwest Technology Center-Fairview              </t>
  </si>
  <si>
    <t xml:space="preserve">Pioneer Technology Center                         </t>
  </si>
  <si>
    <t xml:space="preserve">Pontotoc Technology Center                        </t>
  </si>
  <si>
    <t xml:space="preserve">Red River Technology Center                       </t>
  </si>
  <si>
    <t xml:space="preserve">Southern Oklahoma Technology Center               </t>
  </si>
  <si>
    <t xml:space="preserve">Southwest Technology Center                       </t>
  </si>
  <si>
    <t xml:space="preserve">Tri County Technology Center                      </t>
  </si>
  <si>
    <t xml:space="preserve">Tulsa County Area Voc Tech School Dist 18-Peoria  </t>
  </si>
  <si>
    <t xml:space="preserve">Tulsa Technology Center-Lemley Campus             </t>
  </si>
  <si>
    <t xml:space="preserve">Tulsa Technology Center-Riverside Campus          </t>
  </si>
  <si>
    <t xml:space="preserve">Wes Watkins Technology Center                     </t>
  </si>
  <si>
    <t xml:space="preserve">Western Technology Center                         </t>
  </si>
  <si>
    <t xml:space="preserve">There are no general state statutes or Board policies that require tuition and fee revenues to be devoted to capital funding. Certain fees authorized by the Legislature for individual institutions have been specifically dedicated for facility use and maintenance. Other sources of capital funding are: general obligation bonds, "Third-party" issued bonds secured with state appropriations or self-generated revenue, donations, and self-generated from Federal grants/contracts.  </t>
  </si>
  <si>
    <t>No statewide policy. Varies by institution.</t>
  </si>
  <si>
    <t xml:space="preserve">West Virginia Higher Education Policy Commission and the WV Council for Community &amp; Technical College Education </t>
  </si>
  <si>
    <t>Institutional governing boards with final approval of the West Virginia Higher Education Policy Commission and the WV Council for Community &amp; Technical College Education.</t>
  </si>
  <si>
    <t xml:space="preserve">By the credit hour, but capped at 12 credit hours for undergraduate students and 9 credit hours for graduate students. </t>
  </si>
  <si>
    <t>There is no special/unique rate.</t>
  </si>
  <si>
    <t>Four-Year 1</t>
  </si>
  <si>
    <t>Four-Year 2</t>
  </si>
  <si>
    <t>Four-Year 3</t>
  </si>
  <si>
    <t>Four-Year 4</t>
  </si>
  <si>
    <t>Four-Year 5</t>
  </si>
  <si>
    <t>Four-Year 6</t>
  </si>
  <si>
    <t>Two-Year w/ bachs (7)</t>
  </si>
  <si>
    <t>Two-Year 1 (8)</t>
  </si>
  <si>
    <t>Two-Year 2 (9)</t>
  </si>
  <si>
    <t>Full-time students are charged a set amount of tuition and fees. Part-time students are charged a per semester credit hour amount.</t>
  </si>
  <si>
    <t>General Assembly and the State Board of Community Colleges within policies established by the General Assembly.</t>
  </si>
  <si>
    <t>Tuition based on budgetary needs of the system. Out-of-state students at community colleges pay the full cost of instruction.</t>
  </si>
  <si>
    <t xml:space="preserve">Public four-year institutions may award unfunded scholarships to non-Virginia residents in an amount not to exceed the out-of-state differential in tuition and fees. The number and value of awards may not exceed 20% of the enrollment of non-Virginia students during the preceding year. Graduate students must be awarded assistantships. Non-resident fees are waived for students in the SREB Academic Common Market program. </t>
  </si>
  <si>
    <t>(E) Students selected to participate in a program offered through the SREB Academic Common Market program. (A)
(F) Students enrolled as part of the Competitive Economic Development projects, pilot programs, ICAPP® Advantage programs, and direct exchange programs. (K,M,N,O)
(G) Students who are employed by Georgia-based Corporations. (L)
(H) Students who are dependents of families moving to Georgia and (P)
(I) Students who are recently separated military service personnel enrolled in a program for teacher certification and demonstrate an intent to become a permanent resident of Georgia. (Q) (J) Nonresident student whose parent, spouse or legal guardian establishes domicle in another state after having maintained domicile in Georgia for at least 12 consecutive months.</t>
  </si>
  <si>
    <t xml:space="preserve">Tuition rates are set annually by the Board of Governors (BOG) and reviewed/affirmed by the North Carolina General Assembly when it adopts the state's budget. Recommendations for increases in resident tuition rates are made to the BOG through an extensive collaborative process involving all of the constituent institutions and a review of relevant external indices (CPI, HEPI, NCPCPI). Increases in graduate tuition further reflect the increased costs of graduate education over undergraduate education. Nonresident tuition is set in accord with state law that requires comparability with peer institutions nationwide. Institutions may further request that the BOG approve institution-specific increases, either for all students or for students in specific programs. In addition to the BOG tuition and fees policy, the Board adopted a four-year plan to establish tuition and fee rates for resident undergraduate students. Rate increases cannot exceed 6.5% for the next four years for undergraduate resident students. </t>
  </si>
  <si>
    <t>In addition, undergraduate resident tuition and fee rates must remain in the lowest quarter of their peer institutions. Nonresident undergraduate tuition and fee rates cannot exceed the third quarter of their peer institutions.</t>
  </si>
  <si>
    <t>Legislature sets limits on tuition increases. Tuition rate is based on cost of instruction: Resident students are expected to pay 1/3 of cost of instruction, non-residents should pay 100%. Tuition increases limits are developed in comparison to peer institutions.</t>
  </si>
  <si>
    <t>Are there policies on waiving, reducing or remitting non-resident tuition?</t>
  </si>
  <si>
    <t>Are there caps or limits placed on non-resident enrollment?</t>
  </si>
  <si>
    <t>Are there tuition reciprocity agreements? Please describe.</t>
  </si>
  <si>
    <t>Do you participate in the SREB Academic Common Market?</t>
  </si>
  <si>
    <t>Each institution establishes its policies. The number of waivers must be reported to the Commission on Higher Education. Waivers are limited to 4% of the undergraduate student body.  These are in addition to the waivers which are specifically provided for in law which include military personnel and their dependents, employees and their dependents, retired employees and their dependents, students participating in the SREB Academic Common Market, students receiving fellowships, students with scholarships approved by Board of Trustees, students falling under reciprocity agreements approved by the General Assembly, non-resident aliens in approved VISA classifications and all graduate assistants.</t>
  </si>
  <si>
    <t>University of Louisville</t>
  </si>
  <si>
    <t xml:space="preserve">Eastern Kentucky University </t>
  </si>
  <si>
    <t xml:space="preserve">Murray State University </t>
  </si>
  <si>
    <t xml:space="preserve">Western Kentucky University </t>
  </si>
  <si>
    <t xml:space="preserve">Morehead State University </t>
  </si>
  <si>
    <t xml:space="preserve">Northern Kentucky University </t>
  </si>
  <si>
    <t xml:space="preserve">Kentucky State University </t>
  </si>
  <si>
    <t>Bluegrass Community and Technical College</t>
  </si>
  <si>
    <t xml:space="preserve">Jefferson Community and Technical College </t>
  </si>
  <si>
    <t>Ashland Community and Technical College</t>
  </si>
  <si>
    <t xml:space="preserve">Big Sandy Community and Technical College </t>
  </si>
  <si>
    <t xml:space="preserve">Elizabethtown Community and Technical College </t>
  </si>
  <si>
    <t>Hazard Community and Technical College</t>
  </si>
  <si>
    <t>Madisonville Community College</t>
  </si>
  <si>
    <t xml:space="preserve">Owensboro Community and Technical College </t>
  </si>
  <si>
    <t xml:space="preserve">Somerset Community and Technical College </t>
  </si>
  <si>
    <t>Southeast Kentucky Community and Technical College</t>
  </si>
  <si>
    <t>West Kentucky Community and Technical College</t>
  </si>
  <si>
    <t xml:space="preserve">Henderson Community College </t>
  </si>
  <si>
    <t xml:space="preserve">Hopkinsville Community College </t>
  </si>
  <si>
    <t xml:space="preserve">Maysville Community and Technical College </t>
  </si>
  <si>
    <t>Gateway Community and Technical College</t>
  </si>
  <si>
    <t>Bowling Green Technical College</t>
  </si>
  <si>
    <t>Texas A &amp; M University</t>
  </si>
  <si>
    <t>Texas Tech University</t>
  </si>
  <si>
    <t>University of Houston</t>
  </si>
  <si>
    <t>University of North Texas</t>
  </si>
  <si>
    <t>University of Texas at Austin</t>
  </si>
  <si>
    <t>Texas Woman's University</t>
  </si>
  <si>
    <t>University of Texas at Arlington</t>
  </si>
  <si>
    <t>University of Texas at Dallas</t>
  </si>
  <si>
    <t>Angelo State University</t>
  </si>
  <si>
    <t>Lamar University</t>
  </si>
  <si>
    <t>Midwestern State University</t>
  </si>
  <si>
    <t>Prairie View A &amp; M University</t>
  </si>
  <si>
    <t xml:space="preserve">Sam Houston State University </t>
  </si>
  <si>
    <t>Stephen F. Austin State University</t>
  </si>
  <si>
    <t xml:space="preserve">Sul Ross State University </t>
  </si>
  <si>
    <t>Tarleton State University</t>
  </si>
  <si>
    <t>Texas A &amp; M - Commerce</t>
  </si>
  <si>
    <t>Texas A &amp; M University-Corpus Christi</t>
  </si>
  <si>
    <t>Texas A &amp; M University-Kingsville</t>
  </si>
  <si>
    <t>Texas Southern University</t>
  </si>
  <si>
    <t>Texas State University-San Marcos (previously Southwest Texas State University)</t>
  </si>
  <si>
    <t>University of Houston-Clear Lake</t>
  </si>
  <si>
    <t>University of Texas at El Paso</t>
  </si>
  <si>
    <t>University of Texas at San Antonio</t>
  </si>
  <si>
    <t>University of Texas at Tyler</t>
  </si>
  <si>
    <t>University of Texas-Pan American</t>
  </si>
  <si>
    <t>West Texas A &amp; M University</t>
  </si>
  <si>
    <t>Texas A &amp; M -Texarkana</t>
  </si>
  <si>
    <t>Texas A&amp;M International University</t>
  </si>
  <si>
    <t>University of Texas at Brownsville</t>
  </si>
  <si>
    <t>University of Texas of the Permian Basin</t>
  </si>
  <si>
    <t>Sul Ross State University-Rio Grande College</t>
  </si>
  <si>
    <t>228501B</t>
  </si>
  <si>
    <t>University of Houston-Downtown</t>
  </si>
  <si>
    <t>University of Houston-Victoria</t>
  </si>
  <si>
    <t>Texas A &amp; M University at Galveston</t>
  </si>
  <si>
    <t xml:space="preserve">Amarillo College </t>
  </si>
  <si>
    <t xml:space="preserve">Austin Community College </t>
  </si>
  <si>
    <t xml:space="preserve">Blinn College </t>
  </si>
  <si>
    <t>Brookhaven College  (DCCCD)</t>
  </si>
  <si>
    <t xml:space="preserve">Central Texas College </t>
  </si>
  <si>
    <t>Collin County Community College District</t>
  </si>
  <si>
    <t xml:space="preserve">Del Mar College </t>
  </si>
  <si>
    <t>Eastfield College  (DCCCD)</t>
  </si>
  <si>
    <t>El Paso County Community College District</t>
  </si>
  <si>
    <t>Houston Community College</t>
  </si>
  <si>
    <t xml:space="preserve">Laredo Community College </t>
  </si>
  <si>
    <t xml:space="preserve">McLennan Community College </t>
  </si>
  <si>
    <t>North Harris Montgomery Community College District</t>
  </si>
  <si>
    <t>North Lake College  (DCCCD)</t>
  </si>
  <si>
    <t>Northwest Vista College (ACCD)</t>
  </si>
  <si>
    <t>Palo Alto College (ACCD)</t>
  </si>
  <si>
    <t>Richland College  (DCCCD)</t>
  </si>
  <si>
    <t>San Antonio College (ACCD)</t>
  </si>
  <si>
    <t>San Jacinto College</t>
  </si>
  <si>
    <t>The tuition parameters are established each biennium based on four principles: (1) Access and affordabilty for students; (2) Adequacy of funding for institutions; (3) Coordination of financial aid policies into the decisions on rates; and (4) alignment of  the following three policies--appropriations, financial aid, and tuition and fees. Data from the statewide database, a unit record affordabilty study, and market analyses among benchmark institutions are all considered when determing the maximum parameters.  If state appropriations are higher, the maximum parameter for tuition and fees are set lower so that there is a direct connection between what the state contributes to the level of increases for students.</t>
  </si>
  <si>
    <t>Yes.  There are tuition reciprocity agreements between community colleges in Western Maryland with institutions in bordering states, West Virginia and Pennsylvania.</t>
  </si>
  <si>
    <t>Board sets tuition rates that are variable by institution. Total non-resident tuition should be no less than the system average amount appropriated per student for education and general expenses.</t>
  </si>
  <si>
    <t>Credit hour up to 12 hours. Single rate for 12-19 hours.  Credit hour over 19 hours.</t>
  </si>
  <si>
    <t xml:space="preserve">Volunteer State Community College </t>
  </si>
  <si>
    <t xml:space="preserve">Walters State Community College </t>
  </si>
  <si>
    <t xml:space="preserve">Dyersburg State Community College </t>
  </si>
  <si>
    <t>Tennessee Technology Center at Athens</t>
  </si>
  <si>
    <t>Tennessee Technology Center at Chattanooga</t>
  </si>
  <si>
    <t>219824B</t>
  </si>
  <si>
    <t>Tennessee Technology Center at Covington</t>
  </si>
  <si>
    <t>Tennessee Technology Center at Crossville</t>
  </si>
  <si>
    <t>Tennessee Technology Center at Crump</t>
  </si>
  <si>
    <t>Tennessee Technology Center at Dickson</t>
  </si>
  <si>
    <t>Tennessee Technology Center at Elizabethton</t>
  </si>
  <si>
    <t>Tennessee Technology Center at Harriman</t>
  </si>
  <si>
    <t>Tennessee Technology Center at Hartsville</t>
  </si>
  <si>
    <t>Tennessee Technology Center at Jacksboro</t>
  </si>
  <si>
    <t>Tennessee Technology Center at Jackson</t>
  </si>
  <si>
    <t>Tennessee Technology Center at Knoxville</t>
  </si>
  <si>
    <t>Tennessee Technology Center at Livingston</t>
  </si>
  <si>
    <t>Tennessee Technology Center at McKenzie</t>
  </si>
  <si>
    <t>Tennessee Technology Center at McMinnville</t>
  </si>
  <si>
    <t>Louisiana Technical College-Shreveport/Bossier Campus</t>
  </si>
  <si>
    <t>Louisiana Technical College-Sidney N. Collier Campus</t>
  </si>
  <si>
    <t>Louisiana Technical College-Slidell Campus</t>
  </si>
  <si>
    <t>Louisiana Technical College-Sullivan Campus</t>
  </si>
  <si>
    <t>Louisiana Technical College-T.H. Harris Campus</t>
  </si>
  <si>
    <t>Louisiana Technical College-Tallulah Campus</t>
  </si>
  <si>
    <t>Louisiana Technical College-Teche Area Campus</t>
  </si>
  <si>
    <t>Louisiana Technical College-West Jefferson Campus</t>
  </si>
  <si>
    <t>Louisiana Technical College-Westside Campus</t>
  </si>
  <si>
    <t>Louisiana Technical College-Young Memorial Campus</t>
  </si>
  <si>
    <t>Louisiana State University Health Sciences Center - NO</t>
  </si>
  <si>
    <t>Louisiana State University Health Sciences Center - Shreveport</t>
  </si>
  <si>
    <t>University of Maryland College Park</t>
  </si>
  <si>
    <t>University of Maryland, Baltimore County</t>
  </si>
  <si>
    <t xml:space="preserve">Towson University </t>
  </si>
  <si>
    <t xml:space="preserve">Bowie State University </t>
  </si>
  <si>
    <t xml:space="preserve">Frostburg State University </t>
  </si>
  <si>
    <t>Morgan State University</t>
  </si>
  <si>
    <t xml:space="preserve">Salisbury University </t>
  </si>
  <si>
    <t>University of Baltimore</t>
  </si>
  <si>
    <t xml:space="preserve">University of Maryland Eastern Shore </t>
  </si>
  <si>
    <t>Coppin State University</t>
  </si>
  <si>
    <t>Saint Mary's College of Maryland</t>
  </si>
  <si>
    <t xml:space="preserve">Anne Arundel Community College </t>
  </si>
  <si>
    <t>Community College of Baltimore County</t>
  </si>
  <si>
    <t>Montgomery College</t>
  </si>
  <si>
    <t xml:space="preserve">Prince George's Community College </t>
  </si>
  <si>
    <t>Baltimore City Community College</t>
  </si>
  <si>
    <t>College of Southern Maryland (formerly Charles County CC)</t>
  </si>
  <si>
    <t xml:space="preserve">Frederick Community College </t>
  </si>
  <si>
    <t xml:space="preserve">Harford Community College </t>
  </si>
  <si>
    <t xml:space="preserve">Howard Community College </t>
  </si>
  <si>
    <t>Allegany College of Maryland</t>
  </si>
  <si>
    <t>Carroll Community College</t>
  </si>
  <si>
    <t xml:space="preserve">For specified groups including military personnel and their dependents, survivors of firefighters or police officers killed in line of duty, employees and their dependents who are transferred to KY by their employers, and people over age 65. </t>
  </si>
  <si>
    <t>No statewide policy.</t>
  </si>
  <si>
    <t>There are no formal tuition reciprocity agreements in force.</t>
  </si>
  <si>
    <t>No restrictions placed on tuition and fee revenue.</t>
  </si>
  <si>
    <t>Local Boards of Trustees</t>
  </si>
  <si>
    <t>State statutes do not allow for tuition waivers, reductions or remissions of out-of-state fees.</t>
  </si>
  <si>
    <t>No limits. However, out-of-state enrollment has not exceeded 2.7% over the past five years.</t>
  </si>
  <si>
    <t>*In Virginia, mandatory fees for 2007-08 vary by institution up to $310 per academic year, and are not included.</t>
  </si>
  <si>
    <t>* footnote data provided by Yan Zheng, 11/18/08. Will go up next year.</t>
  </si>
  <si>
    <t>Stair-stepped; rates vary by institution.</t>
  </si>
  <si>
    <t>Tuition remissions are budgeted as line items for each institution based on level of study (graduate or undergraduate). Students receiving remissions must also be recipients of scholarships or grants for special talent, or a fellowship or assistantship in the case of graduate students. Exemptions are also granted to active-duty military personnel and their dependents (who are reported as in-state residents).</t>
  </si>
  <si>
    <t>Nonresident admissions limited to 18% of first-time freshmen at each institution with the exceptions of North Carolina School of the Arts (50%) and the engineering program at North Carolina Agricultural &amp; Technical State University.</t>
  </si>
  <si>
    <t>Nashville State Technical Community College</t>
  </si>
  <si>
    <t>Northeast State Technical Community College</t>
  </si>
  <si>
    <t xml:space="preserve">Roane State Community College </t>
  </si>
  <si>
    <t>Notes: The amounts shown for each state are the medians (middle values) of the institutions in each state. The "SREB states median" is the middle value of all institutions of each type. Full-time graduate students are defined by a 24 credit hour load per year.</t>
  </si>
  <si>
    <t xml:space="preserve">North Carolina State University </t>
  </si>
  <si>
    <t xml:space="preserve">University of North Carolina at Chapel Hill </t>
  </si>
  <si>
    <t>University of North Carolina at Greensboro</t>
  </si>
  <si>
    <t xml:space="preserve">Sandhills Community College </t>
  </si>
  <si>
    <t>South Piedmont Community College</t>
  </si>
  <si>
    <t xml:space="preserve">Southeastern Community College </t>
  </si>
  <si>
    <t xml:space="preserve">Southwestern Community College </t>
  </si>
  <si>
    <t>Stanly Community College</t>
  </si>
  <si>
    <t xml:space="preserve">Surry Community College </t>
  </si>
  <si>
    <t xml:space="preserve">Vance-Granville Community College </t>
  </si>
  <si>
    <t>Wayne Community College</t>
  </si>
  <si>
    <t xml:space="preserve">Western Piedmont Community College </t>
  </si>
  <si>
    <t xml:space="preserve">Wilkes Community College </t>
  </si>
  <si>
    <t>Wilson Technical Community College</t>
  </si>
  <si>
    <t>Bladen Community College</t>
  </si>
  <si>
    <t>Brunswick Community College</t>
  </si>
  <si>
    <t>Carteret Community College</t>
  </si>
  <si>
    <t xml:space="preserve">Halifax Community College </t>
  </si>
  <si>
    <t>James Sprunt Community College</t>
  </si>
  <si>
    <t xml:space="preserve">Martin Community College </t>
  </si>
  <si>
    <t>Mayland Community College</t>
  </si>
  <si>
    <t xml:space="preserve">Most tuition is set on a per SCH basis, however with the deregulation of designated tuition in January 2004, some institutions are offering flat rate tuition or offering lower tuition rates for courses taken at off-peak hours. Other institutions are providing a tuition rate set at the rate charged when the student entered as long as certain requirements are met. </t>
  </si>
  <si>
    <t xml:space="preserve"> The Texas Legislature sets rates for mandatory, or statutory tuition.  Beginning in January, 2004, the Legislature delegated to governing boards the authority to set rates for a portion of tuition known as designated tuition (deregulated), with the requirement that a percentage of funds received from charges exceeding $46 per SCH be set aside for financial aid programs.                                            Tuition at community colleges is set by Boards of Trustees based on a minimum set by the legislature.  Community colleges may not charge designated tuition.</t>
  </si>
  <si>
    <t>No.</t>
  </si>
  <si>
    <t>Yes.</t>
  </si>
  <si>
    <t>Yes. Varies by institution.</t>
  </si>
  <si>
    <t>Georgia Board of Regents</t>
  </si>
  <si>
    <t>Students taking twelve or more credit hours pay the full-time tuition rate. Students taking less than twelve hours pay a prorated amount based on the number of credit hours taken.</t>
  </si>
  <si>
    <t>Each university board of trustees has the authority to waive tuition for purposes which support &amp; enhance the mission of the university. The waivers must be based on policies adopted by the boards of trustees.</t>
  </si>
  <si>
    <t>No, although universities have some discretion in setting tuition and fees for programs delivered exclusively through alternative means.</t>
  </si>
  <si>
    <t>University of Southern Mississippi</t>
  </si>
  <si>
    <t xml:space="preserve">Jackson State University </t>
  </si>
  <si>
    <t>Mississippi State University</t>
  </si>
  <si>
    <t>University of Mississippi</t>
  </si>
  <si>
    <t>Alcorn State University</t>
  </si>
  <si>
    <t>Delta State University</t>
  </si>
  <si>
    <t>Mississippi University for Women</t>
  </si>
  <si>
    <t>Mississippi Valley State University</t>
  </si>
  <si>
    <t>University of Mississippi Medical Center</t>
  </si>
  <si>
    <t xml:space="preserve">Board policy allows individual institutions to determine fee waiver amounts. These are usually called "scholarships" or grants. Policy also allows institutions to waive the non-resident portion of fees for children of alumni who meet certain academic criteria, students on athletic scholarships, and graduate students with assistantships. Non-resident fees are waived for students in the SREB Academic Common Market program. </t>
  </si>
  <si>
    <t>Full-Time Out-of-State Graduate Students</t>
  </si>
  <si>
    <t>Full-Time In-State Students in Professional Programs</t>
  </si>
  <si>
    <t>The Board of Governors has asserted its authority to set tuition and fees, but the Legislature has not conceded that authority.  The issue is currently in litigation.</t>
  </si>
  <si>
    <t>University of Virginia</t>
  </si>
  <si>
    <t xml:space="preserve">Virginia Tech </t>
  </si>
  <si>
    <t>College of William &amp; Mary</t>
  </si>
  <si>
    <t xml:space="preserve">George Mason University </t>
  </si>
  <si>
    <t xml:space="preserve">Old Dominion University </t>
  </si>
  <si>
    <t xml:space="preserve">Virginia Commonwealth University  </t>
  </si>
  <si>
    <t>James Madison University</t>
  </si>
  <si>
    <t>Radford University</t>
  </si>
  <si>
    <t>Christopher Newport University</t>
  </si>
  <si>
    <t xml:space="preserve">Norfolk State University </t>
  </si>
  <si>
    <t xml:space="preserve">Virginia State University </t>
  </si>
  <si>
    <t xml:space="preserve">Longwood University </t>
  </si>
  <si>
    <t xml:space="preserve">University of Mary Washington </t>
  </si>
  <si>
    <t xml:space="preserve">University of Virginia's College at Wise </t>
  </si>
  <si>
    <t>J.S. Reynolds Community College</t>
  </si>
  <si>
    <t xml:space="preserve">Northern Virginia Community College </t>
  </si>
  <si>
    <t xml:space="preserve">Thomas Nelson Community College </t>
  </si>
  <si>
    <t xml:space="preserve">Tidewater Community College </t>
  </si>
  <si>
    <t xml:space="preserve">Blue Ridge Community College </t>
  </si>
  <si>
    <t xml:space="preserve">Central Virginia Community College </t>
  </si>
  <si>
    <t xml:space="preserve">Danville Community College </t>
  </si>
  <si>
    <t>Germanna Community College</t>
  </si>
  <si>
    <t>John Tyler Community College</t>
  </si>
  <si>
    <t>Lord Fairfax Community College</t>
  </si>
  <si>
    <t xml:space="preserve">New River Community College </t>
  </si>
  <si>
    <t xml:space="preserve">Patrick Henry Community College </t>
  </si>
  <si>
    <t xml:space="preserve">Piedmont Virginia Community College </t>
  </si>
  <si>
    <t xml:space="preserve">Southside Virginia Community College  </t>
  </si>
  <si>
    <t xml:space="preserve">Southwest Virginia Community College </t>
  </si>
  <si>
    <t xml:space="preserve">Virginia Western Community College </t>
  </si>
  <si>
    <t xml:space="preserve">D.S. Lancaster Community College </t>
  </si>
  <si>
    <t xml:space="preserve">Eastern Shore Community College  </t>
  </si>
  <si>
    <t>Mountain Empire Community College</t>
  </si>
  <si>
    <t xml:space="preserve">Paul D. Camp Community College  </t>
  </si>
  <si>
    <t xml:space="preserve">Rappahannock Community College  </t>
  </si>
  <si>
    <t xml:space="preserve">Richard Bland College </t>
  </si>
  <si>
    <t xml:space="preserve">Virginia Highlands Community College </t>
  </si>
  <si>
    <t xml:space="preserve">Wytheville Community College </t>
  </si>
  <si>
    <t>Virginia Military Institute</t>
  </si>
  <si>
    <t>Central Georgia Technical College</t>
  </si>
  <si>
    <t>Chattahoochee Technical College</t>
  </si>
  <si>
    <t>Columbus Technical College</t>
  </si>
  <si>
    <t>Coosa Valley Technical College</t>
  </si>
  <si>
    <t>DeKalb Technical College</t>
  </si>
  <si>
    <t>East Central Technical College</t>
  </si>
  <si>
    <t>Flint River Technical College</t>
  </si>
  <si>
    <t>Griffin Technical College</t>
  </si>
  <si>
    <t>Gwinnett Technical College</t>
  </si>
  <si>
    <t>Heart of Georgia Technical College</t>
  </si>
  <si>
    <t>Lanier Technical College</t>
  </si>
  <si>
    <t>Middle Georgia Technical College</t>
  </si>
  <si>
    <t>Moultrie Technical College</t>
  </si>
  <si>
    <t>North Georgia Technical College</t>
  </si>
  <si>
    <t>North Metro Technical College</t>
  </si>
  <si>
    <t>Northwestern Technical College</t>
  </si>
  <si>
    <t>Ogeechee Technical College</t>
  </si>
  <si>
    <t>Okefenokee Technical College</t>
  </si>
  <si>
    <t>Savannah Technical College</t>
  </si>
  <si>
    <t>South Georgia Technical College</t>
  </si>
  <si>
    <t>Southeastern Technical College</t>
  </si>
  <si>
    <t>Southwest Georgia Technical College</t>
  </si>
  <si>
    <t>Valdosta Technical College</t>
  </si>
  <si>
    <t>West Central Technical College</t>
  </si>
  <si>
    <t>West Georgia Technical College</t>
  </si>
  <si>
    <t>Appalachian Technical College</t>
  </si>
  <si>
    <t>Sandersville Technical College</t>
  </si>
  <si>
    <t>Swainsboro Technical College</t>
  </si>
  <si>
    <t xml:space="preserve">THEC policy states that resident tuition for undergraduates be set at 40% of appropriations for 4-year institutions, 35% of appropriations for 2-year institutions and 15% of appropriations for medicine, dentistry, veterinary medicine and technology centers. Resident tuition should not exceed SREB averages unless appropriations and the ratios indicate otherwise. Non-resident tuition should be 80%-90% of state appropriations for resident students. </t>
  </si>
  <si>
    <t xml:space="preserve">There is no requirement that a certain portion of tuition and fee revenue be devoted to capital funding. However, the percentages of tuition allocated by the institutions to debt service and capital expenditures range from 2% to more than 11%. All public institutions in SC are eligible to receive capital improvement bond funding and other state funds for capital items. Technical colleges also receive local funds for capital expenditures. </t>
  </si>
  <si>
    <t xml:space="preserve">No statewide policy. </t>
  </si>
  <si>
    <t>To what extent must tuition and fee revenue be devoted to capital funding? Are there other sources of capital funding?</t>
  </si>
  <si>
    <t>West Virginia University at Parkersburg</t>
  </si>
  <si>
    <t>Pierpont Community &amp; Technical College</t>
  </si>
  <si>
    <t>Blue Ridge Community &amp; Technical College</t>
  </si>
  <si>
    <t>Community &amp; Technical College at WVU Tech</t>
  </si>
  <si>
    <t>Eastern West Virginia Community &amp; Technical College</t>
  </si>
  <si>
    <t>Marshall Community &amp; Technical College</t>
  </si>
  <si>
    <t>New River Community &amp; Technical College</t>
  </si>
  <si>
    <t>Potomac State College of West Virginia University</t>
  </si>
  <si>
    <t>Southern West Virginia Community &amp; Technical Coll</t>
  </si>
  <si>
    <t>West Virginia Northern Community College</t>
  </si>
  <si>
    <t>WV State Community &amp; Technical College</t>
  </si>
  <si>
    <t>West Virginia School of Osteopathic Medicine</t>
  </si>
  <si>
    <t xml:space="preserve">Brevard Community College </t>
  </si>
  <si>
    <t xml:space="preserve">Broward Community College </t>
  </si>
  <si>
    <t xml:space="preserve">Central Florida Community College </t>
  </si>
  <si>
    <t xml:space="preserve">Chipola College </t>
  </si>
  <si>
    <t xml:space="preserve">Daytona Beach Community College </t>
  </si>
  <si>
    <t xml:space="preserve">Edison Community College </t>
  </si>
  <si>
    <t>Florida Community College at Jacksonville</t>
  </si>
  <si>
    <t xml:space="preserve">Florida Keys Community College </t>
  </si>
  <si>
    <t xml:space="preserve">Gulf Coast Community College </t>
  </si>
  <si>
    <t xml:space="preserve">Hillsborough Community College </t>
  </si>
  <si>
    <t xml:space="preserve">Indian River Community College </t>
  </si>
  <si>
    <t xml:space="preserve">Lake City Community College </t>
  </si>
  <si>
    <t xml:space="preserve">Lake-Sumter Community College </t>
  </si>
  <si>
    <t xml:space="preserve">Manatee Community College </t>
  </si>
  <si>
    <t xml:space="preserve">Miami Dade College </t>
  </si>
  <si>
    <t xml:space="preserve">North Florida Community College </t>
  </si>
  <si>
    <t xml:space="preserve">Okaloosa-Walton College </t>
  </si>
  <si>
    <t xml:space="preserve">Palm Beach Community College </t>
  </si>
  <si>
    <t xml:space="preserve">Pasco-Hernando Community College </t>
  </si>
  <si>
    <t>University of Arkansas at Fort Smith</t>
  </si>
  <si>
    <t>Georgia Gwinnett College</t>
  </si>
  <si>
    <t>University of Kentucky</t>
  </si>
  <si>
    <t>Northeast Lakeview College (ACCD)</t>
  </si>
  <si>
    <t>Fairmont State University</t>
  </si>
  <si>
    <t>No statewide policy.  USM undergraduate tuition within an institution should not vary by discipline or cohort, except for the professional schools at the University of Maryland, Baltimore.  USM non-resident undergraduate students should pay an additional amount of tuition which at a minimum offsets the State's contribution intended to subsidize the education of its residents.  Institutions are encouraged to set tuition for non-resident undergraduate students at market level.  Part-time undergraduate students are to pay a per-credit hour charge based on a normal semester load for a full-time undergraduate student of at least 12 credits per semester.</t>
  </si>
  <si>
    <t>St. Mary's College of Maryland</t>
  </si>
  <si>
    <t>No specific policy</t>
  </si>
  <si>
    <t>USM policy states that the proportion of out-of-state undergraduate students in any institution, excluding University of Maryland University College, shall not exceed 30 percent of its total undergraduate student body.</t>
  </si>
  <si>
    <t>USM pledges tuition revenue for Academic Revenue and auxiliary  revenue in support of Auxiliary Facility Revenue Bonds</t>
  </si>
  <si>
    <t xml:space="preserve">None. </t>
  </si>
  <si>
    <t>Florida Community Colleges</t>
  </si>
  <si>
    <t>The pricing structure is determined by the individual boards. Most institutions use a flat rate for full-time students taking up to 15-18 hours a semester. Currently, only 3 four-year institutions and the community college system use a cost per credit hour structure for all students.</t>
  </si>
  <si>
    <t xml:space="preserve">There are no state guidelines on this matter. Alabama has no state appropriation specifically for capital expenditures, therefore institutions must use tuition &amp; fee revenue to fund capital expenditures or find their on source of funding, including floating their own bond issues. </t>
  </si>
  <si>
    <t>No statewide policy. Resident tuition target is 25%-30% of instructional cost; non-resident tuition should be 3 times the resident rate.</t>
  </si>
  <si>
    <t>No limits.</t>
  </si>
  <si>
    <t>Individual institutions set policies. Non-resident fees are waived for students in the SREB Academic Common Market program.</t>
  </si>
  <si>
    <t xml:space="preserve">Two-Year </t>
  </si>
  <si>
    <t>size unknown</t>
  </si>
  <si>
    <t>All 2yr</t>
  </si>
  <si>
    <t>Alabama Commission on Higher Education</t>
  </si>
  <si>
    <t>Table 98</t>
  </si>
  <si>
    <t>Table 99</t>
  </si>
  <si>
    <t>Table 100</t>
  </si>
  <si>
    <t>Arkansas Department of Higher Education</t>
  </si>
  <si>
    <t>Not reported.</t>
  </si>
  <si>
    <t>or College</t>
  </si>
  <si>
    <t>Technical Institute</t>
  </si>
  <si>
    <t>Table 97</t>
  </si>
  <si>
    <t xml:space="preserve">Appalachian State University </t>
  </si>
  <si>
    <t xml:space="preserve">East Carolina University </t>
  </si>
  <si>
    <t>North Carolina Agricultural &amp; Technical State University</t>
  </si>
  <si>
    <t xml:space="preserve">North Carolina Central University </t>
  </si>
  <si>
    <t>University of Arkansas, Fayetteville</t>
  </si>
  <si>
    <t>Arkansas State University</t>
  </si>
  <si>
    <t>University of Arkansas at Little Rock</t>
  </si>
  <si>
    <t xml:space="preserve">University of Central Arkansas </t>
  </si>
  <si>
    <t>Arkansas Tech University</t>
  </si>
  <si>
    <t>Henderson State University</t>
  </si>
  <si>
    <t>Southern Arkansas University</t>
  </si>
  <si>
    <t>University of Arkansas at Monticello</t>
  </si>
  <si>
    <t>University of Arkansas at Pine Bluff</t>
  </si>
  <si>
    <t>Pulaski Technical College</t>
  </si>
  <si>
    <t>Arkansas State University-Beebe</t>
  </si>
  <si>
    <t xml:space="preserve">Northwest Arkansas Community College </t>
  </si>
  <si>
    <t>Arkansas Northeastern College</t>
  </si>
  <si>
    <t>Arkansas State University Mountain Home</t>
  </si>
  <si>
    <t>Arkansas State University-Newport</t>
  </si>
  <si>
    <t>Black River Technical College</t>
  </si>
  <si>
    <t>Cossatot Community College of the University of Arkansas</t>
  </si>
  <si>
    <t xml:space="preserve">East Arkansas Community College </t>
  </si>
  <si>
    <t xml:space="preserve">Mid-South Community College </t>
  </si>
  <si>
    <t>National Park Community College</t>
  </si>
  <si>
    <t>North Arkansas College</t>
  </si>
  <si>
    <t xml:space="preserve">Ouachita Technical College </t>
  </si>
  <si>
    <t xml:space="preserve">Ozarka College </t>
  </si>
  <si>
    <t>Phillips Community College of the Univ of Arkansas</t>
  </si>
  <si>
    <t xml:space="preserve">Rich Mountain Community College </t>
  </si>
  <si>
    <t>South Arkansas Community College</t>
  </si>
  <si>
    <t>Southeast Arkansas College</t>
  </si>
  <si>
    <t>Southern Arkansas University Tech</t>
  </si>
  <si>
    <t>University of Arkansas Community College at Batesville</t>
  </si>
  <si>
    <t>University of Arkansas Community College at Hope</t>
  </si>
  <si>
    <t>University of Arkansas Community College at Morrilton</t>
  </si>
  <si>
    <t>University of Arkansas for Medical Sciences</t>
  </si>
  <si>
    <t>University of North Carolina at Charlotte</t>
  </si>
  <si>
    <t>University of North Carolina at Wilmington</t>
  </si>
  <si>
    <t xml:space="preserve">Western Carolina University </t>
  </si>
  <si>
    <t xml:space="preserve">Fayetteville State University </t>
  </si>
  <si>
    <t>University of North Carolina at Pembroke</t>
  </si>
  <si>
    <t xml:space="preserve">Elizabeth City State University </t>
  </si>
  <si>
    <t>University of North Carolina at Asheville</t>
  </si>
  <si>
    <t xml:space="preserve">Winston-Salem State University </t>
  </si>
  <si>
    <t>North Carolina School of the Arts</t>
  </si>
  <si>
    <t>Asheville-Buncombe Technical Community College</t>
  </si>
  <si>
    <t>Cape Fear Community College</t>
  </si>
  <si>
    <t>Catawba Valley Community College</t>
  </si>
  <si>
    <t>Central Carolina Commuity College</t>
  </si>
  <si>
    <t xml:space="preserve">Central Piedmont Community College </t>
  </si>
  <si>
    <t>Fayetteville Technical Community College</t>
  </si>
  <si>
    <t>Forsyth Technical Community College</t>
  </si>
  <si>
    <t>Guilford Technical Community College</t>
  </si>
  <si>
    <t>Pitt Community College</t>
  </si>
  <si>
    <t>Wake Technical Community College</t>
  </si>
  <si>
    <t>Alamance Community College</t>
  </si>
  <si>
    <t xml:space="preserve">Beaufort County Community College </t>
  </si>
  <si>
    <t>Blue Ridge Community College</t>
  </si>
  <si>
    <t>Cleveland Community College</t>
  </si>
  <si>
    <t xml:space="preserve">Coastal Carolina Community College </t>
  </si>
  <si>
    <t>College of the Albemarle</t>
  </si>
  <si>
    <t xml:space="preserve">Craven Community College </t>
  </si>
  <si>
    <t xml:space="preserve">Davidson County Community College </t>
  </si>
  <si>
    <t>Durham Technical Community College</t>
  </si>
  <si>
    <t>Edgecombe Community College</t>
  </si>
  <si>
    <t xml:space="preserve">Gaston College </t>
  </si>
  <si>
    <t>Haywood Community College</t>
  </si>
  <si>
    <t xml:space="preserve">Isothermal Community College </t>
  </si>
  <si>
    <t>Johnston Community College</t>
  </si>
  <si>
    <t xml:space="preserve">Lenoir Community College </t>
  </si>
  <si>
    <t xml:space="preserve">Mitchell Community College </t>
  </si>
  <si>
    <t>Nash Community College</t>
  </si>
  <si>
    <t>Piedmont Community College</t>
  </si>
  <si>
    <t>Randolph Community College</t>
  </si>
  <si>
    <t>Richmond Community College</t>
  </si>
  <si>
    <t>Robeson Community College</t>
  </si>
  <si>
    <t xml:space="preserve">Rockingham Community College </t>
  </si>
  <si>
    <t>Rowan-Cabarrus Community College</t>
  </si>
  <si>
    <t>University of North Carolina General Administration</t>
  </si>
  <si>
    <t>North Carolina Community College System</t>
  </si>
  <si>
    <t>South Carolina Commission on Higher Education</t>
  </si>
  <si>
    <t>State Council of Higher Education for Virginia</t>
  </si>
  <si>
    <t>Tennessee Higher Education Commission</t>
  </si>
  <si>
    <t>All</t>
  </si>
  <si>
    <t>AL</t>
  </si>
  <si>
    <t>State</t>
  </si>
  <si>
    <t>In-</t>
  </si>
  <si>
    <t>Out-of-</t>
  </si>
  <si>
    <t>Veterinary Medicine</t>
  </si>
  <si>
    <t>State Agency</t>
  </si>
  <si>
    <t>AR</t>
  </si>
  <si>
    <t>DE</t>
  </si>
  <si>
    <t>FL</t>
  </si>
  <si>
    <t>MD</t>
  </si>
  <si>
    <t>MS</t>
  </si>
  <si>
    <t>NC</t>
  </si>
  <si>
    <r>
      <t>"</t>
    </r>
    <r>
      <rPr>
        <sz val="8"/>
        <rFont val="Arial"/>
        <family val="2"/>
      </rPr>
      <t>—</t>
    </r>
    <r>
      <rPr>
        <sz val="8"/>
        <rFont val="Arial"/>
        <family val="2"/>
      </rPr>
      <t>" indicates not reported.</t>
    </r>
  </si>
  <si>
    <t>—</t>
  </si>
  <si>
    <t>WV</t>
  </si>
  <si>
    <t>VA</t>
  </si>
  <si>
    <t>GA</t>
  </si>
  <si>
    <t>SC</t>
  </si>
  <si>
    <t>Undergraduate</t>
  </si>
  <si>
    <t>Graduate</t>
  </si>
  <si>
    <t>Osteopathic Medicine</t>
  </si>
  <si>
    <t>IPEDS</t>
  </si>
  <si>
    <t>Who has the authority to set tuition and fee rates and establish policies?</t>
  </si>
  <si>
    <t>What method or guideline is used to set tuition rates?</t>
  </si>
  <si>
    <t>Are tuition and fee rates stair-stepped or by the credit hour?</t>
  </si>
  <si>
    <t xml:space="preserve">Each institutional governing board reviews and approves student tuition and fees. Fees require further approval by the  West Virginia Higher Education Policy Commission, and the WV Council for Community &amp; Technical College Education relying on compact reviews and state code guidelines. Non-residents should pay 100% of instructional costs. </t>
  </si>
  <si>
    <t xml:space="preserve">There is a required system capital fee component included within the required tuition and fees. This fee is required for debt service and capital expenditures. </t>
  </si>
  <si>
    <t>Reciprocity agreements are in effect with TN, OH, WV, IL, and IN for residents of specific counties and for specific institutions.</t>
  </si>
  <si>
    <t>There is no system wide policy relating to restricting all or a portion of tuition and fees revenue to capital projects. The state provides support for E&amp;G capital projects approved by the General Assembly.</t>
  </si>
  <si>
    <t>Non-resident fees are waived for students in the SREB Academic Common Market program. No other statewide policy.</t>
  </si>
  <si>
    <t>Individual institution governing boards.</t>
  </si>
  <si>
    <t>some</t>
  </si>
  <si>
    <t>Non-resident students should pay 100% of instructional costs at 2-year institutions.</t>
  </si>
  <si>
    <t xml:space="preserve">South Carolina State University </t>
  </si>
  <si>
    <t>University of South Carolina-Aiken</t>
  </si>
  <si>
    <t>University of South Carolina-Upstate</t>
  </si>
  <si>
    <t>University of South Carolina-Beaufort</t>
  </si>
  <si>
    <t xml:space="preserve">Greenville Technical College </t>
  </si>
  <si>
    <t xml:space="preserve">Midlands Technical College </t>
  </si>
  <si>
    <t xml:space="preserve">Trident Technical College </t>
  </si>
  <si>
    <t xml:space="preserve">Aiken Technical College </t>
  </si>
  <si>
    <t xml:space="preserve">Central Carolina Technical College </t>
  </si>
  <si>
    <t xml:space="preserve">Florence-Darlington Technical College </t>
  </si>
  <si>
    <t xml:space="preserve">Horry-Georgetown Technical College </t>
  </si>
  <si>
    <t xml:space="preserve">Orangeburg-Calhoun Technical College </t>
  </si>
  <si>
    <t xml:space="preserve">Piedmont Technical College </t>
  </si>
  <si>
    <t xml:space="preserve">Spartanburg Technical College </t>
  </si>
  <si>
    <t xml:space="preserve">Tri-County Technical College </t>
  </si>
  <si>
    <t xml:space="preserve">York Technical College </t>
  </si>
  <si>
    <t xml:space="preserve">Denmark Technical College </t>
  </si>
  <si>
    <t>Northeastern Technical College</t>
  </si>
  <si>
    <t>Technical College of the Lowcountry</t>
  </si>
  <si>
    <t>University of South Carolina-Lancaster</t>
  </si>
  <si>
    <t>University of South Carolina-Salkehatchie</t>
  </si>
  <si>
    <t>University of South Carolina-Sumter</t>
  </si>
  <si>
    <t>University of South Carolina-Union</t>
  </si>
  <si>
    <t xml:space="preserve">Willamsburg Technical College </t>
  </si>
  <si>
    <t>Medical University of South Carolina</t>
  </si>
  <si>
    <t>University of Tennessee, Knoxville</t>
  </si>
  <si>
    <t>University of Memphis</t>
  </si>
  <si>
    <t xml:space="preserve">East Tennessee State University </t>
  </si>
  <si>
    <t xml:space="preserve">Middle Tennessee State University </t>
  </si>
  <si>
    <t xml:space="preserve">Tennessee State University </t>
  </si>
  <si>
    <t>University of Tennessee at Chattanooga</t>
  </si>
  <si>
    <t xml:space="preserve">Austin Peay State University </t>
  </si>
  <si>
    <t xml:space="preserve">Tennessee Technological University </t>
  </si>
  <si>
    <t>University of Tennessee at Martin</t>
  </si>
  <si>
    <t xml:space="preserve">Chattanooga State Technical Community College </t>
  </si>
  <si>
    <t>Pellissippi State Technical Community College</t>
  </si>
  <si>
    <t>Southwest Tennessee Community College</t>
  </si>
  <si>
    <t xml:space="preserve">Cleveland State Community College </t>
  </si>
  <si>
    <t xml:space="preserve">Columbia State Community College </t>
  </si>
  <si>
    <t xml:space="preserve">Jackson State Community College </t>
  </si>
  <si>
    <t xml:space="preserve">Motlow State Community College </t>
  </si>
  <si>
    <t xml:space="preserve">Out-of-state tuition rates can be waived for the following: 
(A) Out-of-state students living in counties which are contiguous to Georgia counties in which a USG institution is located. (I)
(B) Research University Graduate students ( each research university is authorized to waive the out-of-state tuition differential for a limited number of graduate students each year) (H), state and full-time university system employees their spouses and dependents (C,E), military personnel, their spouses and dependents (the waiver can be retained by the military personnel, their spouses, and their dependent children if the military sponsor is reassigned outside of Georgia, as long as the student(s) remain continuously enrolled and the military sponsor remains on active military status),(G) full-time Georgia public school teachers, medical and dental residents and interns at the Medical College of Georgia (D) and career consular officers and their dependents (F)
(C) International students and superior out-of-state students (up to 2% of the institution's total enrollment). (B)
(D) Full-time members of the Georgia National Guard.(J) </t>
  </si>
  <si>
    <t>Is there a special electronic delivery tuition rate distinguished from regular in-state and out-of-state rates?</t>
  </si>
  <si>
    <t>KY</t>
  </si>
  <si>
    <t>Median Annual Tuition and Required Fees</t>
  </si>
  <si>
    <t>Full-Time In-State Undergraduate Students</t>
  </si>
  <si>
    <t xml:space="preserve">Four-Year </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</si>
  <si>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</si>
  <si>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</si>
  <si>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</si>
  <si>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</si>
  <si>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</si>
  <si>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</si>
  <si>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</si>
  <si>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</si>
  <si>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</si>
  <si>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</si>
  <si>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</si>
  <si>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</si>
  <si>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</si>
  <si>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</si>
  <si>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</si>
  <si>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Full-Time Out-of-State Undergraduate Students</t>
  </si>
  <si>
    <t>Full-Time In-State Graduate Students</t>
  </si>
  <si>
    <t xml:space="preserve">Notes: The amounts shown for each state are the medians (middle values) of the institutions in each state. The "SREB states median" is the middle value of all institutions of each type. Full-time undergraduate students are defined by a 30 credit hour load per year. </t>
  </si>
  <si>
    <t xml:space="preserve">Auburn University  </t>
  </si>
  <si>
    <t xml:space="preserve">University of Alabama </t>
  </si>
  <si>
    <t>University of Alabama at Birmingham</t>
  </si>
  <si>
    <t>University of Alabama in Huntsville</t>
  </si>
  <si>
    <t>Alabama Agricultural &amp; Mechanical University</t>
  </si>
  <si>
    <t xml:space="preserve">Jacksonville State University </t>
  </si>
  <si>
    <t>Troy University</t>
  </si>
  <si>
    <t>University of South Alabama</t>
  </si>
  <si>
    <t xml:space="preserve">Alabama State University </t>
  </si>
  <si>
    <t>Auburn University at Montgomery</t>
  </si>
  <si>
    <t>University of North Alabama</t>
  </si>
  <si>
    <t>University of Montevallo</t>
  </si>
  <si>
    <t>University of West Alabama</t>
  </si>
  <si>
    <t>Athens State University</t>
  </si>
  <si>
    <t>Jefferson State Community College</t>
  </si>
  <si>
    <t xml:space="preserve">John C. Calhoun State Community College </t>
  </si>
  <si>
    <t>Bevill State Community College</t>
  </si>
  <si>
    <t>Bishop State Community College</t>
  </si>
  <si>
    <t>Gadsden State Community College</t>
  </si>
  <si>
    <t>George C. Wallace State Community College - Dothan</t>
  </si>
  <si>
    <t>James H. Faulkner State Community College</t>
  </si>
  <si>
    <t xml:space="preserve">Lawson State Community College </t>
  </si>
  <si>
    <t>Northwest-Shoals Community College</t>
  </si>
  <si>
    <t>Shelton State Community College</t>
  </si>
  <si>
    <t>Southern Union State Community College</t>
  </si>
  <si>
    <t>Wallace Community College - Hanceville</t>
  </si>
  <si>
    <t>Alabama Southern Community College</t>
  </si>
  <si>
    <t>Central Alabama Community College</t>
  </si>
  <si>
    <t xml:space="preserve">Chattahoochee Valley State Community College </t>
  </si>
  <si>
    <t xml:space="preserve">Enterprise-Ozark Community College </t>
  </si>
  <si>
    <t>George Corley Wallace State Community College - Selma</t>
  </si>
  <si>
    <t>Jefferson Davis Community College</t>
  </si>
  <si>
    <t xml:space="preserve">Lurleen B. Wallace Community College </t>
  </si>
  <si>
    <t xml:space="preserve">Northeast Alabama State Community College </t>
  </si>
  <si>
    <t xml:space="preserve">Snead State Community College </t>
  </si>
  <si>
    <t xml:space="preserve">Trenholm State Technical College </t>
  </si>
  <si>
    <t xml:space="preserve">J.F. Drake State Technical College </t>
  </si>
  <si>
    <t xml:space="preserve">J.F. Ingram State Technical College </t>
  </si>
  <si>
    <t xml:space="preserve">      N/A</t>
  </si>
  <si>
    <t xml:space="preserve">Reid State Technical College </t>
  </si>
  <si>
    <t xml:space="preserve">Marion Military Institute </t>
  </si>
  <si>
    <t>University of Delaware</t>
  </si>
  <si>
    <t>Delaware State University</t>
  </si>
  <si>
    <t>Delaware Technical and Community College--Owens</t>
  </si>
  <si>
    <t>Delaware Technical and Community College--Stanton-Wilmington</t>
  </si>
  <si>
    <t>Delaware Technical and Community College--Terry</t>
  </si>
  <si>
    <t xml:space="preserve">Georgia State University </t>
  </si>
  <si>
    <t>University of Georgia</t>
  </si>
  <si>
    <t>Georgia Institute of Technology</t>
  </si>
  <si>
    <t>Georgia Southern University</t>
  </si>
  <si>
    <t>University of West Georgia</t>
  </si>
  <si>
    <t xml:space="preserve">Valdosta State University </t>
  </si>
  <si>
    <t xml:space="preserve">Albany State University </t>
  </si>
  <si>
    <t>Armstrong Atlantic State University</t>
  </si>
  <si>
    <t>Columbus State University</t>
  </si>
  <si>
    <t>Georgia College and State University</t>
  </si>
  <si>
    <t>Kennesaw State University</t>
  </si>
  <si>
    <t xml:space="preserve">South Plains College </t>
  </si>
  <si>
    <t>South Texas College</t>
  </si>
  <si>
    <t>St. Philip's College  (ACCD)</t>
  </si>
  <si>
    <t>Tarrant County College</t>
  </si>
  <si>
    <t xml:space="preserve">Texas Southmost College </t>
  </si>
  <si>
    <t xml:space="preserve">Tyler Junior College </t>
  </si>
  <si>
    <t xml:space="preserve">Alvin Community College </t>
  </si>
  <si>
    <t xml:space="preserve">Angelina College </t>
  </si>
  <si>
    <t xml:space="preserve">Brazosport College </t>
  </si>
  <si>
    <t>Cedar Valley College  (DCCCD)</t>
  </si>
  <si>
    <t xml:space="preserve">Cisco Junior College </t>
  </si>
  <si>
    <t>Coastal Bend College</t>
  </si>
  <si>
    <t>College of the Mainland</t>
  </si>
  <si>
    <t>El Centro College  (DCCCD)</t>
  </si>
  <si>
    <t xml:space="preserve">Grayson County College </t>
  </si>
  <si>
    <t>Hill College</t>
  </si>
  <si>
    <t>Howard College (HCJCD)</t>
  </si>
  <si>
    <t xml:space="preserve">Kilgore College </t>
  </si>
  <si>
    <t>Lamar Institute of Technology</t>
  </si>
  <si>
    <t>Lamar State College-Port Arthur</t>
  </si>
  <si>
    <t xml:space="preserve">Lee College </t>
  </si>
  <si>
    <t xml:space="preserve">Midland College </t>
  </si>
  <si>
    <t>Mountain View College (DCCCD)</t>
  </si>
  <si>
    <t xml:space="preserve">Navarro College </t>
  </si>
  <si>
    <t>North Central Texas Community College</t>
  </si>
  <si>
    <t xml:space="preserve">Odessa College </t>
  </si>
  <si>
    <t>Paris Junior College</t>
  </si>
  <si>
    <t xml:space="preserve">Southwest Texas Junior College </t>
  </si>
  <si>
    <t xml:space="preserve">Temple College </t>
  </si>
  <si>
    <t xml:space="preserve">Texarkana College </t>
  </si>
  <si>
    <t xml:space="preserve">Texas State Technical College-Harlingen </t>
  </si>
  <si>
    <t>Texas State Technical College-Waco</t>
  </si>
  <si>
    <t>Trinity Valley Community College</t>
  </si>
  <si>
    <t xml:space="preserve">Vernon College </t>
  </si>
  <si>
    <t xml:space="preserve">Victoria College </t>
  </si>
  <si>
    <t xml:space="preserve">Weatherford College </t>
  </si>
  <si>
    <t xml:space="preserve">Wharton County Junior College </t>
  </si>
  <si>
    <t xml:space="preserve">Clarendon College </t>
  </si>
  <si>
    <t xml:space="preserve">Frank Phillips College </t>
  </si>
  <si>
    <t xml:space="preserve">Galveston College </t>
  </si>
  <si>
    <t>Lamar State College-Orange</t>
  </si>
  <si>
    <t xml:space="preserve">Northeast Texas Community College </t>
  </si>
  <si>
    <t>Panola College</t>
  </si>
  <si>
    <t xml:space="preserve">Ranger College </t>
  </si>
  <si>
    <t>Southwest Collegiate Institute for the Deaf (HCJCD)</t>
  </si>
  <si>
    <t>Texas State Technical College-Marshall</t>
  </si>
  <si>
    <t>Texas State Technical College-West Texas</t>
  </si>
  <si>
    <t xml:space="preserve">Western Texas College </t>
  </si>
  <si>
    <t>Texas A&amp;M University System Health Science Center</t>
  </si>
  <si>
    <t>Texas Tech University Health Sciences Center</t>
  </si>
  <si>
    <t>University of North Texas Health Science Center at Fort Worth</t>
  </si>
  <si>
    <t>n/a</t>
  </si>
  <si>
    <t>University of Texas Health Science Center at Houston</t>
  </si>
  <si>
    <t>University of Texas Health Science Center at San Antonio</t>
  </si>
  <si>
    <t>University of Texas M.D. Anderson Cancer Center</t>
  </si>
  <si>
    <t>University of Texas Medical Branch at Galveston</t>
  </si>
  <si>
    <t>University of Texas Southwestern Medical Center at Dallas</t>
  </si>
  <si>
    <r>
      <t>1</t>
    </r>
    <r>
      <rPr>
        <sz val="8"/>
        <rFont val="Arial"/>
        <family val="2"/>
      </rPr>
      <t xml:space="preserve"> Ten institutions.</t>
    </r>
  </si>
  <si>
    <r>
      <t>2</t>
    </r>
    <r>
      <rPr>
        <sz val="8"/>
        <rFont val="Arial"/>
        <family val="2"/>
      </rPr>
      <t xml:space="preserve"> Ten institutions.</t>
    </r>
  </si>
  <si>
    <r>
      <t>3</t>
    </r>
    <r>
      <rPr>
        <sz val="8"/>
        <rFont val="Arial"/>
        <family val="2"/>
      </rPr>
      <t xml:space="preserve"> Two institutions.</t>
    </r>
  </si>
  <si>
    <t>Louisiana Technical College-Lamar Salter Campus</t>
  </si>
  <si>
    <t>Louisiana Technical College-Mansfield Campus</t>
  </si>
  <si>
    <t>Louisiana Technical College-Morgan Smith Campus</t>
  </si>
  <si>
    <t>Louisiana Technical College-Nachitoches Campus</t>
  </si>
  <si>
    <t>Louisiana Technical College-North Central Campus</t>
  </si>
  <si>
    <t>Louisiana Technical College-Northeast Louisiana Campus</t>
  </si>
  <si>
    <t>Louisiana Technical College-Northwest Louisiana Campus</t>
  </si>
  <si>
    <t>Louisiana Technical College-Oakdale Campus</t>
  </si>
  <si>
    <t>Louisiana Technical College-River Parishes Campus</t>
  </si>
  <si>
    <t>Louisiana Technical College-Ruston Campus</t>
  </si>
  <si>
    <t>Louisiana Technical College-Sabine Valley Campus</t>
  </si>
  <si>
    <t>Louisiana Technical College-Shelby M. Jackson Campus</t>
  </si>
  <si>
    <t>MEDIANS</t>
  </si>
  <si>
    <t xml:space="preserve">Delgado Community College </t>
  </si>
  <si>
    <t>Baton Rouge Community College</t>
  </si>
  <si>
    <t>Bossier Parish Community College</t>
  </si>
  <si>
    <t>Louisiana State University at Eunice</t>
  </si>
  <si>
    <t>Louisiana Delta Community College</t>
  </si>
  <si>
    <t>Nunez Community College</t>
  </si>
  <si>
    <t>River Parishes Community College</t>
  </si>
  <si>
    <t>South Louisiana Community College</t>
  </si>
  <si>
    <t>Southern University in Shreveport</t>
  </si>
  <si>
    <t>Sowela Technical Community College</t>
  </si>
  <si>
    <t>L.E. Fletcher Technical Community College</t>
  </si>
  <si>
    <t>Louisiana Technical College-Acadian Campus</t>
  </si>
  <si>
    <t>Louisiana Technical College-Alexandria Campus</t>
  </si>
  <si>
    <t>Louisiana Technical College-Ascension Campus</t>
  </si>
  <si>
    <t>Louisiana Technical College-Avoyelles Campus</t>
  </si>
  <si>
    <t>Louisiana Technical College-Bastrop Campus</t>
  </si>
  <si>
    <t>Louisiana Technical College-Baton Rouge Campus</t>
  </si>
  <si>
    <t>Louisiana Technical College-Charles B. Coreil Campus</t>
  </si>
  <si>
    <t>Louisiana Technical College-Delta/Ouachita Campus</t>
  </si>
  <si>
    <t>Louisiana Technical College-Evangeline Campus</t>
  </si>
  <si>
    <t>Louisiana Technical College-Florida Parishes Campus</t>
  </si>
  <si>
    <t>Louisiana Technical College-Folkes Campus</t>
  </si>
  <si>
    <t>Louisiana Technical College-Gulf Area Campus</t>
  </si>
  <si>
    <t>Louisiana Technical College-Hammond Area Campus</t>
  </si>
  <si>
    <t>Louisiana Technical College-Huey P. Long Campus</t>
  </si>
  <si>
    <t>Louisiana Technical College-Jefferson Campus</t>
  </si>
  <si>
    <t>Louisiana Technical College-Jumonville Memorial Campus</t>
  </si>
  <si>
    <t>Louisiana Technical College-Lafayette Campus</t>
  </si>
  <si>
    <t>Louisiana Technical College-Lafourche Campus</t>
  </si>
  <si>
    <t>Yes</t>
  </si>
  <si>
    <t>Two-Year 3 (10)</t>
  </si>
  <si>
    <t>Technical 1 (12)</t>
  </si>
  <si>
    <t>The Council has statutory responsibility for setting tuition. The Council allows individual universities and the Kentucky Community and Technical College System office to propose tuition within specfic parameters established by the Council on Postsecondary Education.</t>
  </si>
  <si>
    <t>Professional</t>
  </si>
  <si>
    <t>`</t>
  </si>
  <si>
    <t xml:space="preserve">Indian Capital Technology Center-Sallisaw         </t>
  </si>
  <si>
    <t>Boards of Trustees of individual institutions are solely empowered to establish tuition and fees. Legislation provides guidelines for common student classifications and requirements for non-resident tuition rates.</t>
  </si>
  <si>
    <t>Boards of Trustees of the institutions set rates based on expected enrollment and needed revenue. Legislation requires that non-resident tuition be no less than twice the resident tuition charge.</t>
  </si>
  <si>
    <t>Mississippi Board of Trustees of State
Institutions of Higher Learning</t>
  </si>
  <si>
    <t>Not necessarily. Varies by institution.</t>
  </si>
  <si>
    <t xml:space="preserve">In accordance with the policy approved in April 2001, allowing research universities to request increases in out-of-state tuition rates to the levels of peer or benchmark institutions, the understanding is that the proportion of out-of-state students not be increased at the research universities. </t>
  </si>
  <si>
    <t>Individual institutions may decide based on legislative guidelines. The guidelines allow institutions to extend resident tuition rates to students who reside in any county within 50-miles of a campus of the institution.</t>
  </si>
  <si>
    <t>Individual institutions set limits, if any.</t>
  </si>
  <si>
    <t>Table 104</t>
  </si>
  <si>
    <t>Table 105</t>
  </si>
  <si>
    <t>Tuition reciprocity agreement w/TX (for Bowie CC/TX)</t>
  </si>
  <si>
    <t>Institutional boards of trustees are solely empowered to establish tuition and fees.</t>
  </si>
  <si>
    <t>Individual institutions set rates based on expected enrollment and anticipated revenue.</t>
  </si>
  <si>
    <t>Students attending the University of Virginia's College at Wise who live in Kentucky, within 50 miles of the campus, are eligible for in-state tuition. Out-of-state students attending college through a special arrangement contract between an institution and an employer can be eligible for reduced rates.</t>
  </si>
  <si>
    <t>Yes, some institutions have been authorized to establish a self-supporting "instructional enterprise" fund to account for revenue and expenditures of distance education classes offered to students outside the state. Student tuition and fee revenues for distance education students at out-of-state locations must exceed all direct and indirect instructional costs.</t>
  </si>
  <si>
    <t xml:space="preserve">The Commissioner is authorized to approve exceptions to the tuition policy for out of state residence students, provided:
(i) A written application is submitted by the institution.
(ii) There is evidence of a written reciprocity agreement with appropriate institutions in the adjoining state.
(iii) No reciprocity arrangement shall reduce the costs of tuition fees for an out-of-state student to less than that paid by residents of Georgia.
Non-resident tuition may be waived, normally on a quarter-by-quarter basis, for an international student by the Technical College President. Provided however, the number of such waivers shall not exceed two percent of the head count of student enrollment at the Technical College in the immediately preceding Fall Quarter. Any non-resident student receiving a tuition waiver shall pay the in-state tuition rate, but is not eligible for the HOPE program. </t>
  </si>
  <si>
    <t>Most technology centers have tuition reciprocity agreements.</t>
  </si>
  <si>
    <t>Not Applicable.</t>
  </si>
  <si>
    <t>There is no requirement.  Tuition and Fees Revenue is typically devoted to operating expenses.</t>
  </si>
  <si>
    <t>Osteopathic</t>
  </si>
  <si>
    <t>Veterinary</t>
  </si>
  <si>
    <t>Law</t>
  </si>
  <si>
    <t>Medicine</t>
  </si>
  <si>
    <t>Dentistry</t>
  </si>
  <si>
    <t>Pharmacy</t>
  </si>
  <si>
    <t>Optometry</t>
  </si>
  <si>
    <t>Notes:  The amounts shown for each state are the medians (middle values) of the institutions in each state.  The "SREB states median" is the middle value of all institutions with the professional program.</t>
  </si>
  <si>
    <t>Full-Time Out-of-State Students in Professional Programs</t>
  </si>
  <si>
    <t>Delaware</t>
  </si>
  <si>
    <t>LA</t>
  </si>
  <si>
    <t>Type</t>
  </si>
  <si>
    <t>OK</t>
  </si>
  <si>
    <t>TN</t>
  </si>
  <si>
    <t>TX</t>
  </si>
  <si>
    <t>Virginia*</t>
  </si>
  <si>
    <t>Institution</t>
  </si>
  <si>
    <t>ID #</t>
  </si>
  <si>
    <t>Category</t>
  </si>
  <si>
    <t>All 4yr</t>
  </si>
  <si>
    <t>SREB</t>
  </si>
  <si>
    <t>Size Unknown</t>
  </si>
  <si>
    <t>By credit hour.</t>
  </si>
  <si>
    <t>Veterinary Med. Out-of-State</t>
  </si>
  <si>
    <t>Veterinary Med In-State</t>
  </si>
  <si>
    <t>Osteopathic Med Out-of-State</t>
  </si>
  <si>
    <t>Osteopathic Med In-State</t>
  </si>
  <si>
    <t>Technical Institute or College</t>
  </si>
  <si>
    <t>None. Capital funding is derived through a combination of Academic Revenue Bonds, Auxiliary Revenue Bonds, and the Maryland Consolidated Capital Bond Loan.</t>
  </si>
  <si>
    <t>Pharmacy In-State</t>
  </si>
  <si>
    <t>Tuition rates generally are established such that the projected amount of revenue raised will approximate at least 25% of the total amount generated by the USG funding formula. Out-of-state tuition rates are established at a level representing at least four times the in-state tuition rates. University System of Georgia research universities may request increases in out-of-state tuition rates based on the tuition levels of peer or benchmark institutions. Graduate tuition is equal to 120% of under-graduate tuition. Institutions are permitted to request tuition differentials for nationally competitive professional programs. For FY 2007, the Board implemented a new Fixed for Four guaranteed tuition plan, whereby, new entering first time freshmen can lock in the tuition rate (not fees!) for a total of 4 years. The student will have no increase over the 4-year period for tuition only.</t>
  </si>
  <si>
    <t xml:space="preserve">Mississippi Delta Community College </t>
  </si>
  <si>
    <t xml:space="preserve">Northeast Mississippi Community College </t>
  </si>
  <si>
    <t xml:space="preserve">Pearl River Community College </t>
  </si>
  <si>
    <t xml:space="preserve">Coahoma Community College </t>
  </si>
  <si>
    <t xml:space="preserve">Southwest Mississippi Community College  </t>
  </si>
  <si>
    <t>Oklahoma State University Main Campus</t>
  </si>
  <si>
    <t>University of Oklahoma Norman Campus</t>
  </si>
  <si>
    <t>207500</t>
  </si>
  <si>
    <t>Northeastern State University</t>
  </si>
  <si>
    <t>University of Central Oklahoma</t>
  </si>
  <si>
    <t xml:space="preserve">Cameron University </t>
  </si>
  <si>
    <t xml:space="preserve">East Central University </t>
  </si>
  <si>
    <t>Langston University</t>
  </si>
  <si>
    <t xml:space="preserve">Northwestern Oklahoma State University </t>
  </si>
  <si>
    <t xml:space="preserve">Southeastern Oklahoma State University </t>
  </si>
  <si>
    <t>Southwestern Oklahoma State University</t>
  </si>
  <si>
    <t xml:space="preserve">Oklahoma Panhandle State University </t>
  </si>
  <si>
    <t>University of Science and Arts of Oklahoma</t>
  </si>
  <si>
    <t>Rogers State University</t>
  </si>
  <si>
    <t xml:space="preserve">Oklahoma City Community College </t>
  </si>
  <si>
    <t xml:space="preserve">Tulsa Community College </t>
  </si>
  <si>
    <t xml:space="preserve">Northern Oklahoma College </t>
  </si>
  <si>
    <t xml:space="preserve">Oklahoma State University Technical Branch-Okmulgee </t>
  </si>
  <si>
    <t xml:space="preserve">Oklahoma State University-Oklahoma City </t>
  </si>
  <si>
    <t xml:space="preserve">Rose State College </t>
  </si>
  <si>
    <t>Carl Albert State College</t>
  </si>
  <si>
    <t xml:space="preserve">Connors State College </t>
  </si>
  <si>
    <t xml:space="preserve">Eastern Oklahoma State College </t>
  </si>
  <si>
    <t xml:space="preserve">Murray State College </t>
  </si>
  <si>
    <t xml:space="preserve">Northeastern Oklahoma A &amp; M College </t>
  </si>
  <si>
    <t>Redlands Community College</t>
  </si>
  <si>
    <t xml:space="preserve">Seminole State College </t>
  </si>
  <si>
    <t xml:space="preserve">Western Oklahoma State College </t>
  </si>
  <si>
    <t>Clemson University</t>
  </si>
  <si>
    <t>University of South Carolina-Columbia</t>
  </si>
  <si>
    <t>College of Charleston</t>
  </si>
  <si>
    <t xml:space="preserve">Winthrop University </t>
  </si>
  <si>
    <t xml:space="preserve">The Citadel, the Military College of South Carolina </t>
  </si>
  <si>
    <t>Coastal Carolina University</t>
  </si>
  <si>
    <t xml:space="preserve">Francis Marion University </t>
  </si>
  <si>
    <t>Lander University</t>
  </si>
  <si>
    <t xml:space="preserve">Reciprocity agreements with specific counties in KY, GA, AL, AR, MO, VA, MS and NC exist for particular TN institutions. </t>
  </si>
  <si>
    <t>Tuition and fee revenue, for the most part, is used for operations. Mississippi Code establishes a floor of 1 mill and a ceiling of 3 mills that must be provided by counties to their assigned community college district for capital improvements.</t>
  </si>
  <si>
    <t>Rates are set by student classification. Institutions can set rates on a per credit hour basis.</t>
  </si>
  <si>
    <t>Board of Governors rules limit system wide enrollment to 10% out-of-state, with no cap on individual universities.</t>
  </si>
  <si>
    <t>1</t>
  </si>
  <si>
    <t>2</t>
  </si>
  <si>
    <r>
      <t>3</t>
    </r>
    <r>
      <rPr>
        <sz val="8"/>
        <rFont val="Arial"/>
        <family val="2"/>
      </rPr>
      <t xml:space="preserve"> Ten institutions.</t>
    </r>
  </si>
  <si>
    <t>3</t>
  </si>
  <si>
    <t>The University System of Georgia</t>
  </si>
  <si>
    <t>Old</t>
  </si>
  <si>
    <t>New</t>
  </si>
  <si>
    <t>% Change</t>
  </si>
  <si>
    <t>Undergraduate In-State</t>
  </si>
  <si>
    <t>Undergraduate Out-of-State</t>
  </si>
  <si>
    <t>Graduate In-State</t>
  </si>
  <si>
    <t>Graduate Out-of-State</t>
  </si>
  <si>
    <t>Law In-State</t>
  </si>
  <si>
    <t>Law Out-of-State</t>
  </si>
  <si>
    <t>Medicine In-State</t>
  </si>
  <si>
    <t>Medicine Out-of-State</t>
  </si>
  <si>
    <t>Dentistry In-State</t>
  </si>
  <si>
    <t>Dentistry Out-of-State</t>
  </si>
  <si>
    <t>Oklahoma Department of Career and Technology Education</t>
  </si>
  <si>
    <t xml:space="preserve">Individual institution boards. </t>
  </si>
  <si>
    <t>Boards of Visitors at individual institutions.</t>
  </si>
  <si>
    <t>Mid-Year Increases in Tuition and Required Fees</t>
  </si>
  <si>
    <t>West Virginia University</t>
  </si>
  <si>
    <t>Tennessee Technology Center at Hohenwald</t>
  </si>
  <si>
    <t xml:space="preserve">Tuition for credit curriculum leading to a diploma or associate degree shall be charged on a uniform basis throughout the State.                Students attending technical institutes who reside outside the State of Georgia shall pay tuition twice that charged for Georgia residents. 
International students who are residents of the State shall pay the same tuition as Georgia students.
Non-resident aliens and those on I-20 Foreign Student Visas shall pay a tuition amounting to four (4) times that paid by a resident of Georgia.
International students, to include diplomatic, consular, mission, and other non-immigrant personnel shall pay tuition fees amounting to four (4) times that paid by a resident of Georgia.
</t>
  </si>
  <si>
    <t>By the credit hour, but capped at 12 credit hours.</t>
  </si>
  <si>
    <t>There is no requirement that specific tuition and fee revenue be devoted to capital funding.  Most commonly, capital funding is appropriated through state bond issues approved by the legislature as a part of the annual budget.</t>
  </si>
  <si>
    <t>Some institutions differentiate on-line rates.</t>
  </si>
  <si>
    <t>No statewide policies</t>
  </si>
  <si>
    <t>Determined by the local Technology Center Board of Education.</t>
  </si>
  <si>
    <t>Varies by school.</t>
  </si>
  <si>
    <t>Varies by program by school.</t>
  </si>
  <si>
    <t>Tuition for secondary students not residing in any Technology Center district is determined by the Oklahoma Department of Career and Technology Education.</t>
  </si>
  <si>
    <t>A capital fee is charged to out-of-state students for debt service on bonds issued under the 21st Century Program. However, in general, there are no guidelines or formula relating to student revenue and capital funding. The amount of fee revenue set aside for capital projects or debt service varies by institution. Virginia funds capital outlay projects through state (general fund) appropriations, non-general fund (student revenue, gifts and grants, contributions by localities, etc.) appropriations and state bonding.</t>
  </si>
  <si>
    <t>OldOstOS</t>
  </si>
  <si>
    <t>NewOstOS</t>
  </si>
  <si>
    <t>OldVetIS</t>
  </si>
  <si>
    <t>NewVetIS</t>
  </si>
  <si>
    <t>OldVetOS</t>
  </si>
  <si>
    <t>NewVetOS</t>
  </si>
  <si>
    <t>State Board of Technical and Adult Education</t>
  </si>
  <si>
    <t>Table 102</t>
  </si>
  <si>
    <t>Table 103</t>
  </si>
  <si>
    <t>Notes: The amounts shown for each state are the medians (middle values) of the institutions in each state. The "SREB states median" is the middle value of all institutions with the professional program.</t>
  </si>
  <si>
    <t>The statute for Capital Improvement Fees was changed to increase the resident rate from the  rate of $1 per credit hour to not exceeding 10% of tuition.  The nonresident portion was increased from a rate of $3 per credit hour to not exceeding 10% of the sum of the tuition and out of state fees. Legislation also provided that bonds be issued from Capital Improvement Fee revenues by the Division of Bond Finance.  The capital improvement fee must be dedicated.  The major source of capital funding is Public Education Outlay Fund (PECO), which is funded by the gross receipt tax.</t>
  </si>
  <si>
    <t>No set policy. Other funding sources are general improvemenet funds and local taxes.</t>
  </si>
  <si>
    <t>University System of Maryland</t>
  </si>
  <si>
    <t>Tennessee Technology Center at Memphis</t>
  </si>
  <si>
    <t>Tennessee Technology Center at Morristown</t>
  </si>
  <si>
    <t>Tennessee Technology Center at Murfeesboro</t>
  </si>
  <si>
    <t>Tennessee Technology Center at Nashville</t>
  </si>
  <si>
    <t>Tennessee Technology Center at Newbern</t>
  </si>
  <si>
    <t>Tennessee Technology Center at Oneida</t>
  </si>
  <si>
    <t>Tennessee Technology Center at Paris</t>
  </si>
  <si>
    <t>Tennessee Technology Center at Pulaski</t>
  </si>
  <si>
    <t>Tennessee Technology Center at Ripley</t>
  </si>
  <si>
    <t>Tennessee Technology Center at Shelbyville</t>
  </si>
  <si>
    <t>Tennessee Technology Center at Whiteville</t>
  </si>
  <si>
    <t>University of Tennessee Health Science Center</t>
  </si>
  <si>
    <t xml:space="preserve">A community college board of trustees that has a service area that borders another state may implement a plan for a differential out-of-state fee.
</t>
  </si>
  <si>
    <t>Higher Education Coordinating Board sets tuition and fee revenue expectations; institutions and local boards determine amount of tuition.</t>
  </si>
  <si>
    <t>Not by policy. Higher Education Coordinating Board sets tuition and fee expectations. If non-resident fee is waived, institution foregoes that revenue. Non-resident fees are waived for students in the SREB Academic Common Market program.</t>
  </si>
  <si>
    <t>Georgia Department of Technical and Adult Education</t>
  </si>
  <si>
    <t>Two institutions have "reciprocity" agreements with adjoining counties in other states - USC-Aiken and Aiken T.C. have agreements with adjoining counties in Georgia. Winthrop has a "partnership" agreement for students in adjoining NC counties for its EMBA program, but it is not reciprocal for SC students attending NC institutions.</t>
  </si>
  <si>
    <t>With Bach-    elor's</t>
  </si>
  <si>
    <t>with Bach- elor's</t>
  </si>
  <si>
    <t>"NA" indicates not applicable. There is no institution of this type in the state.</t>
  </si>
  <si>
    <t>none</t>
  </si>
  <si>
    <t>Institutions may charge special tuition rates for distance education courses and programs. If the rate is either less than the institution's in-state tuition rate or greater than its out-of-state tuition rate, Board approval is required.</t>
  </si>
  <si>
    <t>No statewide policy. USM and MSU have policy that resident tuition and fees be set between 30-45% of the cost of education. Nonresident tuition and fees should be at least 100% of cost of education.</t>
  </si>
  <si>
    <t>Texas Higher Education Coordinating Board</t>
  </si>
  <si>
    <t>Kentucky Council on Postsecondary Education</t>
  </si>
  <si>
    <t>Public Two-Year Colleges and Technical Institutes or Colleges, 2007-08</t>
  </si>
  <si>
    <t>pivot check</t>
  </si>
  <si>
    <t>University Board of Governors</t>
  </si>
  <si>
    <t>2006-07</t>
  </si>
  <si>
    <t>No limits except in the medical, dental, and law programs, which limit non-resident enrollment to no more than 10%.</t>
  </si>
  <si>
    <t>Not in statute.</t>
  </si>
  <si>
    <t>McDowell Technical Community College</t>
  </si>
  <si>
    <t>Montgomery Community College</t>
  </si>
  <si>
    <t>Pamlico Community College</t>
  </si>
  <si>
    <t>Roanoke-Chowan Community College</t>
  </si>
  <si>
    <t>Sampson Community College</t>
  </si>
  <si>
    <t xml:space="preserve">Tri-County Community College </t>
  </si>
  <si>
    <t>Caldwell Community College  &amp; Technical Institute</t>
  </si>
  <si>
    <t>State policies allow waiver of non-resident fees for military personnel and dependents, student research and teaching assistants employed at least one-half time at a public institution, teachers and professors employed at least one-half time at a public institution, non-resident students who receive competitive academic scholarships, non-resident students employed (or whose parent is employed) by corporations participating in the economic development and diversification program. Waivers may also be granted to Mexican students attending border institutions and to residents of neighboring states at some institutions. Non-resident fees are waived for students in the SREB Academic Common Market program. Any student who attends high school in Texas for three years and graduates from a Texas high school can qualify to pay resident tuition rates, regardless of immigration status.</t>
  </si>
  <si>
    <t xml:space="preserve">Formal reciprocity agreements are in effect for some institutions. Agreements are between some Texas institutions and those in neighboring states or foreign countries. </t>
  </si>
  <si>
    <t>Albany Technical College</t>
  </si>
  <si>
    <t>Altamaha Technical College</t>
  </si>
  <si>
    <t>Athens Technical College</t>
  </si>
  <si>
    <t>Atlanta Technical College</t>
  </si>
  <si>
    <t>Augusta Technical College</t>
  </si>
  <si>
    <t>When institutions are authorized to issue tuition revenue bonds, they pledge all or a portion of their tuition revenue to repayment of those bonds, which are used for capital projects. The Texas Legislature provides general revenue to either partially or fully replace the tuition revenue used in debt service on those bonds.. When institutions issue revenue bonds for capital projects and use designated tuition as a source of funds, they are obligated to use those funds to provide debt service, unless the Legislature provides an appropriation for that purpose. Institutions are allowed to create separate financing systems for each university system, within which university systems may issue bonds and pledge all or any part of revenue funds available for debt service (including fee revenue) of the entire university system for repayment. The Texas Constitution provides two other major sources of funding for capital projects.  The funding mechanisms differ.  Funds made available through these two  programs are informally referred to as "HEAF" and "PUF" funds.</t>
  </si>
  <si>
    <t xml:space="preserve">Historically, in-state undergraduate tuition has been set at 25% of the cost of instruction, with out-of-state students paying the full cost.  However,  in the last three years, in-state students have been paying more than 30% of the cost of instruction. </t>
  </si>
  <si>
    <t>Fee waivers are established by the General Assembly and the State Board of Community Colleges. Special policies are established for military personnel and dependents. Out-of-state military personnel on education assistance pay in-state tuition rates; the military branch is billed for the difference between in-state and out-of-state rates. Military dependents are charged the in-state rates. Legal residents of North Carolina who have attained the age of 65 shall be permitted to attend classes for credit or non-credit purposes without the required payment of tuition.</t>
  </si>
  <si>
    <t>No statewide policies.</t>
  </si>
  <si>
    <t>State Board of Regents within limits prescribed by the Legislature.</t>
  </si>
  <si>
    <t>Policy permits individual institutions to waive tuition at their discretion but they then forego that revenue. Non-resident fees are waived for students in the SREB Academic Common Market program. No other statewide policy.</t>
  </si>
  <si>
    <t>OLD</t>
  </si>
  <si>
    <t>% change</t>
  </si>
  <si>
    <t>All Technical</t>
  </si>
  <si>
    <t>All Two-Year</t>
  </si>
  <si>
    <t>Generally all tuition and fee revenue is devoted to operating expenses. There are other sources used for capital improvements.</t>
  </si>
  <si>
    <t>SREB states</t>
  </si>
  <si>
    <t>In-State</t>
  </si>
  <si>
    <t>Out-of-State</t>
  </si>
  <si>
    <t>Two-Year College</t>
  </si>
  <si>
    <t>Four-Year Universities</t>
  </si>
  <si>
    <t>Institutions must report annually to CHE its actual in-state/out-of-state student mix and its optimum student mix.</t>
  </si>
  <si>
    <t>Individual boards using guidelines of Higher Education Commission</t>
  </si>
  <si>
    <t>There is no formal policy that requires use of tuition and fee revenue for capital funding. State general obligation bonds, major repair and rehabilitation funds (formula-generated), auxiliary enterprise funds, indirect cost recoveries and interest income from investments are other sources of capital funding.</t>
  </si>
  <si>
    <t>2007-08</t>
  </si>
  <si>
    <t>Tuition and Related Policies, SREB States, 2007-08</t>
  </si>
  <si>
    <t>With the exception of a few block-rate fees, most (including tuition) are by the credit hour.</t>
  </si>
  <si>
    <t>Tuition and Related Policies, SREB States, 2007-08 (continued)</t>
  </si>
  <si>
    <t>No reciprocity agreements, but UWF charges a reduced non-resident tuition to students whose residence is in AL counties within 50 miles of the FL border.   In addition, there is a provision in 1009.24, Florida Statutes which states a university "that has a service area that borders another state may implement a plan for a differential out-of-state fee." The UNF will begin charging a reduced non-resident tuition to GA students.</t>
  </si>
  <si>
    <t>Full-Time Students, Public Institutions, 2007-08</t>
  </si>
  <si>
    <t>5% increase beginning Spring 2008</t>
  </si>
  <si>
    <t xml:space="preserve">Marshall University </t>
  </si>
  <si>
    <t xml:space="preserve">Bluefield State College </t>
  </si>
  <si>
    <t xml:space="preserve">Concord University </t>
  </si>
  <si>
    <t xml:space="preserve">Glenville State College </t>
  </si>
  <si>
    <t xml:space="preserve">Shepherd University </t>
  </si>
  <si>
    <t xml:space="preserve">West Liberty State College </t>
  </si>
  <si>
    <t xml:space="preserve">West Virginia State University </t>
  </si>
  <si>
    <t>West Virginia University Institute of Technology</t>
  </si>
  <si>
    <t>Local boards set general tuition and required fees based on the level of state resources for educational and supportive services. Local Boards are also authorized to prescribe the amount of fees for non-resident tuition provided that total fees for non-residents shall not be less than the average cost per student from state appropriated funds.</t>
  </si>
  <si>
    <t xml:space="preserve"> </t>
  </si>
  <si>
    <t>There is no requirement for any portion of tuition and fee revenue to be devoted to capital funding.  Institutions may issue bonds to raise capital funds.</t>
  </si>
  <si>
    <t>Board of Governors of the State University System of Florida</t>
  </si>
  <si>
    <t>NA</t>
  </si>
  <si>
    <t>Table 101</t>
  </si>
  <si>
    <t>Varies-set by institutions.</t>
  </si>
  <si>
    <t>Yes (graduate only).</t>
  </si>
  <si>
    <t>Not applicable.</t>
  </si>
  <si>
    <t>Per credit hour rates.</t>
  </si>
  <si>
    <t>Varies by institution, no statewide policy.</t>
  </si>
  <si>
    <t>Technical 2 (13)</t>
  </si>
  <si>
    <t>Technical size unk (14)</t>
  </si>
  <si>
    <t xml:space="preserve">Texas </t>
  </si>
  <si>
    <t>Both.</t>
  </si>
  <si>
    <t>Specific institutions have established tuition reciprocity agreements.</t>
  </si>
  <si>
    <t xml:space="preserve">Francis Tuttle Technology Center                  </t>
  </si>
  <si>
    <t xml:space="preserve">Great Plains Technology Center                    </t>
  </si>
  <si>
    <t xml:space="preserve">Metro Technology Centers                          </t>
  </si>
  <si>
    <t xml:space="preserve">Moore Norman Technology Center                    </t>
  </si>
  <si>
    <t xml:space="preserve">Tulsa Technology Center-Broken Arrow Campus       </t>
  </si>
  <si>
    <t xml:space="preserve">Autry Technology Center                           </t>
  </si>
  <si>
    <t xml:space="preserve">Caddo Kiowa Technology Center                     </t>
  </si>
  <si>
    <t xml:space="preserve">Canadian Valley Technology Center                 </t>
  </si>
  <si>
    <t xml:space="preserve">Central Technology Center                         </t>
  </si>
  <si>
    <t xml:space="preserve">Chisholm Trail Technology Center                  </t>
  </si>
  <si>
    <t xml:space="preserve">Eastern Oklahoma County Technology Center         </t>
  </si>
  <si>
    <t xml:space="preserve">Gordon Cooper Technology Center                   </t>
  </si>
  <si>
    <t xml:space="preserve">Green Country Technology Center                   </t>
  </si>
  <si>
    <t xml:space="preserve">High Plains Technology Center                     </t>
  </si>
  <si>
    <t xml:space="preserve">Indian Capital Technology Center-Muskogee         </t>
  </si>
  <si>
    <t>Language contained in the Appropriation Act states that the Boards of Visitors may set tuition and fee charges at the levels they deem to be appropriate for all student groups based on, but not limited to, competitive market rates. Out-of-state student charges shall not be less than 100 percent of the average cost of education, unless an exception is granted. In addition, in setting tuition and fee charges, institutions shall take into consideration of the appropriate student share of costs associated with the base funding, salary increases and other priorities set forth in the Act.
Virginia has a 63/37 fund share policy in funding institutions' base operations. Institutions can set the tuition increases based on its share of the estimated needs. In addition, in order to make colleges affordable, the General Assembly required institutions to limit the tuition increases to in-state undergraduate students to no more than 6% in 2007-08. Institutions are allowed to exceed this limit if the additional revenue is used solely for in-state undergraduate financial aid.</t>
  </si>
  <si>
    <t>Institutionally determined within 5% - 10% limit (i.e., the number of waivers should equal 5% - 10% of the FTE undergraduate enrollment of the institution for the fall term of the immediately preceding academic year); however, this would apply to both resident and non-resident students. Metro fees exist for non-resident students in selected counties in bordering states. There is a statute on reciprocity which guides the development of agreements, but no policy per se. (Cross reference question on reciprocity.) Non-resident fees are waived for students in the SREB Academic Common Market program.</t>
  </si>
  <si>
    <t xml:space="preserve">Part of the required fees assessed against each credit hour are two building fees which together amount to $4.76 per credit hour. No other part of the tuition and required fees is devoted to capital funding. </t>
  </si>
  <si>
    <t>Florida State Board of Education subject to being superseded by the Legislature.</t>
  </si>
  <si>
    <t>Non-resident students admitted on a space available basis.</t>
  </si>
  <si>
    <t xml:space="preserve">Students who are classified as non-resident students under the Board's State Residency Policy shall normally be charged a rate of tuition twice that charged for students who are classified as resident students. The Commissioner may approve exceptions to this policy, provided:
i) A written application is submitted by the institution.
ii) There is evidence of a written reciprocity agreement with appropriate institutions in another state.
</t>
  </si>
  <si>
    <t>Name</t>
  </si>
  <si>
    <t>IPEDSID</t>
  </si>
  <si>
    <t>OldUGIS</t>
  </si>
  <si>
    <t>NewUGIS</t>
  </si>
  <si>
    <t>OldUGOS</t>
  </si>
  <si>
    <t>NewUGOS</t>
  </si>
  <si>
    <t>OldGIS</t>
  </si>
  <si>
    <t>OldGOS</t>
  </si>
  <si>
    <t>NewGIS</t>
  </si>
  <si>
    <t>NewGOS</t>
  </si>
  <si>
    <t>OldLawIS</t>
  </si>
  <si>
    <t>NewLawIS</t>
  </si>
  <si>
    <t>OldLawOS</t>
  </si>
  <si>
    <t>NewLawOS</t>
  </si>
  <si>
    <t>OldMedIS</t>
  </si>
  <si>
    <t>NewMedIS</t>
  </si>
  <si>
    <t>OldMedOS</t>
  </si>
  <si>
    <t>NewMedOS</t>
  </si>
  <si>
    <t>OldDenIS</t>
  </si>
  <si>
    <t>NewDenIS</t>
  </si>
  <si>
    <t>OldDenOS</t>
  </si>
  <si>
    <t>NewDenOS</t>
  </si>
  <si>
    <t>OldPhrIS</t>
  </si>
  <si>
    <t>NewPhrIS</t>
  </si>
  <si>
    <t>OldPhrOS</t>
  </si>
  <si>
    <t>NewPhrOS</t>
  </si>
  <si>
    <t>OldOptIS</t>
  </si>
  <si>
    <t>NewOptIS</t>
  </si>
  <si>
    <t>OldOptOS</t>
  </si>
  <si>
    <t>NewOptOS</t>
  </si>
  <si>
    <t>OldOstIS</t>
  </si>
  <si>
    <t>NewOstIS</t>
  </si>
  <si>
    <t>Board of Regents funding policy targets SREB average rates for both state supoort and tuition and mandatory fee support, by category of institution.  However, resident tuition and fee rates as established by the management boards must be approved the the Legislature.  Non-resident tuition and fees are currently authorized to be set at the average SREB rate, by category of school, excluding Louisiana.</t>
  </si>
  <si>
    <t>Generally, rates increase by student credit hour up to a full-time maximum.</t>
  </si>
  <si>
    <t>None</t>
  </si>
  <si>
    <t>The Texas Legislature. There are two types of tuition.  Statutory tuition, which must be charged by universities, is currently set by the Legislature at $50 per semester credit hour.  The Legislature delegated authority to the Governing Boards and Boards of Trustees of Universities to levy an optional charge for tuition, referred to as designated tuition, starting in January, 2004.  Maximum designated tuition rates were previously limited by the Legislature to the rate set by the Legislature for statutory tuition.</t>
  </si>
  <si>
    <t>Non-resident tuition may be waived for graduate assistants. Students (undergraduate or graduate) who are TN state employees, children of state employees, or children of TN tuition discount. At 2-year institutions, fee waivers are limited to 3% of FTE. Non-resident fees are waived for students in the SREB Academic Common Market program.</t>
  </si>
  <si>
    <t>No enrollment cap for 4-year institutions.</t>
  </si>
  <si>
    <t>There are tuition reciprocity agreements involving selected counties and institutions in KY, OH, MD, and VA.</t>
  </si>
  <si>
    <t>Language contained in the Appropriation Act states that institutional boards of visitors shall not increase the current proportion of nonresident undergraduate students if an institution's nonresident undergraduate enrollment exceeds 25%.</t>
  </si>
  <si>
    <t>Oklahoma State Regents for Higher Education</t>
  </si>
  <si>
    <t>Louisiana Board of Regents</t>
  </si>
  <si>
    <t>Maryland Higher Education Commission</t>
  </si>
  <si>
    <t>Mississippi State Board for Community and Junior Colleges</t>
  </si>
  <si>
    <t>Delaware Higher Education Commission</t>
  </si>
  <si>
    <t>Pharmacy Out-of-State</t>
  </si>
  <si>
    <t>Optometry In-State</t>
  </si>
  <si>
    <t>Optometry Out-of-State</t>
  </si>
  <si>
    <t xml:space="preserve">Florida State University </t>
  </si>
  <si>
    <t>University of Florida</t>
  </si>
  <si>
    <t xml:space="preserve">University of South Florida </t>
  </si>
  <si>
    <t xml:space="preserve">Florida Atlantic University </t>
  </si>
  <si>
    <t>Florida International University</t>
  </si>
  <si>
    <t xml:space="preserve">University of Central Florida </t>
  </si>
  <si>
    <t xml:space="preserve">Florida Agricultural &amp; Mechanical University </t>
  </si>
  <si>
    <t>University of North Florida</t>
  </si>
  <si>
    <t>University of West Florida</t>
  </si>
  <si>
    <t>Florida Gulf Coast University</t>
  </si>
  <si>
    <t>New College of Florida</t>
  </si>
  <si>
    <t xml:space="preserve">Cecil Community College </t>
  </si>
  <si>
    <t xml:space="preserve">Chesapeake College </t>
  </si>
  <si>
    <t xml:space="preserve">Garrett College </t>
  </si>
  <si>
    <t xml:space="preserve">Hagerstown Community College </t>
  </si>
  <si>
    <t xml:space="preserve">Wor-Wic Community College </t>
  </si>
  <si>
    <t>University of Maryland University College</t>
  </si>
  <si>
    <t xml:space="preserve">University of Maryland, Baltimore </t>
  </si>
  <si>
    <t xml:space="preserve">Hinds Community College </t>
  </si>
  <si>
    <t xml:space="preserve">Mississippi Gulf Coast Community College </t>
  </si>
  <si>
    <t xml:space="preserve">Northwest Mississippi Community College </t>
  </si>
  <si>
    <t xml:space="preserve">Copiah-Lincoln Community College </t>
  </si>
  <si>
    <t xml:space="preserve">East Central Community College </t>
  </si>
  <si>
    <t xml:space="preserve">East Mississippi Community College </t>
  </si>
  <si>
    <t xml:space="preserve">Holmes Community College </t>
  </si>
  <si>
    <t xml:space="preserve">Itawamba Community College </t>
  </si>
  <si>
    <t xml:space="preserve">Jones County Junior College </t>
  </si>
  <si>
    <t xml:space="preserve">Meridian Community College </t>
  </si>
  <si>
    <t>December 2009</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</si>
</sst>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
    <numFmt numFmtId="166" formatCode="_(* #,##0.0_);_(* \(#,##0.0\);_(* &quot;-&quot;??_);_(@_)"/>
    <numFmt numFmtId="167" formatCode="_(* #,##0_);_(* \(#,##0\);_(* &quot;-&quot;??_);_(@_)"/>
    <numFmt numFmtId="168" formatCode="&quot;$&quot;#,##0"/>
    <numFmt numFmtId="169" formatCode="#,##0.0"/>
    <numFmt numFmtId="170" formatCode="#,##0.000_);\(#,##0.000\)"/>
    <numFmt numFmtId="171" formatCode="#,##0.000"/>
    <numFmt numFmtId="172" formatCode="0.0_)"/>
    <numFmt numFmtId="173" formatCode="0.00_)"/>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Red]#,##0"/>
    <numFmt numFmtId="180" formatCode="0_);\(0\)"/>
    <numFmt numFmtId="181" formatCode="####.00"/>
  </numFmts>
  <fonts count="77">
    <font>
      <sz val="12"/>
      <name val="AGaramond"/>
      <family val="0"/>
    </font>
    <font>
      <sz val="8"/>
      <color indexed="8"/>
      <name val="Arial"/>
      <family val="2"/>
    </font>
    <font>
      <sz val="10"/>
      <name val="Tahoma"/>
      <family val="2"/>
    </font>
    <font>
      <sz val="8"/>
      <name val="Arial"/>
      <family val="2"/>
    </font>
    <font>
      <b/>
      <sz val="9"/>
      <color indexed="8"/>
      <name val="Arial"/>
      <family val="2"/>
    </font>
    <font>
      <b/>
      <sz val="14"/>
      <name val="Arial"/>
      <family val="2"/>
    </font>
    <font>
      <sz val="10"/>
      <name val="Arial"/>
      <family val="2"/>
    </font>
    <font>
      <b/>
      <sz val="12"/>
      <name val="Arial"/>
      <family val="2"/>
    </font>
    <font>
      <b/>
      <sz val="9"/>
      <name val="Arial"/>
      <family val="2"/>
    </font>
    <font>
      <b/>
      <sz val="10"/>
      <name val="Arial"/>
      <family val="2"/>
    </font>
    <font>
      <sz val="12"/>
      <name val="Arial"/>
      <family val="2"/>
    </font>
    <font>
      <b/>
      <sz val="10"/>
      <name val="Tahoma"/>
      <family val="2"/>
    </font>
    <font>
      <b/>
      <sz val="8"/>
      <name val="Tahoma"/>
      <family val="2"/>
    </font>
    <font>
      <sz val="10"/>
      <color indexed="19"/>
      <name val="Arial"/>
      <family val="2"/>
    </font>
    <font>
      <sz val="12"/>
      <color indexed="19"/>
      <name val="AGaramond"/>
      <family val="3"/>
    </font>
    <font>
      <sz val="8"/>
      <name val="AGaramond"/>
      <family val="3"/>
    </font>
    <font>
      <i/>
      <sz val="10"/>
      <name val="Arial"/>
      <family val="2"/>
    </font>
    <font>
      <b/>
      <sz val="10"/>
      <color indexed="12"/>
      <name val="Arial"/>
      <family val="2"/>
    </font>
    <font>
      <sz val="10"/>
      <color indexed="8"/>
      <name val="Arial"/>
      <family val="2"/>
    </font>
    <font>
      <b/>
      <sz val="10"/>
      <color indexed="8"/>
      <name val="Arial"/>
      <family val="2"/>
    </font>
    <font>
      <sz val="9"/>
      <name val="AGaramond"/>
      <family val="3"/>
    </font>
    <font>
      <sz val="10"/>
      <name val="AGaramond"/>
      <family val="3"/>
    </font>
    <font>
      <b/>
      <sz val="14"/>
      <color indexed="8"/>
      <name val="Arial"/>
      <family val="2"/>
    </font>
    <font>
      <b/>
      <sz val="10"/>
      <color indexed="48"/>
      <name val="Arial"/>
      <family val="2"/>
    </font>
    <font>
      <sz val="12"/>
      <name val="Wingdings"/>
      <family val="0"/>
    </font>
    <font>
      <sz val="10"/>
      <color indexed="10"/>
      <name val="Arial"/>
      <family val="2"/>
    </font>
    <font>
      <sz val="8"/>
      <name val="Tahoma"/>
      <family val="2"/>
    </font>
    <font>
      <sz val="12"/>
      <color indexed="16"/>
      <name val="Arial"/>
      <family val="2"/>
    </font>
    <font>
      <vertAlign val="superscript"/>
      <sz val="10"/>
      <name val="Arial"/>
      <family val="2"/>
    </font>
    <font>
      <vertAlign val="superscript"/>
      <sz val="8"/>
      <name val="Arial"/>
      <family val="2"/>
    </font>
    <font>
      <u val="single"/>
      <sz val="9"/>
      <color indexed="36"/>
      <name val="AGaramond"/>
      <family val="3"/>
    </font>
    <font>
      <u val="single"/>
      <sz val="9"/>
      <color indexed="12"/>
      <name val="AGaramond"/>
      <family val="3"/>
    </font>
    <font>
      <sz val="10"/>
      <color indexed="18"/>
      <name val="Tahoma"/>
      <family val="2"/>
    </font>
    <font>
      <sz val="8"/>
      <color indexed="10"/>
      <name val="Tahoma"/>
      <family val="2"/>
    </font>
    <font>
      <sz val="8"/>
      <color indexed="12"/>
      <name val="Arial"/>
      <family val="2"/>
    </font>
    <font>
      <sz val="10"/>
      <name val="Courier"/>
      <family val="3"/>
    </font>
    <font>
      <sz val="8"/>
      <color indexed="8"/>
      <name val="Tahoma"/>
      <family val="2"/>
    </font>
    <font>
      <b/>
      <sz val="8"/>
      <color indexed="8"/>
      <name val="Tahoma"/>
      <family val="2"/>
    </font>
    <font>
      <b/>
      <sz val="14"/>
      <name val="Tahoma"/>
      <family val="2"/>
    </font>
    <font>
      <b/>
      <sz val="14"/>
      <color indexed="10"/>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5" tint="-0.24997000396251678"/>
      <name val="Arial"/>
      <family val="2"/>
    </font>
    <font>
      <b/>
      <sz val="8"/>
      <name val="AGaramond"/>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44"/>
        <bgColor indexed="64"/>
      </patternFill>
    </fill>
    <fill>
      <patternFill patternType="solid">
        <fgColor indexed="45"/>
        <bgColor indexed="64"/>
      </patternFill>
    </fill>
    <fill>
      <patternFill patternType="solid">
        <fgColor indexed="11"/>
        <bgColor indexed="64"/>
      </patternFill>
    </fill>
    <fill>
      <patternFill patternType="solid">
        <fgColor indexed="13"/>
        <bgColor indexed="64"/>
      </patternFill>
    </fill>
    <fill>
      <patternFill patternType="solid">
        <fgColor indexed="15"/>
        <bgColor indexed="64"/>
      </patternFill>
    </fill>
    <fill>
      <patternFill patternType="solid">
        <fgColor indexed="15"/>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51"/>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rgb="FFFFC00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border>
    <border>
      <left style="thin">
        <color indexed="8"/>
      </left>
      <right>
        <color indexed="63"/>
      </right>
      <top>
        <color indexed="63"/>
      </top>
      <bottom>
        <color indexed="63"/>
      </bottom>
    </border>
    <border>
      <left style="thin">
        <color indexed="8"/>
      </left>
      <right>
        <color indexed="63"/>
      </right>
      <top>
        <color indexed="63"/>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right style="thin">
        <color indexed="8"/>
      </right>
      <top>
        <color indexed="63"/>
      </top>
      <bottom>
        <color indexed="63"/>
      </bottom>
    </border>
    <border>
      <left style="thin"/>
      <right style="thin">
        <color indexed="8"/>
      </right>
      <top>
        <color indexed="63"/>
      </top>
      <bottom style="thin"/>
    </border>
    <border>
      <left>
        <color indexed="63"/>
      </left>
      <right style="thin"/>
      <top style="thin">
        <color indexed="8"/>
      </top>
      <bottom style="thin">
        <color indexed="8"/>
      </bottom>
    </border>
    <border>
      <left>
        <color indexed="63"/>
      </left>
      <right style="thin"/>
      <top>
        <color indexed="63"/>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border>
    <border>
      <left>
        <color indexed="63"/>
      </left>
      <right style="thin"/>
      <top style="thin">
        <color indexed="8"/>
      </top>
      <bottom>
        <color indexed="63"/>
      </bottom>
    </border>
    <border>
      <left style="thin"/>
      <right style="thin"/>
      <top style="thin">
        <color indexed="8"/>
      </top>
      <bottom>
        <color indexed="63"/>
      </bottom>
    </border>
    <border>
      <left style="thin"/>
      <right>
        <color indexed="63"/>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style="thin"/>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right>
        <color indexed="63"/>
      </right>
      <top style="thin"/>
      <bottom style="thin">
        <color indexed="8"/>
      </bottom>
    </border>
    <border>
      <left style="medium"/>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77">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30"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31"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3" fontId="3"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37" fontId="35" fillId="0" borderId="0">
      <alignment/>
      <protection/>
    </xf>
    <xf numFmtId="0" fontId="6" fillId="0" borderId="0">
      <alignment/>
      <protection/>
    </xf>
    <xf numFmtId="0" fontId="6" fillId="0" borderId="0">
      <alignment/>
      <protection/>
    </xf>
    <xf numFmtId="3" fontId="3" fillId="0" borderId="0">
      <alignment/>
      <protection/>
    </xf>
    <xf numFmtId="3" fontId="3" fillId="0" borderId="0">
      <alignment/>
      <protection/>
    </xf>
    <xf numFmtId="164" fontId="0" fillId="0" borderId="0">
      <alignment/>
      <protection/>
    </xf>
    <xf numFmtId="37" fontId="3" fillId="0" borderId="0">
      <alignment/>
      <protection/>
    </xf>
    <xf numFmtId="0" fontId="6" fillId="0" borderId="0">
      <alignment/>
      <protection/>
    </xf>
    <xf numFmtId="164" fontId="0"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541">
    <xf numFmtId="164" fontId="0" fillId="0" borderId="0" xfId="0" applyAlignment="1">
      <alignment/>
    </xf>
    <xf numFmtId="164" fontId="3" fillId="0" borderId="0" xfId="0" applyFont="1" applyAlignment="1">
      <alignment/>
    </xf>
    <xf numFmtId="0" fontId="6" fillId="0" borderId="0" xfId="69" applyFont="1">
      <alignment/>
      <protection/>
    </xf>
    <xf numFmtId="0" fontId="6" fillId="0" borderId="10" xfId="69" applyFont="1" applyBorder="1">
      <alignment/>
      <protection/>
    </xf>
    <xf numFmtId="0" fontId="8" fillId="0" borderId="11" xfId="69" applyFont="1" applyBorder="1" applyAlignment="1" applyProtection="1">
      <alignment horizontal="centerContinuous"/>
      <protection/>
    </xf>
    <xf numFmtId="0" fontId="6" fillId="0" borderId="0" xfId="69" applyFont="1" applyBorder="1">
      <alignment/>
      <protection/>
    </xf>
    <xf numFmtId="0" fontId="6" fillId="0" borderId="0" xfId="69" applyFont="1" applyFill="1">
      <alignment/>
      <protection/>
    </xf>
    <xf numFmtId="3" fontId="6" fillId="0" borderId="0" xfId="69" applyNumberFormat="1" applyFont="1" applyAlignment="1">
      <alignment horizontal="center"/>
      <protection/>
    </xf>
    <xf numFmtId="0" fontId="6" fillId="0" borderId="0" xfId="69" applyFill="1">
      <alignment/>
      <protection/>
    </xf>
    <xf numFmtId="0" fontId="6" fillId="0" borderId="12" xfId="69" applyFont="1" applyBorder="1">
      <alignment/>
      <protection/>
    </xf>
    <xf numFmtId="3" fontId="6" fillId="0" borderId="0" xfId="69" applyNumberFormat="1" applyFont="1" applyBorder="1" applyAlignment="1">
      <alignment horizontal="center"/>
      <protection/>
    </xf>
    <xf numFmtId="3" fontId="6" fillId="0" borderId="0" xfId="69" applyNumberFormat="1" applyFont="1" applyFill="1" applyBorder="1" applyAlignment="1">
      <alignment horizontal="center"/>
      <protection/>
    </xf>
    <xf numFmtId="0" fontId="6" fillId="0" borderId="0" xfId="69">
      <alignment/>
      <protection/>
    </xf>
    <xf numFmtId="0" fontId="9" fillId="0" borderId="11" xfId="69" applyFont="1" applyBorder="1" applyAlignment="1" applyProtection="1">
      <alignment horizontal="centerContinuous"/>
      <protection/>
    </xf>
    <xf numFmtId="164" fontId="0" fillId="0" borderId="0" xfId="0" applyAlignment="1">
      <alignment horizontal="center"/>
    </xf>
    <xf numFmtId="0" fontId="6" fillId="0" borderId="10" xfId="69" applyBorder="1">
      <alignment/>
      <protection/>
    </xf>
    <xf numFmtId="3" fontId="6" fillId="0" borderId="0" xfId="69" applyNumberFormat="1" applyAlignment="1">
      <alignment horizontal="center"/>
      <protection/>
    </xf>
    <xf numFmtId="0" fontId="6" fillId="0" borderId="0" xfId="69" applyFont="1" applyFill="1" applyBorder="1">
      <alignment/>
      <protection/>
    </xf>
    <xf numFmtId="164" fontId="10" fillId="0" borderId="0" xfId="0" applyFont="1" applyAlignment="1">
      <alignment/>
    </xf>
    <xf numFmtId="168" fontId="6" fillId="0" borderId="0" xfId="69" applyNumberFormat="1" applyFont="1" applyAlignment="1">
      <alignment horizontal="center"/>
      <protection/>
    </xf>
    <xf numFmtId="0" fontId="5" fillId="0" borderId="0" xfId="69" applyFont="1" applyAlignment="1">
      <alignment horizontal="center"/>
      <protection/>
    </xf>
    <xf numFmtId="0" fontId="7" fillId="0" borderId="0" xfId="69" applyFont="1" applyAlignment="1">
      <alignment horizontal="center"/>
      <protection/>
    </xf>
    <xf numFmtId="164" fontId="3" fillId="0" borderId="0" xfId="0" applyFont="1" applyAlignment="1">
      <alignment vertical="top" wrapText="1"/>
    </xf>
    <xf numFmtId="168" fontId="6" fillId="0" borderId="0" xfId="69" applyNumberFormat="1" applyFont="1" applyFill="1" applyAlignment="1">
      <alignment horizontal="right"/>
      <protection/>
    </xf>
    <xf numFmtId="168" fontId="6" fillId="0" borderId="13" xfId="69" applyNumberFormat="1" applyFont="1" applyFill="1" applyBorder="1" applyAlignment="1">
      <alignment horizontal="right"/>
      <protection/>
    </xf>
    <xf numFmtId="3" fontId="6" fillId="0" borderId="0" xfId="69" applyNumberFormat="1" applyFont="1" applyFill="1" applyAlignment="1">
      <alignment horizontal="right"/>
      <protection/>
    </xf>
    <xf numFmtId="3" fontId="6" fillId="0" borderId="13" xfId="69" applyNumberFormat="1" applyFont="1" applyFill="1" applyBorder="1" applyAlignment="1">
      <alignment horizontal="right"/>
      <protection/>
    </xf>
    <xf numFmtId="3" fontId="6" fillId="0" borderId="0" xfId="69" applyNumberFormat="1" applyFont="1" applyAlignment="1">
      <alignment horizontal="right"/>
      <protection/>
    </xf>
    <xf numFmtId="3" fontId="6" fillId="0" borderId="13" xfId="69" applyNumberFormat="1" applyFont="1" applyBorder="1" applyAlignment="1">
      <alignment horizontal="right"/>
      <protection/>
    </xf>
    <xf numFmtId="3" fontId="6" fillId="0" borderId="12" xfId="69" applyNumberFormat="1" applyFont="1" applyFill="1" applyBorder="1" applyAlignment="1">
      <alignment horizontal="right"/>
      <protection/>
    </xf>
    <xf numFmtId="3" fontId="6" fillId="0" borderId="14" xfId="69" applyNumberFormat="1" applyFont="1" applyFill="1" applyBorder="1" applyAlignment="1">
      <alignment horizontal="right"/>
      <protection/>
    </xf>
    <xf numFmtId="3" fontId="6" fillId="0" borderId="0" xfId="69" applyNumberFormat="1" applyFont="1" applyBorder="1" applyAlignment="1">
      <alignment horizontal="right"/>
      <protection/>
    </xf>
    <xf numFmtId="3" fontId="6" fillId="0" borderId="12" xfId="69" applyNumberFormat="1" applyFont="1" applyBorder="1" applyAlignment="1">
      <alignment horizontal="right"/>
      <protection/>
    </xf>
    <xf numFmtId="0" fontId="8" fillId="0" borderId="0" xfId="69" applyFont="1" applyBorder="1" applyAlignment="1" applyProtection="1">
      <alignment horizontal="center"/>
      <protection/>
    </xf>
    <xf numFmtId="0" fontId="5" fillId="0" borderId="0" xfId="69" applyFont="1" applyAlignment="1">
      <alignment horizontal="centerContinuous"/>
      <protection/>
    </xf>
    <xf numFmtId="0" fontId="7" fillId="0" borderId="0" xfId="69" applyFont="1" applyAlignment="1">
      <alignment horizontal="centerContinuous"/>
      <protection/>
    </xf>
    <xf numFmtId="164" fontId="3" fillId="0" borderId="0" xfId="0" applyFont="1" applyFill="1" applyBorder="1" applyAlignment="1">
      <alignment/>
    </xf>
    <xf numFmtId="168" fontId="6" fillId="0" borderId="15" xfId="69" applyNumberFormat="1" applyFont="1" applyFill="1" applyBorder="1" applyAlignment="1">
      <alignment horizontal="right"/>
      <protection/>
    </xf>
    <xf numFmtId="3" fontId="6" fillId="0" borderId="15" xfId="69" applyNumberFormat="1" applyFont="1" applyFill="1" applyBorder="1" applyAlignment="1">
      <alignment horizontal="right"/>
      <protection/>
    </xf>
    <xf numFmtId="3" fontId="6" fillId="0" borderId="15" xfId="69" applyNumberFormat="1" applyFont="1" applyBorder="1" applyAlignment="1">
      <alignment horizontal="right"/>
      <protection/>
    </xf>
    <xf numFmtId="3" fontId="6" fillId="0" borderId="16" xfId="69" applyNumberFormat="1" applyFont="1" applyFill="1" applyBorder="1" applyAlignment="1">
      <alignment horizontal="right"/>
      <protection/>
    </xf>
    <xf numFmtId="3" fontId="6" fillId="0" borderId="17" xfId="69" applyNumberFormat="1" applyFont="1" applyBorder="1" applyAlignment="1">
      <alignment horizontal="right"/>
      <protection/>
    </xf>
    <xf numFmtId="3" fontId="6" fillId="0" borderId="18" xfId="69" applyNumberFormat="1" applyFont="1" applyBorder="1" applyAlignment="1">
      <alignment horizontal="right"/>
      <protection/>
    </xf>
    <xf numFmtId="0" fontId="9" fillId="0" borderId="19" xfId="69" applyFont="1" applyBorder="1" applyAlignment="1" applyProtection="1">
      <alignment horizontal="centerContinuous"/>
      <protection/>
    </xf>
    <xf numFmtId="0" fontId="13" fillId="0" borderId="0" xfId="69" applyFont="1" applyFill="1" applyBorder="1">
      <alignment/>
      <protection/>
    </xf>
    <xf numFmtId="3" fontId="13" fillId="0" borderId="0" xfId="69" applyNumberFormat="1" applyFont="1" applyBorder="1" applyAlignment="1">
      <alignment horizontal="right"/>
      <protection/>
    </xf>
    <xf numFmtId="164" fontId="14" fillId="0" borderId="0" xfId="0" applyFont="1" applyAlignment="1">
      <alignment/>
    </xf>
    <xf numFmtId="3" fontId="13" fillId="0" borderId="20" xfId="69" applyNumberFormat="1" applyFont="1" applyBorder="1" applyAlignment="1">
      <alignment horizontal="right"/>
      <protection/>
    </xf>
    <xf numFmtId="37" fontId="4" fillId="0" borderId="21" xfId="68" applyNumberFormat="1" applyFont="1" applyBorder="1" applyAlignment="1" applyProtection="1">
      <alignment horizontal="left" wrapText="1"/>
      <protection/>
    </xf>
    <xf numFmtId="164" fontId="8" fillId="0" borderId="21" xfId="0" applyFont="1" applyBorder="1" applyAlignment="1">
      <alignment horizontal="left" wrapText="1"/>
    </xf>
    <xf numFmtId="164" fontId="15" fillId="0" borderId="0" xfId="0" applyFont="1" applyAlignment="1">
      <alignment horizontal="left"/>
    </xf>
    <xf numFmtId="164" fontId="15" fillId="0" borderId="0" xfId="0" applyFont="1" applyBorder="1" applyAlignment="1">
      <alignment horizontal="left"/>
    </xf>
    <xf numFmtId="164" fontId="15" fillId="0" borderId="0" xfId="0" applyFont="1" applyAlignment="1">
      <alignment/>
    </xf>
    <xf numFmtId="168" fontId="6" fillId="0" borderId="0" xfId="69" applyNumberFormat="1" applyFont="1" applyFill="1" applyBorder="1" applyAlignment="1">
      <alignment horizontal="right"/>
      <protection/>
    </xf>
    <xf numFmtId="3" fontId="6" fillId="0" borderId="0" xfId="69" applyNumberFormat="1" applyFont="1" applyFill="1" applyBorder="1" applyAlignment="1">
      <alignment horizontal="right"/>
      <protection/>
    </xf>
    <xf numFmtId="0" fontId="8" fillId="0" borderId="22" xfId="69" applyFont="1" applyBorder="1" applyAlignment="1" applyProtection="1">
      <alignment horizontal="centerContinuous"/>
      <protection/>
    </xf>
    <xf numFmtId="0" fontId="8" fillId="0" borderId="23" xfId="69" applyFont="1" applyBorder="1" applyAlignment="1" applyProtection="1">
      <alignment horizontal="centerContinuous"/>
      <protection/>
    </xf>
    <xf numFmtId="0" fontId="8" fillId="0" borderId="23" xfId="69" applyFont="1" applyBorder="1" applyAlignment="1" applyProtection="1">
      <alignment horizontal="center" wrapText="1"/>
      <protection/>
    </xf>
    <xf numFmtId="3" fontId="6" fillId="0" borderId="24" xfId="69" applyNumberFormat="1" applyFont="1" applyBorder="1" applyAlignment="1">
      <alignment horizontal="right"/>
      <protection/>
    </xf>
    <xf numFmtId="3" fontId="6" fillId="0" borderId="24" xfId="69" applyNumberFormat="1" applyFont="1" applyFill="1" applyBorder="1" applyAlignment="1">
      <alignment horizontal="right"/>
      <protection/>
    </xf>
    <xf numFmtId="3" fontId="6" fillId="0" borderId="25" xfId="69" applyNumberFormat="1" applyFont="1" applyFill="1" applyBorder="1" applyAlignment="1">
      <alignment horizontal="right"/>
      <protection/>
    </xf>
    <xf numFmtId="0" fontId="6" fillId="0" borderId="0" xfId="69" applyFont="1" applyAlignment="1">
      <alignment horizontal="centerContinuous"/>
      <protection/>
    </xf>
    <xf numFmtId="164" fontId="0" fillId="0" borderId="0" xfId="0" applyFill="1" applyAlignment="1">
      <alignment/>
    </xf>
    <xf numFmtId="0" fontId="8" fillId="0" borderId="11" xfId="69" applyFont="1" applyBorder="1" applyAlignment="1" applyProtection="1">
      <alignment horizontal="center"/>
      <protection/>
    </xf>
    <xf numFmtId="3" fontId="6" fillId="0" borderId="26" xfId="69" applyNumberFormat="1" applyFont="1" applyFill="1" applyBorder="1" applyAlignment="1">
      <alignment horizontal="center"/>
      <protection/>
    </xf>
    <xf numFmtId="3" fontId="6" fillId="0" borderId="27" xfId="69" applyNumberFormat="1" applyFont="1" applyFill="1" applyBorder="1" applyAlignment="1">
      <alignment horizontal="center"/>
      <protection/>
    </xf>
    <xf numFmtId="168" fontId="6" fillId="0" borderId="24" xfId="69" applyNumberFormat="1" applyFont="1" applyFill="1" applyBorder="1" applyAlignment="1">
      <alignment horizontal="right"/>
      <protection/>
    </xf>
    <xf numFmtId="3" fontId="16" fillId="0" borderId="28" xfId="69" applyNumberFormat="1" applyFont="1" applyFill="1" applyBorder="1" applyAlignment="1">
      <alignment horizontal="center"/>
      <protection/>
    </xf>
    <xf numFmtId="3" fontId="16" fillId="0" borderId="11" xfId="69" applyNumberFormat="1" applyFont="1" applyFill="1" applyBorder="1" applyAlignment="1">
      <alignment horizontal="center"/>
      <protection/>
    </xf>
    <xf numFmtId="3" fontId="16" fillId="0" borderId="26" xfId="69" applyNumberFormat="1" applyFont="1" applyFill="1" applyBorder="1" applyAlignment="1">
      <alignment horizontal="center"/>
      <protection/>
    </xf>
    <xf numFmtId="164" fontId="0" fillId="0" borderId="26" xfId="0" applyBorder="1" applyAlignment="1">
      <alignment/>
    </xf>
    <xf numFmtId="3" fontId="6" fillId="0" borderId="28" xfId="69" applyNumberFormat="1" applyFont="1" applyFill="1" applyBorder="1" applyAlignment="1">
      <alignment horizontal="center"/>
      <protection/>
    </xf>
    <xf numFmtId="3" fontId="6" fillId="0" borderId="11" xfId="69" applyNumberFormat="1" applyFont="1" applyFill="1" applyBorder="1" applyAlignment="1">
      <alignment horizontal="center"/>
      <protection/>
    </xf>
    <xf numFmtId="3" fontId="6" fillId="0" borderId="29" xfId="69" applyNumberFormat="1" applyFont="1" applyFill="1" applyBorder="1" applyAlignment="1">
      <alignment horizontal="center"/>
      <protection/>
    </xf>
    <xf numFmtId="164" fontId="0" fillId="0" borderId="26" xfId="0" applyBorder="1" applyAlignment="1">
      <alignment horizontal="center"/>
    </xf>
    <xf numFmtId="3" fontId="6" fillId="0" borderId="10" xfId="69" applyNumberFormat="1" applyBorder="1" applyAlignment="1">
      <alignment horizontal="center"/>
      <protection/>
    </xf>
    <xf numFmtId="164" fontId="10" fillId="0" borderId="10" xfId="0" applyFont="1" applyBorder="1" applyAlignment="1">
      <alignment/>
    </xf>
    <xf numFmtId="164" fontId="0" fillId="0" borderId="10" xfId="0" applyBorder="1" applyAlignment="1">
      <alignment/>
    </xf>
    <xf numFmtId="0" fontId="8" fillId="0" borderId="30" xfId="69" applyFont="1" applyBorder="1" applyAlignment="1" applyProtection="1">
      <alignment horizontal="center" vertical="center" wrapText="1"/>
      <protection/>
    </xf>
    <xf numFmtId="168" fontId="6" fillId="0" borderId="0" xfId="69" applyNumberFormat="1" applyFont="1" applyAlignment="1">
      <alignment horizontal="right"/>
      <protection/>
    </xf>
    <xf numFmtId="3" fontId="9" fillId="0" borderId="31" xfId="69" applyNumberFormat="1" applyFont="1" applyFill="1" applyBorder="1" applyAlignment="1">
      <alignment horizontal="center"/>
      <protection/>
    </xf>
    <xf numFmtId="0" fontId="9" fillId="0" borderId="12" xfId="69" applyFont="1" applyBorder="1">
      <alignment/>
      <protection/>
    </xf>
    <xf numFmtId="3" fontId="9" fillId="0" borderId="12" xfId="69" applyNumberFormat="1" applyFont="1" applyFill="1" applyBorder="1" applyAlignment="1">
      <alignment horizontal="center"/>
      <protection/>
    </xf>
    <xf numFmtId="0" fontId="6" fillId="0" borderId="12" xfId="69" applyFont="1" applyBorder="1" applyAlignment="1">
      <alignment horizontal="centerContinuous"/>
      <protection/>
    </xf>
    <xf numFmtId="9" fontId="6" fillId="0" borderId="0" xfId="73" applyFont="1" applyAlignment="1">
      <alignment horizontal="center"/>
    </xf>
    <xf numFmtId="9" fontId="6" fillId="0" borderId="0" xfId="73" applyFont="1" applyFill="1" applyAlignment="1">
      <alignment horizontal="center"/>
    </xf>
    <xf numFmtId="9" fontId="6" fillId="0" borderId="20" xfId="73" applyFont="1" applyFill="1" applyBorder="1" applyAlignment="1">
      <alignment horizontal="center"/>
    </xf>
    <xf numFmtId="9" fontId="6" fillId="0" borderId="0" xfId="73" applyFont="1" applyFill="1" applyBorder="1" applyAlignment="1">
      <alignment horizontal="center"/>
    </xf>
    <xf numFmtId="9" fontId="6" fillId="0" borderId="20" xfId="73" applyFont="1" applyBorder="1" applyAlignment="1">
      <alignment horizontal="center"/>
    </xf>
    <xf numFmtId="9" fontId="6" fillId="0" borderId="0" xfId="73" applyFont="1" applyBorder="1" applyAlignment="1">
      <alignment horizontal="center"/>
    </xf>
    <xf numFmtId="0" fontId="3" fillId="0" borderId="0" xfId="69" applyFont="1" applyBorder="1">
      <alignment/>
      <protection/>
    </xf>
    <xf numFmtId="164" fontId="10" fillId="0" borderId="0" xfId="0" applyFont="1" applyAlignment="1">
      <alignment horizontal="centerContinuous"/>
    </xf>
    <xf numFmtId="164" fontId="10" fillId="0" borderId="12" xfId="0" applyFont="1" applyBorder="1" applyAlignment="1">
      <alignment horizontal="centerContinuous"/>
    </xf>
    <xf numFmtId="9" fontId="6" fillId="0" borderId="32" xfId="73" applyFont="1" applyBorder="1" applyAlignment="1">
      <alignment horizontal="center"/>
    </xf>
    <xf numFmtId="9" fontId="6" fillId="0" borderId="12" xfId="73" applyFont="1" applyBorder="1" applyAlignment="1">
      <alignment horizontal="center"/>
    </xf>
    <xf numFmtId="164" fontId="10" fillId="0" borderId="0" xfId="0" applyFont="1" applyFill="1" applyBorder="1" applyAlignment="1">
      <alignment/>
    </xf>
    <xf numFmtId="164" fontId="6" fillId="0" borderId="0" xfId="0" applyFont="1" applyBorder="1" applyAlignment="1">
      <alignment/>
    </xf>
    <xf numFmtId="164" fontId="6" fillId="33" borderId="33" xfId="0" applyFont="1" applyFill="1" applyBorder="1" applyAlignment="1" applyProtection="1">
      <alignment horizontal="centerContinuous"/>
      <protection/>
    </xf>
    <xf numFmtId="164" fontId="17" fillId="0" borderId="33" xfId="0" applyFont="1" applyFill="1" applyBorder="1" applyAlignment="1" applyProtection="1">
      <alignment horizontal="center"/>
      <protection/>
    </xf>
    <xf numFmtId="164" fontId="18" fillId="34" borderId="0" xfId="70" applyFont="1" applyFill="1" applyBorder="1">
      <alignment/>
      <protection/>
    </xf>
    <xf numFmtId="164" fontId="18" fillId="34" borderId="0" xfId="70" applyFont="1" applyFill="1" applyBorder="1" applyProtection="1">
      <alignment/>
      <protection/>
    </xf>
    <xf numFmtId="164" fontId="18" fillId="34" borderId="0" xfId="70" applyFont="1" applyFill="1" applyBorder="1" applyAlignment="1" applyProtection="1">
      <alignment horizontal="center"/>
      <protection/>
    </xf>
    <xf numFmtId="164" fontId="6" fillId="33" borderId="33" xfId="70" applyFont="1" applyFill="1" applyBorder="1" applyAlignment="1" applyProtection="1">
      <alignment horizontal="center" wrapText="1"/>
      <protection/>
    </xf>
    <xf numFmtId="164" fontId="17" fillId="0" borderId="33" xfId="70" applyFont="1" applyFill="1" applyBorder="1" applyAlignment="1" applyProtection="1">
      <alignment horizontal="center" wrapText="1"/>
      <protection/>
    </xf>
    <xf numFmtId="164" fontId="10" fillId="0" borderId="0" xfId="0" applyFont="1" applyFill="1" applyAlignment="1">
      <alignment/>
    </xf>
    <xf numFmtId="172" fontId="10" fillId="0" borderId="0" xfId="0" applyNumberFormat="1" applyFont="1" applyFill="1" applyAlignment="1">
      <alignment/>
    </xf>
    <xf numFmtId="0" fontId="9" fillId="0" borderId="31" xfId="69" applyFont="1" applyBorder="1" applyAlignment="1" applyProtection="1">
      <alignment horizontal="centerContinuous" wrapText="1"/>
      <protection/>
    </xf>
    <xf numFmtId="164" fontId="6" fillId="0" borderId="12" xfId="0" applyFont="1" applyBorder="1" applyAlignment="1">
      <alignment horizontal="centerContinuous"/>
    </xf>
    <xf numFmtId="0" fontId="9" fillId="0" borderId="0" xfId="69" applyFont="1" applyAlignment="1">
      <alignment horizontal="centerContinuous"/>
      <protection/>
    </xf>
    <xf numFmtId="164" fontId="21" fillId="0" borderId="0" xfId="0" applyFont="1" applyAlignment="1">
      <alignment/>
    </xf>
    <xf numFmtId="0" fontId="9" fillId="0" borderId="0" xfId="69" applyFont="1" applyAlignment="1">
      <alignment horizontal="center"/>
      <protection/>
    </xf>
    <xf numFmtId="164" fontId="6" fillId="0" borderId="0" xfId="0" applyFont="1" applyAlignment="1">
      <alignment horizontal="centerContinuous"/>
    </xf>
    <xf numFmtId="164" fontId="6" fillId="0" borderId="0" xfId="0" applyFont="1" applyFill="1" applyAlignment="1">
      <alignment/>
    </xf>
    <xf numFmtId="164" fontId="21" fillId="0" borderId="0" xfId="0" applyFont="1" applyAlignment="1">
      <alignment/>
    </xf>
    <xf numFmtId="0" fontId="6" fillId="0" borderId="0" xfId="69" applyFont="1" applyAlignment="1">
      <alignment/>
      <protection/>
    </xf>
    <xf numFmtId="0" fontId="9" fillId="0" borderId="23" xfId="69" applyFont="1" applyBorder="1" applyAlignment="1" applyProtection="1">
      <alignment horizontal="centerContinuous"/>
      <protection/>
    </xf>
    <xf numFmtId="0" fontId="9" fillId="0" borderId="22" xfId="69" applyFont="1" applyBorder="1" applyAlignment="1" applyProtection="1">
      <alignment horizontal="centerContinuous"/>
      <protection/>
    </xf>
    <xf numFmtId="0" fontId="9" fillId="0" borderId="12" xfId="69" applyFont="1" applyBorder="1" applyAlignment="1" applyProtection="1">
      <alignment horizontal="centerContinuous" wrapText="1"/>
      <protection/>
    </xf>
    <xf numFmtId="0" fontId="9" fillId="0" borderId="34" xfId="69" applyFont="1" applyBorder="1" applyAlignment="1" applyProtection="1">
      <alignment horizontal="centerContinuous" wrapText="1"/>
      <protection/>
    </xf>
    <xf numFmtId="164" fontId="6" fillId="0" borderId="10" xfId="0" applyFont="1" applyBorder="1" applyAlignment="1">
      <alignment horizontal="centerContinuous"/>
    </xf>
    <xf numFmtId="0" fontId="9" fillId="0" borderId="35" xfId="69" applyFont="1" applyBorder="1" applyAlignment="1" applyProtection="1">
      <alignment horizontal="centerContinuous" wrapText="1"/>
      <protection/>
    </xf>
    <xf numFmtId="0" fontId="9" fillId="0" borderId="36" xfId="69" applyFont="1" applyBorder="1" applyAlignment="1" applyProtection="1">
      <alignment horizontal="centerContinuous" wrapText="1"/>
      <protection/>
    </xf>
    <xf numFmtId="164" fontId="20" fillId="0" borderId="0" xfId="0" applyFont="1" applyBorder="1" applyAlignment="1">
      <alignment/>
    </xf>
    <xf numFmtId="37" fontId="1" fillId="0" borderId="21" xfId="68" applyNumberFormat="1" applyFont="1" applyFill="1" applyBorder="1" applyAlignment="1" applyProtection="1">
      <alignment horizontal="left" vertical="top" wrapText="1"/>
      <protection/>
    </xf>
    <xf numFmtId="37" fontId="1" fillId="0" borderId="37" xfId="68" applyNumberFormat="1" applyFont="1" applyFill="1" applyBorder="1" applyAlignment="1" applyProtection="1">
      <alignment vertical="top" wrapText="1"/>
      <protection locked="0"/>
    </xf>
    <xf numFmtId="37" fontId="1" fillId="0" borderId="21" xfId="68" applyNumberFormat="1" applyFont="1" applyFill="1" applyBorder="1" applyAlignment="1" applyProtection="1">
      <alignment vertical="top" wrapText="1"/>
      <protection locked="0"/>
    </xf>
    <xf numFmtId="164" fontId="3" fillId="0" borderId="21" xfId="0" applyFont="1" applyFill="1" applyBorder="1" applyAlignment="1">
      <alignment vertical="top" wrapText="1"/>
    </xf>
    <xf numFmtId="164" fontId="15" fillId="0" borderId="0" xfId="0" applyFont="1" applyFill="1" applyBorder="1" applyAlignment="1">
      <alignment/>
    </xf>
    <xf numFmtId="37" fontId="1" fillId="35" borderId="21" xfId="68" applyNumberFormat="1" applyFont="1" applyFill="1" applyBorder="1" applyAlignment="1" applyProtection="1">
      <alignment vertical="top" wrapText="1"/>
      <protection locked="0"/>
    </xf>
    <xf numFmtId="37" fontId="3" fillId="0" borderId="21" xfId="68" applyNumberFormat="1" applyFont="1" applyFill="1" applyBorder="1" applyAlignment="1" applyProtection="1">
      <alignment vertical="top" wrapText="1"/>
      <protection locked="0"/>
    </xf>
    <xf numFmtId="0" fontId="3" fillId="0" borderId="21" xfId="0" applyNumberFormat="1" applyFont="1" applyFill="1" applyBorder="1" applyAlignment="1">
      <alignment vertical="top" wrapText="1"/>
    </xf>
    <xf numFmtId="37" fontId="1" fillId="0" borderId="21" xfId="68" applyNumberFormat="1" applyFont="1" applyFill="1" applyBorder="1" applyAlignment="1" applyProtection="1">
      <alignment vertical="top" wrapText="1"/>
      <protection/>
    </xf>
    <xf numFmtId="0" fontId="1" fillId="0" borderId="21" xfId="0" applyNumberFormat="1" applyFont="1" applyFill="1" applyBorder="1" applyAlignment="1">
      <alignment vertical="top" wrapText="1"/>
    </xf>
    <xf numFmtId="0" fontId="15" fillId="0" borderId="0" xfId="63" applyFont="1" applyFill="1" applyBorder="1">
      <alignment/>
      <protection/>
    </xf>
    <xf numFmtId="37" fontId="1" fillId="0" borderId="21" xfId="68" applyNumberFormat="1" applyFont="1" applyFill="1" applyBorder="1" applyAlignment="1" applyProtection="1">
      <alignment horizontal="left" vertical="top" wrapText="1"/>
      <protection locked="0"/>
    </xf>
    <xf numFmtId="0" fontId="1" fillId="0" borderId="21" xfId="0" applyNumberFormat="1" applyFont="1" applyFill="1" applyBorder="1" applyAlignment="1">
      <alignment horizontal="left" vertical="top" wrapText="1"/>
    </xf>
    <xf numFmtId="164" fontId="3" fillId="0" borderId="21" xfId="0" applyFont="1" applyFill="1" applyBorder="1" applyAlignment="1">
      <alignment horizontal="left" vertical="top" wrapText="1"/>
    </xf>
    <xf numFmtId="37" fontId="1" fillId="0" borderId="37" xfId="68" applyNumberFormat="1" applyFont="1" applyFill="1" applyBorder="1" applyAlignment="1" applyProtection="1">
      <alignment vertical="top" wrapText="1"/>
      <protection/>
    </xf>
    <xf numFmtId="164" fontId="15" fillId="0" borderId="0" xfId="0" applyFont="1" applyFill="1" applyAlignment="1">
      <alignment/>
    </xf>
    <xf numFmtId="164" fontId="3" fillId="0" borderId="0" xfId="59" applyFont="1" applyAlignment="1">
      <alignment horizontal="left" wrapText="1"/>
      <protection/>
    </xf>
    <xf numFmtId="9" fontId="6" fillId="0" borderId="12" xfId="73" applyFont="1" applyFill="1" applyBorder="1" applyAlignment="1">
      <alignment horizontal="center"/>
    </xf>
    <xf numFmtId="9" fontId="6" fillId="0" borderId="38" xfId="73" applyFont="1" applyFill="1" applyBorder="1" applyAlignment="1">
      <alignment horizontal="center"/>
    </xf>
    <xf numFmtId="0" fontId="9" fillId="0" borderId="12" xfId="69" applyFont="1" applyFill="1" applyBorder="1" applyAlignment="1">
      <alignment horizontal="left"/>
      <protection/>
    </xf>
    <xf numFmtId="0" fontId="6" fillId="0" borderId="10" xfId="69" applyBorder="1" applyAlignment="1">
      <alignment horizontal="center"/>
      <protection/>
    </xf>
    <xf numFmtId="0" fontId="6" fillId="0" borderId="0" xfId="69" applyAlignment="1">
      <alignment horizontal="center"/>
      <protection/>
    </xf>
    <xf numFmtId="0" fontId="9" fillId="0" borderId="12" xfId="69" applyFont="1" applyBorder="1" applyAlignment="1" applyProtection="1">
      <alignment horizontal="center"/>
      <protection/>
    </xf>
    <xf numFmtId="0" fontId="8" fillId="0" borderId="30" xfId="69" applyFont="1" applyBorder="1" applyAlignment="1" applyProtection="1">
      <alignment horizontal="center"/>
      <protection/>
    </xf>
    <xf numFmtId="0" fontId="6" fillId="0" borderId="12" xfId="69" applyFont="1" applyBorder="1" applyAlignment="1">
      <alignment horizontal="center"/>
      <protection/>
    </xf>
    <xf numFmtId="0" fontId="8" fillId="0" borderId="22" xfId="69" applyFont="1" applyBorder="1" applyAlignment="1" applyProtection="1">
      <alignment horizontal="center"/>
      <protection/>
    </xf>
    <xf numFmtId="164" fontId="5" fillId="0" borderId="0" xfId="0" applyFont="1" applyAlignment="1">
      <alignment vertical="top"/>
    </xf>
    <xf numFmtId="164" fontId="9" fillId="0" borderId="34" xfId="0" applyFont="1" applyFill="1" applyBorder="1" applyAlignment="1">
      <alignment/>
    </xf>
    <xf numFmtId="164" fontId="9" fillId="0" borderId="36" xfId="0" applyFont="1" applyFill="1" applyBorder="1" applyAlignment="1">
      <alignment horizontal="centerContinuous" wrapText="1"/>
    </xf>
    <xf numFmtId="164" fontId="9" fillId="0" borderId="35" xfId="0" applyFont="1" applyFill="1" applyBorder="1" applyAlignment="1">
      <alignment horizontal="centerContinuous" wrapText="1"/>
    </xf>
    <xf numFmtId="164" fontId="9" fillId="0" borderId="37" xfId="0" applyFont="1" applyFill="1" applyBorder="1" applyAlignment="1">
      <alignment horizontal="centerContinuous" wrapText="1"/>
    </xf>
    <xf numFmtId="164" fontId="6" fillId="0" borderId="0" xfId="0" applyFont="1" applyFill="1" applyBorder="1" applyAlignment="1">
      <alignment/>
    </xf>
    <xf numFmtId="164" fontId="6" fillId="0" borderId="31" xfId="0" applyFont="1" applyFill="1" applyBorder="1" applyAlignment="1">
      <alignment horizontal="center" wrapText="1"/>
    </xf>
    <xf numFmtId="164" fontId="6" fillId="0" borderId="12" xfId="0" applyFont="1" applyFill="1" applyBorder="1" applyAlignment="1">
      <alignment horizontal="center" wrapText="1"/>
    </xf>
    <xf numFmtId="164" fontId="9" fillId="0" borderId="38" xfId="0" applyFont="1" applyFill="1" applyBorder="1" applyAlignment="1">
      <alignment horizontal="center" wrapText="1"/>
    </xf>
    <xf numFmtId="164" fontId="9" fillId="0" borderId="39" xfId="0" applyFont="1" applyFill="1" applyBorder="1" applyAlignment="1">
      <alignment/>
    </xf>
    <xf numFmtId="164" fontId="6" fillId="0" borderId="20" xfId="0" applyFont="1" applyFill="1" applyBorder="1" applyAlignment="1">
      <alignment horizontal="right"/>
    </xf>
    <xf numFmtId="164" fontId="6" fillId="0" borderId="39" xfId="0" applyFont="1" applyFill="1" applyBorder="1" applyAlignment="1">
      <alignment/>
    </xf>
    <xf numFmtId="164" fontId="9" fillId="0" borderId="0" xfId="0" applyFont="1" applyFill="1" applyBorder="1" applyAlignment="1">
      <alignment/>
    </xf>
    <xf numFmtId="164" fontId="23" fillId="0" borderId="0" xfId="0" applyFont="1" applyFill="1" applyBorder="1" applyAlignment="1">
      <alignment/>
    </xf>
    <xf numFmtId="178" fontId="6" fillId="33" borderId="0" xfId="73" applyNumberFormat="1" applyFont="1" applyFill="1" applyAlignment="1">
      <alignment/>
    </xf>
    <xf numFmtId="3" fontId="6" fillId="33" borderId="0" xfId="69" applyNumberFormat="1" applyFont="1" applyFill="1" applyBorder="1" applyAlignment="1">
      <alignment horizontal="right"/>
      <protection/>
    </xf>
    <xf numFmtId="173" fontId="10" fillId="0" borderId="0" xfId="0" applyNumberFormat="1" applyFont="1" applyFill="1" applyAlignment="1">
      <alignment/>
    </xf>
    <xf numFmtId="0" fontId="6" fillId="0" borderId="12" xfId="69" applyFont="1" applyFill="1" applyBorder="1">
      <alignment/>
      <protection/>
    </xf>
    <xf numFmtId="164" fontId="6" fillId="0" borderId="0" xfId="0" applyFont="1" applyFill="1" applyBorder="1" applyAlignment="1">
      <alignment horizontal="center" wrapText="1"/>
    </xf>
    <xf numFmtId="164" fontId="24" fillId="0" borderId="0" xfId="0" applyFont="1" applyFill="1" applyAlignment="1">
      <alignment/>
    </xf>
    <xf numFmtId="9" fontId="6" fillId="0" borderId="31" xfId="73" applyFont="1" applyFill="1" applyBorder="1" applyAlignment="1">
      <alignment horizontal="center"/>
    </xf>
    <xf numFmtId="0" fontId="6" fillId="0" borderId="0" xfId="0" applyNumberFormat="1" applyFont="1" applyFill="1" applyBorder="1" applyAlignment="1">
      <alignment/>
    </xf>
    <xf numFmtId="0" fontId="6" fillId="0" borderId="0" xfId="0" applyNumberFormat="1" applyFont="1" applyFill="1" applyBorder="1" applyAlignment="1">
      <alignment horizontal="center"/>
    </xf>
    <xf numFmtId="0" fontId="18" fillId="0" borderId="0" xfId="0" applyNumberFormat="1" applyFont="1" applyFill="1" applyBorder="1" applyAlignment="1">
      <alignment/>
    </xf>
    <xf numFmtId="0" fontId="17" fillId="0" borderId="0" xfId="0" applyNumberFormat="1" applyFont="1" applyFill="1" applyBorder="1" applyAlignment="1">
      <alignment/>
    </xf>
    <xf numFmtId="37" fontId="3" fillId="0" borderId="21" xfId="68" applyNumberFormat="1" applyFont="1" applyFill="1" applyBorder="1" applyAlignment="1" applyProtection="1">
      <alignment horizontal="left" vertical="top" wrapText="1"/>
      <protection/>
    </xf>
    <xf numFmtId="37" fontId="22" fillId="0" borderId="0" xfId="68" applyNumberFormat="1" applyFont="1" applyAlignment="1" applyProtection="1">
      <alignment horizontal="centerContinuous" vertical="top"/>
      <protection/>
    </xf>
    <xf numFmtId="164" fontId="5" fillId="0" borderId="0" xfId="0" applyFont="1" applyAlignment="1">
      <alignment horizontal="centerContinuous" vertical="top"/>
    </xf>
    <xf numFmtId="37" fontId="22" fillId="0" borderId="12" xfId="68" applyNumberFormat="1" applyFont="1" applyBorder="1" applyAlignment="1" applyProtection="1">
      <alignment horizontal="centerContinuous" vertical="top"/>
      <protection/>
    </xf>
    <xf numFmtId="164" fontId="18" fillId="34" borderId="0" xfId="70" applyFont="1" applyFill="1" applyBorder="1" applyAlignment="1">
      <alignment horizontal="center"/>
      <protection/>
    </xf>
    <xf numFmtId="164" fontId="18" fillId="36" borderId="0" xfId="70" applyFont="1" applyFill="1" applyBorder="1">
      <alignment/>
      <protection/>
    </xf>
    <xf numFmtId="164" fontId="18" fillId="36" borderId="0" xfId="70" applyFont="1" applyFill="1" applyBorder="1" applyProtection="1">
      <alignment/>
      <protection/>
    </xf>
    <xf numFmtId="0" fontId="18" fillId="36" borderId="0" xfId="70" applyNumberFormat="1" applyFont="1" applyFill="1" applyBorder="1" applyAlignment="1" applyProtection="1">
      <alignment horizontal="center"/>
      <protection/>
    </xf>
    <xf numFmtId="164" fontId="18" fillId="36" borderId="0" xfId="70" applyFont="1" applyFill="1" applyBorder="1" applyAlignment="1" applyProtection="1">
      <alignment horizontal="center"/>
      <protection/>
    </xf>
    <xf numFmtId="164" fontId="6" fillId="0" borderId="0" xfId="70" applyFont="1" applyBorder="1">
      <alignment/>
      <protection/>
    </xf>
    <xf numFmtId="164" fontId="6" fillId="36" borderId="0" xfId="60" applyFont="1" applyFill="1" applyBorder="1">
      <alignment/>
      <protection/>
    </xf>
    <xf numFmtId="164" fontId="6" fillId="36" borderId="0" xfId="70" applyFont="1" applyFill="1" applyBorder="1">
      <alignment/>
      <protection/>
    </xf>
    <xf numFmtId="164" fontId="6" fillId="36" borderId="0" xfId="70" applyFont="1" applyFill="1" applyBorder="1" applyAlignment="1">
      <alignment horizontal="center"/>
      <protection/>
    </xf>
    <xf numFmtId="164" fontId="6" fillId="34" borderId="0" xfId="61" applyFont="1" applyFill="1" applyBorder="1">
      <alignment/>
      <protection/>
    </xf>
    <xf numFmtId="164" fontId="6" fillId="34" borderId="0" xfId="70" applyFont="1" applyFill="1" applyBorder="1" applyAlignment="1" applyProtection="1">
      <alignment horizontal="center"/>
      <protection/>
    </xf>
    <xf numFmtId="164" fontId="18" fillId="37" borderId="0" xfId="70" applyFont="1" applyFill="1" applyBorder="1">
      <alignment/>
      <protection/>
    </xf>
    <xf numFmtId="164" fontId="18" fillId="37" borderId="0" xfId="70" applyFont="1" applyFill="1" applyBorder="1" applyAlignment="1">
      <alignment horizontal="center"/>
      <protection/>
    </xf>
    <xf numFmtId="164" fontId="18" fillId="37" borderId="0" xfId="70" applyFont="1" applyFill="1" applyBorder="1" applyAlignment="1" applyProtection="1">
      <alignment horizontal="center"/>
      <protection/>
    </xf>
    <xf numFmtId="164" fontId="6" fillId="37" borderId="0" xfId="61" applyFont="1" applyFill="1" applyBorder="1">
      <alignment/>
      <protection/>
    </xf>
    <xf numFmtId="164" fontId="6" fillId="38" borderId="0" xfId="61" applyFont="1" applyFill="1" applyBorder="1">
      <alignment/>
      <protection/>
    </xf>
    <xf numFmtId="164" fontId="18" fillId="38" borderId="0" xfId="70" applyFont="1" applyFill="1" applyBorder="1">
      <alignment/>
      <protection/>
    </xf>
    <xf numFmtId="164" fontId="18" fillId="38" borderId="0" xfId="70" applyFont="1" applyFill="1" applyBorder="1" applyAlignment="1">
      <alignment horizontal="center"/>
      <protection/>
    </xf>
    <xf numFmtId="164" fontId="18" fillId="38" borderId="0" xfId="70" applyFont="1" applyFill="1" applyBorder="1" applyAlignment="1" applyProtection="1">
      <alignment horizontal="center"/>
      <protection/>
    </xf>
    <xf numFmtId="37" fontId="3" fillId="0" borderId="21" xfId="0" applyNumberFormat="1" applyFont="1" applyBorder="1" applyAlignment="1" applyProtection="1">
      <alignment horizontal="left" vertical="top" wrapText="1"/>
      <protection/>
    </xf>
    <xf numFmtId="37" fontId="1" fillId="0" borderId="21" xfId="0" applyNumberFormat="1" applyFont="1" applyFill="1" applyBorder="1" applyAlignment="1" applyProtection="1">
      <alignment horizontal="left" vertical="top" wrapText="1"/>
      <protection locked="0"/>
    </xf>
    <xf numFmtId="164" fontId="3" fillId="0" borderId="21" xfId="0" applyNumberFormat="1" applyFont="1" applyFill="1" applyBorder="1" applyAlignment="1" applyProtection="1">
      <alignment horizontal="left" vertical="top" wrapText="1"/>
      <protection/>
    </xf>
    <xf numFmtId="164" fontId="6" fillId="36" borderId="0" xfId="60" applyFont="1" applyFill="1" applyBorder="1" applyAlignment="1">
      <alignment horizontal="center"/>
      <protection/>
    </xf>
    <xf numFmtId="1" fontId="6" fillId="34" borderId="0" xfId="61" applyNumberFormat="1" applyFont="1" applyFill="1" applyBorder="1" applyAlignment="1">
      <alignment horizontal="center"/>
      <protection/>
    </xf>
    <xf numFmtId="164" fontId="6" fillId="34" borderId="0" xfId="60" applyFont="1" applyFill="1" applyBorder="1" applyAlignment="1">
      <alignment horizontal="center"/>
      <protection/>
    </xf>
    <xf numFmtId="164" fontId="19" fillId="0" borderId="10" xfId="70" applyFont="1" applyFill="1" applyBorder="1" applyAlignment="1">
      <alignment horizontal="left"/>
      <protection/>
    </xf>
    <xf numFmtId="164" fontId="9" fillId="0" borderId="10" xfId="0" applyFont="1" applyBorder="1" applyAlignment="1">
      <alignment horizontal="left"/>
    </xf>
    <xf numFmtId="1" fontId="6" fillId="36" borderId="0" xfId="60" applyNumberFormat="1" applyFont="1" applyFill="1" applyBorder="1" applyAlignment="1">
      <alignment horizontal="center"/>
      <protection/>
    </xf>
    <xf numFmtId="1" fontId="6" fillId="39" borderId="0" xfId="67" applyNumberFormat="1" applyFont="1" applyFill="1" applyBorder="1" applyAlignment="1" applyProtection="1">
      <alignment horizontal="center"/>
      <protection/>
    </xf>
    <xf numFmtId="3" fontId="6" fillId="34" borderId="0" xfId="65" applyFont="1" applyFill="1" applyBorder="1" applyAlignment="1" applyProtection="1">
      <alignment/>
      <protection/>
    </xf>
    <xf numFmtId="1" fontId="6" fillId="34" borderId="0" xfId="65" applyNumberFormat="1" applyFont="1" applyFill="1" applyBorder="1" applyAlignment="1" applyProtection="1">
      <alignment horizontal="center"/>
      <protection/>
    </xf>
    <xf numFmtId="1" fontId="6" fillId="40" borderId="0" xfId="67" applyNumberFormat="1" applyFont="1" applyFill="1" applyBorder="1" applyAlignment="1" applyProtection="1">
      <alignment horizontal="center"/>
      <protection/>
    </xf>
    <xf numFmtId="3" fontId="6" fillId="34" borderId="0" xfId="65" applyFont="1" applyFill="1" applyBorder="1" applyAlignment="1">
      <alignment/>
      <protection/>
    </xf>
    <xf numFmtId="1" fontId="6" fillId="34" borderId="0" xfId="65" applyNumberFormat="1" applyFont="1" applyFill="1" applyBorder="1" applyAlignment="1">
      <alignment horizontal="center"/>
      <protection/>
    </xf>
    <xf numFmtId="3" fontId="6" fillId="38" borderId="0" xfId="65" applyFont="1" applyFill="1" applyBorder="1" applyAlignment="1">
      <alignment/>
      <protection/>
    </xf>
    <xf numFmtId="1" fontId="6" fillId="38" borderId="0" xfId="65" applyNumberFormat="1" applyFont="1" applyFill="1" applyBorder="1" applyAlignment="1">
      <alignment horizontal="center"/>
      <protection/>
    </xf>
    <xf numFmtId="49" fontId="6" fillId="38" borderId="0" xfId="42" applyNumberFormat="1" applyFont="1" applyFill="1" applyBorder="1" applyAlignment="1">
      <alignment/>
    </xf>
    <xf numFmtId="1" fontId="6" fillId="37" borderId="0" xfId="61" applyNumberFormat="1" applyFont="1" applyFill="1" applyBorder="1" applyAlignment="1">
      <alignment horizontal="center"/>
      <protection/>
    </xf>
    <xf numFmtId="164" fontId="6" fillId="37" borderId="0" xfId="60" applyFont="1" applyFill="1" applyBorder="1" applyAlignment="1">
      <alignment horizontal="center"/>
      <protection/>
    </xf>
    <xf numFmtId="164" fontId="6" fillId="0" borderId="32" xfId="0" applyFont="1" applyFill="1" applyBorder="1" applyAlignment="1">
      <alignment horizontal="right"/>
    </xf>
    <xf numFmtId="164" fontId="6" fillId="0" borderId="38" xfId="0" applyFont="1" applyFill="1" applyBorder="1" applyAlignment="1">
      <alignment horizontal="right" wrapText="1"/>
    </xf>
    <xf numFmtId="164" fontId="6" fillId="0" borderId="0" xfId="0" applyFont="1" applyFill="1" applyAlignment="1">
      <alignment horizontal="right"/>
    </xf>
    <xf numFmtId="0" fontId="9" fillId="0" borderId="10" xfId="69" applyFont="1" applyBorder="1" applyAlignment="1" applyProtection="1">
      <alignment horizontal="centerContinuous" wrapText="1"/>
      <protection/>
    </xf>
    <xf numFmtId="3" fontId="9" fillId="0" borderId="31" xfId="69" applyNumberFormat="1" applyFont="1" applyFill="1" applyBorder="1" applyAlignment="1">
      <alignment horizontal="right"/>
      <protection/>
    </xf>
    <xf numFmtId="3" fontId="9" fillId="0" borderId="12" xfId="69" applyNumberFormat="1" applyFont="1" applyFill="1" applyBorder="1" applyAlignment="1">
      <alignment horizontal="right"/>
      <protection/>
    </xf>
    <xf numFmtId="164" fontId="6" fillId="0" borderId="0" xfId="0" applyFont="1" applyAlignment="1">
      <alignment/>
    </xf>
    <xf numFmtId="164" fontId="10" fillId="0" borderId="0" xfId="0" applyFont="1" applyAlignment="1">
      <alignment horizontal="center"/>
    </xf>
    <xf numFmtId="164" fontId="10" fillId="33" borderId="0" xfId="0" applyFont="1" applyFill="1" applyAlignment="1">
      <alignment horizontal="center"/>
    </xf>
    <xf numFmtId="164" fontId="10" fillId="33" borderId="0" xfId="0" applyFont="1" applyFill="1" applyAlignment="1">
      <alignment/>
    </xf>
    <xf numFmtId="164" fontId="10" fillId="0" borderId="0" xfId="0" applyFont="1" applyBorder="1" applyAlignment="1">
      <alignment/>
    </xf>
    <xf numFmtId="164" fontId="27" fillId="41" borderId="0" xfId="0" applyFont="1" applyFill="1" applyAlignment="1">
      <alignment/>
    </xf>
    <xf numFmtId="164" fontId="10" fillId="0" borderId="0" xfId="0" applyFont="1" applyBorder="1" applyAlignment="1">
      <alignment horizontal="center"/>
    </xf>
    <xf numFmtId="178" fontId="6" fillId="33" borderId="0" xfId="73" applyNumberFormat="1" applyFont="1" applyFill="1" applyBorder="1" applyAlignment="1">
      <alignment/>
    </xf>
    <xf numFmtId="37" fontId="3" fillId="0" borderId="37" xfId="68" applyNumberFormat="1" applyFont="1" applyFill="1" applyBorder="1" applyAlignment="1" applyProtection="1">
      <alignment vertical="top" wrapText="1"/>
      <protection locked="0"/>
    </xf>
    <xf numFmtId="49" fontId="3" fillId="0" borderId="0" xfId="0" applyNumberFormat="1" applyFont="1" applyFill="1" applyAlignment="1">
      <alignment horizontal="right"/>
    </xf>
    <xf numFmtId="0" fontId="5" fillId="0" borderId="0" xfId="69" applyFont="1" applyFill="1" applyAlignment="1">
      <alignment horizontal="centerContinuous"/>
      <protection/>
    </xf>
    <xf numFmtId="0" fontId="9" fillId="0" borderId="0" xfId="69" applyFont="1" applyFill="1" applyAlignment="1">
      <alignment horizontal="centerContinuous"/>
      <protection/>
    </xf>
    <xf numFmtId="0" fontId="7" fillId="0" borderId="0" xfId="69" applyFont="1" applyFill="1" applyAlignment="1">
      <alignment horizontal="centerContinuous"/>
      <protection/>
    </xf>
    <xf numFmtId="0" fontId="8" fillId="0" borderId="11" xfId="69" applyFont="1" applyFill="1" applyBorder="1" applyAlignment="1" applyProtection="1">
      <alignment horizontal="centerContinuous"/>
      <protection/>
    </xf>
    <xf numFmtId="0" fontId="8" fillId="0" borderId="40" xfId="69" applyFont="1" applyFill="1" applyBorder="1" applyAlignment="1" applyProtection="1">
      <alignment horizontal="center"/>
      <protection/>
    </xf>
    <xf numFmtId="3" fontId="13" fillId="0" borderId="0" xfId="69" applyNumberFormat="1" applyFont="1" applyFill="1" applyBorder="1" applyAlignment="1">
      <alignment horizontal="right"/>
      <protection/>
    </xf>
    <xf numFmtId="164" fontId="3" fillId="0" borderId="0" xfId="0" applyFont="1" applyFill="1" applyAlignment="1">
      <alignment vertical="top" wrapText="1"/>
    </xf>
    <xf numFmtId="0" fontId="9" fillId="0" borderId="0" xfId="69" applyFont="1" applyFill="1" applyAlignment="1">
      <alignment horizontal="center"/>
      <protection/>
    </xf>
    <xf numFmtId="0" fontId="8" fillId="0" borderId="29" xfId="69" applyFont="1" applyFill="1" applyBorder="1" applyAlignment="1" applyProtection="1">
      <alignment horizontal="centerContinuous"/>
      <protection/>
    </xf>
    <xf numFmtId="164" fontId="3" fillId="0" borderId="0" xfId="0" applyFont="1" applyFill="1" applyAlignment="1">
      <alignment/>
    </xf>
    <xf numFmtId="0" fontId="6" fillId="0" borderId="0" xfId="69" applyFont="1" applyFill="1" applyAlignment="1">
      <alignment horizontal="centerContinuous"/>
      <protection/>
    </xf>
    <xf numFmtId="0" fontId="8" fillId="0" borderId="41" xfId="69" applyFont="1" applyFill="1" applyBorder="1" applyAlignment="1" applyProtection="1">
      <alignment horizontal="center"/>
      <protection/>
    </xf>
    <xf numFmtId="168" fontId="6" fillId="0" borderId="39" xfId="69" applyNumberFormat="1" applyFont="1" applyFill="1" applyBorder="1" applyAlignment="1">
      <alignment horizontal="right"/>
      <protection/>
    </xf>
    <xf numFmtId="3" fontId="6" fillId="0" borderId="39" xfId="69" applyNumberFormat="1" applyFont="1" applyFill="1" applyBorder="1" applyAlignment="1">
      <alignment horizontal="right"/>
      <protection/>
    </xf>
    <xf numFmtId="164" fontId="0" fillId="0" borderId="39" xfId="0" applyFill="1" applyBorder="1" applyAlignment="1">
      <alignment/>
    </xf>
    <xf numFmtId="3" fontId="6" fillId="0" borderId="31" xfId="69" applyNumberFormat="1" applyFont="1" applyFill="1" applyBorder="1" applyAlignment="1">
      <alignment horizontal="right"/>
      <protection/>
    </xf>
    <xf numFmtId="0" fontId="9" fillId="0" borderId="29" xfId="69" applyFont="1" applyFill="1" applyBorder="1" applyAlignment="1" applyProtection="1">
      <alignment horizontal="centerContinuous"/>
      <protection/>
    </xf>
    <xf numFmtId="164" fontId="0" fillId="0" borderId="0" xfId="0" applyFill="1" applyBorder="1" applyAlignment="1">
      <alignment/>
    </xf>
    <xf numFmtId="0" fontId="9" fillId="0" borderId="30" xfId="69" applyFont="1" applyFill="1" applyBorder="1" applyAlignment="1" applyProtection="1">
      <alignment horizontal="centerContinuous"/>
      <protection/>
    </xf>
    <xf numFmtId="3" fontId="13" fillId="0" borderId="39" xfId="69" applyNumberFormat="1" applyFont="1" applyFill="1" applyBorder="1" applyAlignment="1">
      <alignment horizontal="right"/>
      <protection/>
    </xf>
    <xf numFmtId="164" fontId="21" fillId="0" borderId="0" xfId="0" applyFont="1" applyFill="1" applyAlignment="1">
      <alignment/>
    </xf>
    <xf numFmtId="164" fontId="21" fillId="0" borderId="12" xfId="0" applyFont="1" applyFill="1" applyBorder="1" applyAlignment="1">
      <alignment/>
    </xf>
    <xf numFmtId="164" fontId="21" fillId="0" borderId="42" xfId="0" applyFont="1" applyFill="1" applyBorder="1" applyAlignment="1">
      <alignment/>
    </xf>
    <xf numFmtId="0" fontId="6" fillId="0" borderId="0" xfId="69" applyFont="1" applyFill="1" applyAlignment="1">
      <alignment/>
      <protection/>
    </xf>
    <xf numFmtId="0" fontId="8" fillId="0" borderId="11" xfId="69" applyFont="1" applyFill="1" applyBorder="1" applyAlignment="1" applyProtection="1">
      <alignment horizontal="center"/>
      <protection/>
    </xf>
    <xf numFmtId="0" fontId="8" fillId="0" borderId="0" xfId="69" applyFont="1" applyFill="1" applyBorder="1" applyAlignment="1" applyProtection="1">
      <alignment horizontal="center"/>
      <protection/>
    </xf>
    <xf numFmtId="3" fontId="6" fillId="0" borderId="10" xfId="69" applyNumberFormat="1" applyFill="1" applyBorder="1" applyAlignment="1">
      <alignment horizontal="center"/>
      <protection/>
    </xf>
    <xf numFmtId="3" fontId="6" fillId="0" borderId="0" xfId="69" applyNumberFormat="1" applyFill="1" applyAlignment="1">
      <alignment horizontal="center"/>
      <protection/>
    </xf>
    <xf numFmtId="164" fontId="21" fillId="0" borderId="0" xfId="0" applyFont="1" applyFill="1" applyAlignment="1">
      <alignment/>
    </xf>
    <xf numFmtId="164" fontId="0" fillId="0" borderId="10" xfId="0" applyFill="1" applyBorder="1" applyAlignment="1">
      <alignment/>
    </xf>
    <xf numFmtId="9" fontId="6" fillId="0" borderId="39" xfId="73" applyFont="1" applyFill="1" applyBorder="1" applyAlignment="1">
      <alignment horizontal="center"/>
    </xf>
    <xf numFmtId="178" fontId="6" fillId="0" borderId="0" xfId="73" applyNumberFormat="1" applyFont="1" applyFill="1" applyAlignment="1">
      <alignment/>
    </xf>
    <xf numFmtId="164" fontId="6" fillId="33" borderId="43" xfId="0" applyFont="1" applyFill="1" applyBorder="1" applyAlignment="1" applyProtection="1">
      <alignment horizontal="centerContinuous"/>
      <protection/>
    </xf>
    <xf numFmtId="164" fontId="17" fillId="0" borderId="44" xfId="0" applyFont="1" applyFill="1" applyBorder="1" applyAlignment="1" applyProtection="1">
      <alignment horizontal="center"/>
      <protection/>
    </xf>
    <xf numFmtId="164" fontId="17" fillId="0" borderId="39" xfId="0" applyFont="1" applyFill="1" applyBorder="1" applyAlignment="1" applyProtection="1">
      <alignment horizontal="center"/>
      <protection/>
    </xf>
    <xf numFmtId="164" fontId="6" fillId="33" borderId="43" xfId="70" applyFont="1" applyFill="1" applyBorder="1" applyAlignment="1" applyProtection="1">
      <alignment horizontal="center" wrapText="1"/>
      <protection/>
    </xf>
    <xf numFmtId="164" fontId="17" fillId="0" borderId="44" xfId="70" applyFont="1" applyFill="1" applyBorder="1" applyAlignment="1" applyProtection="1">
      <alignment horizontal="center" wrapText="1"/>
      <protection/>
    </xf>
    <xf numFmtId="164" fontId="17" fillId="0" borderId="39" xfId="70" applyFont="1" applyFill="1" applyBorder="1" applyAlignment="1" applyProtection="1">
      <alignment horizontal="center" wrapText="1"/>
      <protection/>
    </xf>
    <xf numFmtId="164" fontId="6" fillId="42" borderId="0" xfId="0" applyFont="1" applyFill="1" applyBorder="1" applyAlignment="1" applyProtection="1">
      <alignment/>
      <protection/>
    </xf>
    <xf numFmtId="164" fontId="6" fillId="42" borderId="0" xfId="0" applyFont="1" applyFill="1" applyBorder="1" applyAlignment="1" applyProtection="1">
      <alignment horizontal="center"/>
      <protection/>
    </xf>
    <xf numFmtId="164" fontId="6" fillId="42" borderId="45" xfId="70" applyFont="1" applyFill="1" applyBorder="1" applyAlignment="1" applyProtection="1">
      <alignment horizontal="center" wrapText="1"/>
      <protection/>
    </xf>
    <xf numFmtId="164" fontId="6" fillId="42" borderId="0" xfId="70" applyFont="1" applyFill="1" applyBorder="1" applyAlignment="1" applyProtection="1">
      <alignment horizontal="center" wrapText="1"/>
      <protection/>
    </xf>
    <xf numFmtId="3" fontId="6" fillId="33" borderId="43" xfId="70" applyNumberFormat="1" applyFont="1" applyFill="1" applyBorder="1" applyAlignment="1">
      <alignment horizontal="right"/>
      <protection/>
    </xf>
    <xf numFmtId="37" fontId="17" fillId="0" borderId="0" xfId="0" applyNumberFormat="1" applyFont="1" applyBorder="1" applyAlignment="1">
      <alignment horizontal="right"/>
    </xf>
    <xf numFmtId="164" fontId="6" fillId="37" borderId="0" xfId="70" applyFont="1" applyFill="1" applyBorder="1" applyAlignment="1" applyProtection="1">
      <alignment horizontal="center"/>
      <protection/>
    </xf>
    <xf numFmtId="164" fontId="0" fillId="0" borderId="0" xfId="0" applyFont="1" applyFill="1" applyAlignment="1">
      <alignment/>
    </xf>
    <xf numFmtId="37" fontId="3" fillId="0" borderId="21" xfId="0" applyNumberFormat="1" applyFont="1" applyFill="1" applyBorder="1" applyAlignment="1" applyProtection="1">
      <alignment horizontal="left" vertical="top" wrapText="1"/>
      <protection/>
    </xf>
    <xf numFmtId="0" fontId="10" fillId="0" borderId="0" xfId="64" applyFont="1" applyAlignment="1">
      <alignment horizontal="centerContinuous"/>
      <protection/>
    </xf>
    <xf numFmtId="0" fontId="10" fillId="0" borderId="0" xfId="64" applyFont="1" applyFill="1" applyAlignment="1">
      <alignment horizontal="centerContinuous"/>
      <protection/>
    </xf>
    <xf numFmtId="0" fontId="6" fillId="0" borderId="0" xfId="64">
      <alignment/>
      <protection/>
    </xf>
    <xf numFmtId="0" fontId="6" fillId="0" borderId="0" xfId="64" applyFont="1" applyAlignment="1">
      <alignment horizontal="centerContinuous"/>
      <protection/>
    </xf>
    <xf numFmtId="0" fontId="6" fillId="0" borderId="0" xfId="64" applyFont="1" applyFill="1" applyAlignment="1">
      <alignment horizontal="centerContinuous"/>
      <protection/>
    </xf>
    <xf numFmtId="0" fontId="10" fillId="0" borderId="12" xfId="64" applyFont="1" applyBorder="1" applyAlignment="1">
      <alignment horizontal="centerContinuous"/>
      <protection/>
    </xf>
    <xf numFmtId="0" fontId="10" fillId="0" borderId="12" xfId="64" applyFont="1" applyFill="1" applyBorder="1" applyAlignment="1">
      <alignment horizontal="centerContinuous"/>
      <protection/>
    </xf>
    <xf numFmtId="0" fontId="6" fillId="0" borderId="10" xfId="64" applyFont="1" applyBorder="1" applyAlignment="1">
      <alignment horizontal="centerContinuous"/>
      <protection/>
    </xf>
    <xf numFmtId="0" fontId="6" fillId="0" borderId="10" xfId="64" applyFont="1" applyFill="1" applyBorder="1" applyAlignment="1">
      <alignment horizontal="centerContinuous"/>
      <protection/>
    </xf>
    <xf numFmtId="0" fontId="6" fillId="0" borderId="12" xfId="64" applyFont="1" applyBorder="1" applyAlignment="1">
      <alignment horizontal="centerContinuous"/>
      <protection/>
    </xf>
    <xf numFmtId="0" fontId="6" fillId="0" borderId="12" xfId="64" applyFont="1" applyFill="1" applyBorder="1" applyAlignment="1">
      <alignment horizontal="centerContinuous"/>
      <protection/>
    </xf>
    <xf numFmtId="9" fontId="6" fillId="0" borderId="10" xfId="73" applyFont="1" applyBorder="1" applyAlignment="1">
      <alignment horizontal="center"/>
    </xf>
    <xf numFmtId="0" fontId="6" fillId="0" borderId="0" xfId="64" applyFill="1">
      <alignment/>
      <protection/>
    </xf>
    <xf numFmtId="9" fontId="6" fillId="0" borderId="39" xfId="73" applyFont="1" applyBorder="1" applyAlignment="1">
      <alignment horizontal="center"/>
    </xf>
    <xf numFmtId="167" fontId="28" fillId="0" borderId="0" xfId="42" applyNumberFormat="1" applyFont="1" applyAlignment="1" quotePrefix="1">
      <alignment horizontal="center"/>
    </xf>
    <xf numFmtId="167" fontId="28" fillId="0" borderId="20" xfId="42" applyNumberFormat="1" applyFont="1" applyBorder="1" applyAlignment="1" quotePrefix="1">
      <alignment horizontal="center"/>
    </xf>
    <xf numFmtId="0" fontId="10" fillId="0" borderId="0" xfId="64" applyFont="1">
      <alignment/>
      <protection/>
    </xf>
    <xf numFmtId="0" fontId="10" fillId="0" borderId="0" xfId="64" applyFont="1" applyFill="1" applyBorder="1">
      <alignment/>
      <protection/>
    </xf>
    <xf numFmtId="0" fontId="10" fillId="0" borderId="0" xfId="64" applyFont="1" applyFill="1">
      <alignment/>
      <protection/>
    </xf>
    <xf numFmtId="0" fontId="1" fillId="0" borderId="21" xfId="0" applyNumberFormat="1" applyFont="1" applyFill="1" applyBorder="1" applyAlignment="1">
      <alignment vertical="top" wrapText="1"/>
    </xf>
    <xf numFmtId="164" fontId="1" fillId="0" borderId="21" xfId="0" applyFont="1" applyFill="1" applyBorder="1" applyAlignment="1">
      <alignment vertical="center" wrapText="1"/>
    </xf>
    <xf numFmtId="164" fontId="1" fillId="0" borderId="21" xfId="68" applyNumberFormat="1" applyFont="1" applyFill="1" applyBorder="1" applyAlignment="1" applyProtection="1">
      <alignment vertical="top" wrapText="1"/>
      <protection locked="0"/>
    </xf>
    <xf numFmtId="164" fontId="1" fillId="0" borderId="21" xfId="0" applyFont="1" applyFill="1" applyBorder="1" applyAlignment="1">
      <alignment vertical="top" wrapText="1"/>
    </xf>
    <xf numFmtId="164" fontId="6" fillId="33" borderId="0" xfId="58" applyFont="1" applyFill="1" applyBorder="1">
      <alignment/>
      <protection/>
    </xf>
    <xf numFmtId="0" fontId="6" fillId="33" borderId="0" xfId="58" applyNumberFormat="1" applyFont="1" applyFill="1" applyBorder="1" applyAlignment="1">
      <alignment horizontal="center"/>
      <protection/>
    </xf>
    <xf numFmtId="164" fontId="6" fillId="33" borderId="0" xfId="60" applyFont="1" applyFill="1" applyBorder="1" applyAlignment="1">
      <alignment horizontal="center"/>
      <protection/>
    </xf>
    <xf numFmtId="3" fontId="6" fillId="33" borderId="0" xfId="57" applyFont="1" applyFill="1" applyBorder="1">
      <alignment/>
      <protection/>
    </xf>
    <xf numFmtId="0" fontId="6" fillId="33" borderId="0" xfId="57" applyNumberFormat="1" applyFont="1" applyFill="1" applyBorder="1" applyAlignment="1">
      <alignment horizontal="center"/>
      <protection/>
    </xf>
    <xf numFmtId="164" fontId="1" fillId="0" borderId="37" xfId="68" applyNumberFormat="1" applyFont="1" applyFill="1" applyBorder="1" applyAlignment="1" applyProtection="1">
      <alignment vertical="top" wrapText="1"/>
      <protection locked="0"/>
    </xf>
    <xf numFmtId="37" fontId="3" fillId="0" borderId="37" xfId="68" applyNumberFormat="1" applyFont="1" applyFill="1" applyBorder="1" applyAlignment="1" applyProtection="1">
      <alignment vertical="top" wrapText="1"/>
      <protection/>
    </xf>
    <xf numFmtId="37" fontId="3" fillId="0" borderId="21" xfId="68" applyNumberFormat="1" applyFont="1" applyFill="1" applyBorder="1" applyAlignment="1" applyProtection="1">
      <alignment vertical="top" wrapText="1"/>
      <protection/>
    </xf>
    <xf numFmtId="0" fontId="6" fillId="37" borderId="0" xfId="61" applyNumberFormat="1" applyFont="1" applyFill="1" applyBorder="1" applyAlignment="1">
      <alignment horizontal="center"/>
      <protection/>
    </xf>
    <xf numFmtId="164" fontId="18" fillId="37" borderId="0" xfId="70" applyFont="1" applyFill="1" applyBorder="1" applyProtection="1">
      <alignment/>
      <protection/>
    </xf>
    <xf numFmtId="0" fontId="18" fillId="37" borderId="0" xfId="70" applyNumberFormat="1" applyFont="1" applyFill="1" applyBorder="1" applyAlignment="1" applyProtection="1">
      <alignment horizontal="center"/>
      <protection/>
    </xf>
    <xf numFmtId="164" fontId="18" fillId="37" borderId="0" xfId="61" applyFont="1" applyFill="1" applyBorder="1">
      <alignment/>
      <protection/>
    </xf>
    <xf numFmtId="164" fontId="18" fillId="43" borderId="0" xfId="70" applyFont="1" applyFill="1" applyBorder="1">
      <alignment/>
      <protection/>
    </xf>
    <xf numFmtId="164" fontId="18" fillId="43" borderId="0" xfId="70" applyFont="1" applyFill="1" applyBorder="1" applyProtection="1">
      <alignment/>
      <protection/>
    </xf>
    <xf numFmtId="0" fontId="18" fillId="43" borderId="0" xfId="70" applyNumberFormat="1" applyFont="1" applyFill="1" applyBorder="1" applyAlignment="1" applyProtection="1">
      <alignment horizontal="center"/>
      <protection/>
    </xf>
    <xf numFmtId="164" fontId="18" fillId="43" borderId="0" xfId="70" applyFont="1" applyFill="1" applyBorder="1" applyAlignment="1" applyProtection="1">
      <alignment horizontal="center"/>
      <protection/>
    </xf>
    <xf numFmtId="3" fontId="6" fillId="43" borderId="0" xfId="65" applyFont="1" applyFill="1" applyBorder="1" applyAlignment="1" applyProtection="1">
      <alignment/>
      <protection/>
    </xf>
    <xf numFmtId="0" fontId="6" fillId="43" borderId="0" xfId="65" applyNumberFormat="1" applyFont="1" applyFill="1" applyBorder="1" applyAlignment="1" applyProtection="1">
      <alignment horizontal="center"/>
      <protection/>
    </xf>
    <xf numFmtId="1" fontId="6" fillId="44" borderId="0" xfId="67" applyNumberFormat="1" applyFont="1" applyFill="1" applyBorder="1" applyAlignment="1" applyProtection="1">
      <alignment horizontal="center"/>
      <protection/>
    </xf>
    <xf numFmtId="164" fontId="6" fillId="43" borderId="0" xfId="60" applyFont="1" applyFill="1" applyBorder="1">
      <alignment/>
      <protection/>
    </xf>
    <xf numFmtId="1" fontId="6" fillId="43" borderId="0" xfId="60" applyNumberFormat="1" applyFont="1" applyFill="1" applyBorder="1" applyAlignment="1">
      <alignment horizontal="center"/>
      <protection/>
    </xf>
    <xf numFmtId="164" fontId="6" fillId="43" borderId="0" xfId="60" applyFont="1" applyFill="1" applyBorder="1" applyAlignment="1">
      <alignment horizontal="center"/>
      <protection/>
    </xf>
    <xf numFmtId="164" fontId="18" fillId="36" borderId="0" xfId="58" applyFont="1" applyFill="1" applyBorder="1" applyAlignment="1">
      <alignment/>
      <protection/>
    </xf>
    <xf numFmtId="164" fontId="18" fillId="36" borderId="0" xfId="58" applyFont="1" applyFill="1" applyBorder="1" applyAlignment="1">
      <alignment horizontal="center"/>
      <protection/>
    </xf>
    <xf numFmtId="164" fontId="6" fillId="0" borderId="0" xfId="58" applyFont="1" applyBorder="1" applyAlignment="1">
      <alignment/>
      <protection/>
    </xf>
    <xf numFmtId="164" fontId="6" fillId="36" borderId="0" xfId="61" applyFont="1" applyFill="1" applyBorder="1">
      <alignment/>
      <protection/>
    </xf>
    <xf numFmtId="1" fontId="6" fillId="36" borderId="0" xfId="61" applyNumberFormat="1" applyFont="1" applyFill="1" applyBorder="1" applyAlignment="1">
      <alignment horizontal="center"/>
      <protection/>
    </xf>
    <xf numFmtId="164" fontId="18" fillId="43" borderId="0" xfId="70" applyFont="1" applyFill="1" applyBorder="1" applyAlignment="1">
      <alignment horizontal="center"/>
      <protection/>
    </xf>
    <xf numFmtId="164" fontId="6" fillId="43" borderId="0" xfId="61" applyFont="1" applyFill="1" applyBorder="1">
      <alignment/>
      <protection/>
    </xf>
    <xf numFmtId="1" fontId="6" fillId="43" borderId="0" xfId="61" applyNumberFormat="1" applyFont="1" applyFill="1" applyBorder="1" applyAlignment="1">
      <alignment horizontal="center"/>
      <protection/>
    </xf>
    <xf numFmtId="1" fontId="6" fillId="43" borderId="0" xfId="65" applyNumberFormat="1" applyFont="1" applyFill="1" applyBorder="1" applyAlignment="1">
      <alignment horizontal="center"/>
      <protection/>
    </xf>
    <xf numFmtId="164" fontId="18" fillId="33" borderId="0" xfId="70" applyFont="1" applyFill="1" applyBorder="1">
      <alignment/>
      <protection/>
    </xf>
    <xf numFmtId="164" fontId="18" fillId="33" borderId="0" xfId="70" applyFont="1" applyFill="1" applyBorder="1" applyProtection="1">
      <alignment/>
      <protection/>
    </xf>
    <xf numFmtId="164" fontId="18" fillId="33" borderId="0" xfId="70" applyFont="1" applyFill="1" applyBorder="1" applyAlignment="1" applyProtection="1">
      <alignment horizontal="center"/>
      <protection/>
    </xf>
    <xf numFmtId="164" fontId="6" fillId="0" borderId="0" xfId="58" applyFont="1" applyBorder="1">
      <alignment/>
      <protection/>
    </xf>
    <xf numFmtId="164" fontId="6" fillId="33" borderId="0" xfId="60" applyFont="1" applyFill="1" applyBorder="1">
      <alignment/>
      <protection/>
    </xf>
    <xf numFmtId="3" fontId="6" fillId="33" borderId="0" xfId="65" applyFont="1" applyFill="1" applyBorder="1" applyAlignment="1" applyProtection="1">
      <alignment/>
      <protection/>
    </xf>
    <xf numFmtId="1" fontId="6" fillId="33" borderId="0" xfId="65" applyNumberFormat="1" applyFont="1" applyFill="1" applyBorder="1" applyAlignment="1" applyProtection="1">
      <alignment horizontal="center"/>
      <protection/>
    </xf>
    <xf numFmtId="1" fontId="6" fillId="45" borderId="0" xfId="67" applyNumberFormat="1" applyFont="1" applyFill="1" applyBorder="1" applyAlignment="1" applyProtection="1">
      <alignment horizontal="center"/>
      <protection/>
    </xf>
    <xf numFmtId="0" fontId="6" fillId="33" borderId="0" xfId="42" applyNumberFormat="1" applyFont="1" applyFill="1" applyBorder="1" applyAlignment="1" applyProtection="1">
      <alignment horizontal="center"/>
      <protection/>
    </xf>
    <xf numFmtId="170" fontId="6" fillId="33" borderId="0" xfId="62" applyNumberFormat="1" applyFont="1" applyFill="1" applyBorder="1" applyAlignment="1" applyProtection="1">
      <alignment horizontal="left"/>
      <protection/>
    </xf>
    <xf numFmtId="167" fontId="28" fillId="0" borderId="0" xfId="42" applyNumberFormat="1" applyFont="1" applyBorder="1" applyAlignment="1" quotePrefix="1">
      <alignment horizontal="center"/>
    </xf>
    <xf numFmtId="9" fontId="6" fillId="0" borderId="10" xfId="73" applyFont="1" applyFill="1" applyBorder="1" applyAlignment="1">
      <alignment horizontal="center"/>
    </xf>
    <xf numFmtId="37" fontId="1" fillId="0" borderId="46" xfId="68" applyNumberFormat="1" applyFont="1" applyFill="1" applyBorder="1" applyAlignment="1" applyProtection="1">
      <alignment horizontal="left" vertical="top" wrapText="1"/>
      <protection/>
    </xf>
    <xf numFmtId="164" fontId="3" fillId="0" borderId="46" xfId="0" applyFont="1" applyFill="1" applyBorder="1" applyAlignment="1">
      <alignment vertical="top" wrapText="1"/>
    </xf>
    <xf numFmtId="37" fontId="3" fillId="0" borderId="46" xfId="68" applyNumberFormat="1" applyFont="1" applyFill="1" applyBorder="1" applyAlignment="1" applyProtection="1">
      <alignment horizontal="left" vertical="top" wrapText="1"/>
      <protection/>
    </xf>
    <xf numFmtId="37" fontId="3" fillId="0" borderId="32" xfId="68" applyNumberFormat="1" applyFont="1" applyFill="1" applyBorder="1" applyAlignment="1" applyProtection="1">
      <alignment vertical="top" wrapText="1"/>
      <protection/>
    </xf>
    <xf numFmtId="37" fontId="3" fillId="0" borderId="46" xfId="68" applyNumberFormat="1" applyFont="1" applyFill="1" applyBorder="1" applyAlignment="1" applyProtection="1">
      <alignment vertical="top" wrapText="1"/>
      <protection/>
    </xf>
    <xf numFmtId="37" fontId="3" fillId="46" borderId="47" xfId="68" applyNumberFormat="1" applyFont="1" applyFill="1" applyBorder="1" applyAlignment="1" applyProtection="1">
      <alignment horizontal="left" vertical="top" wrapText="1"/>
      <protection/>
    </xf>
    <xf numFmtId="37" fontId="3" fillId="46" borderId="38" xfId="68" applyNumberFormat="1" applyFont="1" applyFill="1" applyBorder="1" applyAlignment="1" applyProtection="1">
      <alignment vertical="top" wrapText="1"/>
      <protection locked="0"/>
    </xf>
    <xf numFmtId="37" fontId="3" fillId="46" borderId="47" xfId="68" applyNumberFormat="1" applyFont="1" applyFill="1" applyBorder="1" applyAlignment="1" applyProtection="1">
      <alignment vertical="top" wrapText="1"/>
      <protection locked="0"/>
    </xf>
    <xf numFmtId="0" fontId="3" fillId="46" borderId="47" xfId="0" applyNumberFormat="1" applyFont="1" applyFill="1" applyBorder="1" applyAlignment="1">
      <alignment vertical="top" wrapText="1"/>
    </xf>
    <xf numFmtId="37" fontId="1" fillId="0" borderId="47" xfId="68" applyNumberFormat="1" applyFont="1" applyFill="1" applyBorder="1" applyAlignment="1" applyProtection="1">
      <alignment horizontal="left" vertical="top" wrapText="1"/>
      <protection/>
    </xf>
    <xf numFmtId="0" fontId="1" fillId="0" borderId="21" xfId="0" applyNumberFormat="1" applyFont="1" applyFill="1" applyBorder="1" applyAlignment="1" quotePrefix="1">
      <alignment horizontal="left" vertical="top" wrapText="1"/>
    </xf>
    <xf numFmtId="164" fontId="3" fillId="0" borderId="37" xfId="68" applyNumberFormat="1" applyFont="1" applyFill="1" applyBorder="1" applyAlignment="1" applyProtection="1">
      <alignment horizontal="left" vertical="top" wrapText="1"/>
      <protection locked="0"/>
    </xf>
    <xf numFmtId="164" fontId="3" fillId="0" borderId="21" xfId="68" applyNumberFormat="1" applyFont="1" applyFill="1" applyBorder="1" applyAlignment="1" applyProtection="1">
      <alignment horizontal="left" vertical="top" wrapText="1"/>
      <protection locked="0"/>
    </xf>
    <xf numFmtId="0" fontId="3" fillId="0" borderId="21" xfId="0" applyNumberFormat="1" applyFont="1" applyFill="1" applyBorder="1" applyAlignment="1" quotePrefix="1">
      <alignment horizontal="left" vertical="top" wrapText="1"/>
    </xf>
    <xf numFmtId="164" fontId="3" fillId="0" borderId="21" xfId="68" applyNumberFormat="1" applyFont="1" applyFill="1" applyBorder="1" applyAlignment="1" applyProtection="1" quotePrefix="1">
      <alignment horizontal="left" vertical="top" wrapText="1"/>
      <protection locked="0"/>
    </xf>
    <xf numFmtId="164" fontId="3" fillId="0" borderId="21" xfId="0" applyFont="1" applyFill="1" applyBorder="1" applyAlignment="1" quotePrefix="1">
      <alignment horizontal="left" vertical="top" wrapText="1"/>
    </xf>
    <xf numFmtId="164" fontId="18" fillId="38" borderId="39" xfId="70" applyFont="1" applyFill="1" applyBorder="1">
      <alignment/>
      <protection/>
    </xf>
    <xf numFmtId="164" fontId="6" fillId="34" borderId="0" xfId="60" applyFont="1" applyFill="1" applyBorder="1">
      <alignment/>
      <protection/>
    </xf>
    <xf numFmtId="1" fontId="6" fillId="34" borderId="0" xfId="60" applyNumberFormat="1" applyFont="1" applyFill="1" applyBorder="1" applyAlignment="1">
      <alignment horizontal="center"/>
      <protection/>
    </xf>
    <xf numFmtId="164" fontId="18" fillId="34" borderId="0" xfId="59" applyFont="1" applyFill="1" applyBorder="1" applyAlignment="1" applyProtection="1">
      <alignment horizontal="center"/>
      <protection/>
    </xf>
    <xf numFmtId="164" fontId="6" fillId="47" borderId="0" xfId="60" applyFont="1" applyFill="1" applyBorder="1">
      <alignment/>
      <protection/>
    </xf>
    <xf numFmtId="0" fontId="6" fillId="47" borderId="0" xfId="58" applyNumberFormat="1" applyFont="1" applyFill="1" applyBorder="1" applyAlignment="1">
      <alignment/>
      <protection/>
    </xf>
    <xf numFmtId="0" fontId="6" fillId="47" borderId="0" xfId="58" applyNumberFormat="1" applyFont="1" applyFill="1" applyBorder="1" applyAlignment="1">
      <alignment horizontal="center"/>
      <protection/>
    </xf>
    <xf numFmtId="164" fontId="6" fillId="47" borderId="0" xfId="60" applyFont="1" applyFill="1" applyBorder="1" applyAlignment="1" applyProtection="1">
      <alignment horizontal="center"/>
      <protection/>
    </xf>
    <xf numFmtId="164" fontId="6" fillId="0" borderId="0" xfId="58" applyFont="1" applyBorder="1">
      <alignment/>
      <protection/>
    </xf>
    <xf numFmtId="164" fontId="6" fillId="0" borderId="0" xfId="70" applyFont="1" applyBorder="1">
      <alignment/>
      <protection/>
    </xf>
    <xf numFmtId="164" fontId="18" fillId="38" borderId="0" xfId="70" applyFont="1" applyFill="1" applyBorder="1" applyProtection="1">
      <alignment/>
      <protection/>
    </xf>
    <xf numFmtId="164" fontId="6" fillId="38" borderId="0" xfId="70" applyFont="1" applyFill="1" applyBorder="1" applyProtection="1">
      <alignment/>
      <protection/>
    </xf>
    <xf numFmtId="164" fontId="6" fillId="38" borderId="0" xfId="70" applyFont="1" applyFill="1" applyBorder="1" applyAlignment="1" applyProtection="1">
      <alignment horizontal="center"/>
      <protection/>
    </xf>
    <xf numFmtId="164" fontId="6" fillId="38" borderId="0" xfId="60" applyFont="1" applyFill="1" applyBorder="1">
      <alignment/>
      <protection/>
    </xf>
    <xf numFmtId="1" fontId="6" fillId="38" borderId="0" xfId="60" applyNumberFormat="1" applyFont="1" applyFill="1" applyBorder="1" applyAlignment="1">
      <alignment horizontal="center"/>
      <protection/>
    </xf>
    <xf numFmtId="164" fontId="6" fillId="38" borderId="0" xfId="60" applyFont="1" applyFill="1" applyBorder="1" applyAlignment="1">
      <alignment horizontal="center"/>
      <protection/>
    </xf>
    <xf numFmtId="3" fontId="18" fillId="38" borderId="0" xfId="65" applyFont="1" applyFill="1" applyBorder="1" applyAlignment="1" applyProtection="1">
      <alignment/>
      <protection/>
    </xf>
    <xf numFmtId="3" fontId="6" fillId="38" borderId="0" xfId="65" applyFont="1" applyFill="1" applyBorder="1" applyAlignment="1" applyProtection="1">
      <alignment/>
      <protection/>
    </xf>
    <xf numFmtId="1" fontId="6" fillId="38" borderId="0" xfId="65" applyNumberFormat="1" applyFont="1" applyFill="1" applyBorder="1" applyAlignment="1" applyProtection="1">
      <alignment horizontal="center"/>
      <protection/>
    </xf>
    <xf numFmtId="164" fontId="18" fillId="48" borderId="0" xfId="70" applyFont="1" applyFill="1" applyBorder="1">
      <alignment/>
      <protection/>
    </xf>
    <xf numFmtId="164" fontId="18" fillId="48" borderId="0" xfId="70" applyFont="1" applyFill="1" applyBorder="1" applyAlignment="1">
      <alignment horizontal="center"/>
      <protection/>
    </xf>
    <xf numFmtId="164" fontId="18" fillId="48" borderId="0" xfId="70" applyFont="1" applyFill="1" applyBorder="1" applyAlignment="1" applyProtection="1">
      <alignment horizontal="center"/>
      <protection/>
    </xf>
    <xf numFmtId="164" fontId="6" fillId="48" borderId="0" xfId="61" applyFont="1" applyFill="1" applyBorder="1">
      <alignment/>
      <protection/>
    </xf>
    <xf numFmtId="0" fontId="18" fillId="48" borderId="0" xfId="70" applyNumberFormat="1" applyFont="1" applyFill="1" applyBorder="1" applyAlignment="1">
      <alignment horizontal="center"/>
      <protection/>
    </xf>
    <xf numFmtId="164" fontId="6" fillId="48" borderId="0" xfId="60" applyFont="1" applyFill="1" applyBorder="1" applyAlignment="1">
      <alignment horizontal="center"/>
      <protection/>
    </xf>
    <xf numFmtId="1" fontId="6" fillId="48" borderId="0" xfId="61" applyNumberFormat="1" applyFont="1" applyFill="1" applyBorder="1" applyAlignment="1">
      <alignment horizontal="center"/>
      <protection/>
    </xf>
    <xf numFmtId="164" fontId="18" fillId="48" borderId="0" xfId="61" applyFont="1" applyFill="1" applyBorder="1">
      <alignment/>
      <protection/>
    </xf>
    <xf numFmtId="164" fontId="18" fillId="48" borderId="0" xfId="61" applyFont="1" applyFill="1" applyBorder="1" applyAlignment="1">
      <alignment horizontal="center"/>
      <protection/>
    </xf>
    <xf numFmtId="3" fontId="6" fillId="48" borderId="0" xfId="65" applyFont="1" applyFill="1" applyBorder="1" applyAlignment="1">
      <alignment/>
      <protection/>
    </xf>
    <xf numFmtId="1" fontId="6" fillId="48" borderId="0" xfId="65" applyNumberFormat="1" applyFont="1" applyFill="1" applyBorder="1" applyAlignment="1">
      <alignment horizontal="center"/>
      <protection/>
    </xf>
    <xf numFmtId="1" fontId="6" fillId="49" borderId="0" xfId="67" applyNumberFormat="1" applyFont="1" applyFill="1" applyBorder="1" applyAlignment="1" applyProtection="1">
      <alignment horizontal="center"/>
      <protection/>
    </xf>
    <xf numFmtId="164" fontId="18" fillId="48" borderId="0" xfId="61" applyFont="1" applyFill="1" applyBorder="1" applyAlignment="1">
      <alignment/>
      <protection/>
    </xf>
    <xf numFmtId="164" fontId="18" fillId="47" borderId="0" xfId="70" applyFont="1" applyFill="1" applyBorder="1">
      <alignment/>
      <protection/>
    </xf>
    <xf numFmtId="164" fontId="18" fillId="47" borderId="0" xfId="70" applyFont="1" applyFill="1" applyBorder="1" applyAlignment="1">
      <alignment horizontal="center"/>
      <protection/>
    </xf>
    <xf numFmtId="164" fontId="18" fillId="47" borderId="0" xfId="70" applyFont="1" applyFill="1" applyBorder="1" applyAlignment="1" applyProtection="1">
      <alignment horizontal="center"/>
      <protection/>
    </xf>
    <xf numFmtId="164" fontId="6" fillId="47" borderId="0" xfId="61" applyFont="1" applyFill="1" applyBorder="1">
      <alignment/>
      <protection/>
    </xf>
    <xf numFmtId="1" fontId="6" fillId="47" borderId="0" xfId="61" applyNumberFormat="1" applyFont="1" applyFill="1" applyBorder="1" applyAlignment="1">
      <alignment horizontal="center"/>
      <protection/>
    </xf>
    <xf numFmtId="164" fontId="6" fillId="47" borderId="0" xfId="60" applyFont="1" applyFill="1" applyBorder="1" applyAlignment="1">
      <alignment horizontal="center"/>
      <protection/>
    </xf>
    <xf numFmtId="1" fontId="6" fillId="47" borderId="0" xfId="65" applyNumberFormat="1" applyFont="1" applyFill="1" applyBorder="1" applyAlignment="1">
      <alignment horizontal="center"/>
      <protection/>
    </xf>
    <xf numFmtId="1" fontId="6" fillId="50" borderId="0" xfId="67" applyNumberFormat="1" applyFont="1" applyFill="1" applyBorder="1" applyAlignment="1" applyProtection="1">
      <alignment horizontal="center"/>
      <protection/>
    </xf>
    <xf numFmtId="164" fontId="18" fillId="47" borderId="0" xfId="61" applyFont="1" applyFill="1" applyBorder="1">
      <alignment/>
      <protection/>
    </xf>
    <xf numFmtId="0" fontId="6" fillId="0" borderId="0" xfId="70" applyNumberFormat="1" applyFont="1" applyBorder="1" applyAlignment="1">
      <alignment/>
      <protection/>
    </xf>
    <xf numFmtId="0" fontId="6" fillId="34" borderId="0" xfId="61" applyNumberFormat="1" applyFont="1" applyFill="1" applyBorder="1" applyAlignment="1">
      <alignment horizontal="center"/>
      <protection/>
    </xf>
    <xf numFmtId="0" fontId="18" fillId="34" borderId="0" xfId="70" applyNumberFormat="1" applyFont="1" applyFill="1" applyBorder="1" applyAlignment="1">
      <alignment horizontal="center"/>
      <protection/>
    </xf>
    <xf numFmtId="0" fontId="6" fillId="34" borderId="0" xfId="65" applyNumberFormat="1" applyFont="1" applyFill="1" applyBorder="1" applyAlignment="1">
      <alignment horizontal="center"/>
      <protection/>
    </xf>
    <xf numFmtId="3" fontId="18" fillId="48" borderId="0" xfId="65" applyFont="1" applyFill="1" applyBorder="1" applyAlignment="1">
      <alignment/>
      <protection/>
    </xf>
    <xf numFmtId="164" fontId="6" fillId="47" borderId="0" xfId="70" applyFont="1" applyFill="1" applyBorder="1">
      <alignment/>
      <protection/>
    </xf>
    <xf numFmtId="164" fontId="6" fillId="47" borderId="0" xfId="70" applyFont="1" applyFill="1" applyBorder="1" applyAlignment="1">
      <alignment horizontal="center"/>
      <protection/>
    </xf>
    <xf numFmtId="9" fontId="6" fillId="0" borderId="0" xfId="73" applyFont="1" applyAlignment="1">
      <alignment horizontal="center"/>
    </xf>
    <xf numFmtId="9" fontId="6" fillId="0" borderId="20" xfId="73" applyFont="1" applyBorder="1" applyAlignment="1">
      <alignment horizontal="center"/>
    </xf>
    <xf numFmtId="9" fontId="6" fillId="0" borderId="0" xfId="73" applyFont="1" applyBorder="1" applyAlignment="1">
      <alignment horizontal="center"/>
    </xf>
    <xf numFmtId="9" fontId="6" fillId="0" borderId="0" xfId="73" applyFont="1" applyFill="1" applyBorder="1" applyAlignment="1">
      <alignment horizontal="center"/>
    </xf>
    <xf numFmtId="37" fontId="3" fillId="0" borderId="21" xfId="68" applyNumberFormat="1" applyFont="1" applyBorder="1" applyAlignment="1" applyProtection="1">
      <alignment horizontal="left" vertical="top" wrapText="1"/>
      <protection/>
    </xf>
    <xf numFmtId="37" fontId="3" fillId="35" borderId="37" xfId="68" applyNumberFormat="1" applyFont="1" applyFill="1" applyBorder="1" applyAlignment="1" applyProtection="1">
      <alignment vertical="top" wrapText="1"/>
      <protection locked="0"/>
    </xf>
    <xf numFmtId="37" fontId="3" fillId="35" borderId="21" xfId="68" applyNumberFormat="1" applyFont="1" applyFill="1" applyBorder="1" applyAlignment="1" applyProtection="1">
      <alignment vertical="top" wrapText="1"/>
      <protection locked="0"/>
    </xf>
    <xf numFmtId="0" fontId="1" fillId="0" borderId="21" xfId="63" applyNumberFormat="1" applyFont="1" applyFill="1" applyBorder="1" applyAlignment="1">
      <alignment vertical="top" wrapText="1"/>
      <protection/>
    </xf>
    <xf numFmtId="164" fontId="18" fillId="36" borderId="0" xfId="70" applyFont="1" applyFill="1" applyBorder="1" applyAlignment="1">
      <alignment horizontal="center"/>
      <protection/>
    </xf>
    <xf numFmtId="1" fontId="6" fillId="36" borderId="0" xfId="70" applyNumberFormat="1" applyFont="1" applyFill="1" applyBorder="1" applyAlignment="1">
      <alignment horizontal="center"/>
      <protection/>
    </xf>
    <xf numFmtId="0" fontId="3" fillId="0" borderId="21" xfId="63" applyFont="1" applyFill="1" applyBorder="1" applyAlignment="1">
      <alignment vertical="top" wrapText="1"/>
      <protection/>
    </xf>
    <xf numFmtId="164" fontId="6" fillId="33" borderId="0" xfId="70" applyFont="1" applyFill="1" applyBorder="1">
      <alignment/>
      <protection/>
    </xf>
    <xf numFmtId="164" fontId="6" fillId="33" borderId="0" xfId="70" applyFont="1" applyFill="1" applyBorder="1" applyAlignment="1">
      <alignment horizontal="center"/>
      <protection/>
    </xf>
    <xf numFmtId="164" fontId="6" fillId="33" borderId="0" xfId="70" applyFont="1" applyFill="1" applyBorder="1" applyAlignment="1" applyProtection="1">
      <alignment horizontal="center"/>
      <protection/>
    </xf>
    <xf numFmtId="164" fontId="6" fillId="33" borderId="0" xfId="61" applyFont="1" applyFill="1" applyBorder="1">
      <alignment/>
      <protection/>
    </xf>
    <xf numFmtId="1" fontId="6" fillId="33" borderId="0" xfId="61" applyNumberFormat="1" applyFont="1" applyFill="1" applyBorder="1" applyAlignment="1">
      <alignment horizontal="center"/>
      <protection/>
    </xf>
    <xf numFmtId="164" fontId="6" fillId="33" borderId="0" xfId="61" applyFont="1" applyFill="1" applyBorder="1" applyAlignment="1">
      <alignment horizontal="left"/>
      <protection/>
    </xf>
    <xf numFmtId="1" fontId="18" fillId="33" borderId="0" xfId="65" applyNumberFormat="1" applyFont="1" applyFill="1" applyBorder="1" applyAlignment="1">
      <alignment horizontal="center"/>
      <protection/>
    </xf>
    <xf numFmtId="1" fontId="6" fillId="33" borderId="0" xfId="65" applyNumberFormat="1" applyFont="1" applyFill="1" applyBorder="1" applyAlignment="1">
      <alignment horizontal="center"/>
      <protection/>
    </xf>
    <xf numFmtId="3" fontId="6" fillId="33" borderId="0" xfId="65" applyFont="1" applyFill="1" applyBorder="1">
      <alignment/>
      <protection/>
    </xf>
    <xf numFmtId="3" fontId="6" fillId="33" borderId="0" xfId="65" applyFont="1" applyFill="1" applyBorder="1" applyAlignment="1">
      <alignment horizontal="left"/>
      <protection/>
    </xf>
    <xf numFmtId="164" fontId="6" fillId="33" borderId="0" xfId="60" applyFont="1" applyFill="1" applyBorder="1" applyAlignment="1" applyProtection="1">
      <alignment horizontal="center"/>
      <protection/>
    </xf>
    <xf numFmtId="1" fontId="18" fillId="36" borderId="0" xfId="70" applyNumberFormat="1" applyFont="1" applyFill="1" applyBorder="1" applyAlignment="1">
      <alignment horizontal="center"/>
      <protection/>
    </xf>
    <xf numFmtId="164" fontId="6" fillId="36" borderId="0" xfId="70" applyFont="1" applyFill="1" applyBorder="1" applyAlignment="1" applyProtection="1">
      <alignment horizontal="center"/>
      <protection/>
    </xf>
    <xf numFmtId="3" fontId="6" fillId="36" borderId="0" xfId="65" applyFont="1" applyFill="1" applyBorder="1" applyAlignment="1">
      <alignment/>
      <protection/>
    </xf>
    <xf numFmtId="1" fontId="6" fillId="36" borderId="0" xfId="65" applyNumberFormat="1" applyFont="1" applyFill="1" applyBorder="1" applyAlignment="1">
      <alignment horizontal="center"/>
      <protection/>
    </xf>
    <xf numFmtId="1" fontId="6" fillId="51" borderId="0" xfId="67" applyNumberFormat="1" applyFont="1" applyFill="1" applyBorder="1" applyAlignment="1" applyProtection="1">
      <alignment horizontal="center"/>
      <protection/>
    </xf>
    <xf numFmtId="164" fontId="18" fillId="36" borderId="0" xfId="61" applyFont="1" applyFill="1" applyBorder="1">
      <alignment/>
      <protection/>
    </xf>
    <xf numFmtId="164" fontId="18" fillId="36" borderId="0" xfId="61" applyFont="1" applyFill="1" applyBorder="1" applyAlignment="1">
      <alignment horizontal="center"/>
      <protection/>
    </xf>
    <xf numFmtId="0" fontId="6" fillId="0" borderId="0" xfId="69" applyFont="1" applyFill="1" applyAlignment="1">
      <alignment horizontal="left"/>
      <protection/>
    </xf>
    <xf numFmtId="9" fontId="6" fillId="0" borderId="0" xfId="73" applyFont="1" applyFill="1" applyAlignment="1">
      <alignment horizontal="center"/>
    </xf>
    <xf numFmtId="167" fontId="28" fillId="0" borderId="0" xfId="42" applyNumberFormat="1" applyFont="1" applyFill="1" applyAlignment="1" quotePrefix="1">
      <alignment horizontal="center"/>
    </xf>
    <xf numFmtId="9" fontId="6" fillId="0" borderId="20" xfId="73" applyFont="1" applyFill="1" applyBorder="1" applyAlignment="1">
      <alignment horizontal="center"/>
    </xf>
    <xf numFmtId="9" fontId="6" fillId="0" borderId="0" xfId="73" applyFont="1" applyFill="1" applyBorder="1" applyAlignment="1">
      <alignment horizontal="center"/>
    </xf>
    <xf numFmtId="3" fontId="25" fillId="36" borderId="0" xfId="65" applyFont="1" applyFill="1" applyBorder="1" applyAlignment="1">
      <alignment/>
      <protection/>
    </xf>
    <xf numFmtId="0" fontId="6" fillId="47" borderId="0" xfId="66" applyNumberFormat="1" applyFont="1" applyFill="1" applyBorder="1" applyAlignment="1">
      <alignment/>
      <protection/>
    </xf>
    <xf numFmtId="164" fontId="25" fillId="36" borderId="0" xfId="60" applyFont="1" applyFill="1" applyBorder="1">
      <alignment/>
      <protection/>
    </xf>
    <xf numFmtId="3" fontId="25" fillId="38" borderId="0" xfId="65" applyFont="1" applyFill="1" applyBorder="1" applyAlignment="1" applyProtection="1">
      <alignment/>
      <protection/>
    </xf>
    <xf numFmtId="164" fontId="6" fillId="38" borderId="0" xfId="60" applyFont="1" applyFill="1" applyBorder="1" applyAlignment="1">
      <alignment/>
      <protection/>
    </xf>
    <xf numFmtId="3" fontId="25" fillId="34" borderId="0" xfId="65" applyFont="1" applyFill="1" applyBorder="1" applyAlignment="1" applyProtection="1">
      <alignment/>
      <protection/>
    </xf>
    <xf numFmtId="3" fontId="25" fillId="34" borderId="0" xfId="65" applyFont="1" applyFill="1" applyBorder="1" applyAlignment="1">
      <alignment/>
      <protection/>
    </xf>
    <xf numFmtId="164" fontId="25" fillId="47" borderId="0" xfId="61" applyFont="1" applyFill="1" applyBorder="1">
      <alignment/>
      <protection/>
    </xf>
    <xf numFmtId="164" fontId="25" fillId="36" borderId="0" xfId="61" applyFont="1" applyFill="1" applyBorder="1">
      <alignment/>
      <protection/>
    </xf>
    <xf numFmtId="164" fontId="25" fillId="37" borderId="0" xfId="61" applyFont="1" applyFill="1" applyBorder="1">
      <alignment/>
      <protection/>
    </xf>
    <xf numFmtId="1" fontId="6" fillId="41" borderId="0" xfId="65" applyNumberFormat="1" applyFont="1" applyFill="1" applyBorder="1" applyAlignment="1">
      <alignment horizontal="center"/>
      <protection/>
    </xf>
    <xf numFmtId="1" fontId="25" fillId="51" borderId="0" xfId="67" applyNumberFormat="1" applyFont="1" applyFill="1" applyBorder="1" applyAlignment="1" applyProtection="1">
      <alignment horizontal="center"/>
      <protection/>
    </xf>
    <xf numFmtId="167" fontId="6" fillId="43" borderId="0" xfId="42" applyNumberFormat="1" applyFont="1" applyFill="1" applyBorder="1" applyAlignment="1">
      <alignment/>
    </xf>
    <xf numFmtId="3" fontId="6" fillId="0" borderId="39" xfId="42" applyNumberFormat="1" applyFont="1" applyFill="1" applyBorder="1" applyAlignment="1">
      <alignment horizontal="right"/>
    </xf>
    <xf numFmtId="3" fontId="6" fillId="0" borderId="0" xfId="42" applyNumberFormat="1" applyFont="1" applyFill="1" applyBorder="1" applyAlignment="1">
      <alignment horizontal="right"/>
    </xf>
    <xf numFmtId="3" fontId="9" fillId="0" borderId="20" xfId="42" applyNumberFormat="1" applyFont="1" applyFill="1" applyBorder="1" applyAlignment="1">
      <alignment horizontal="right"/>
    </xf>
    <xf numFmtId="164" fontId="6" fillId="0" borderId="39" xfId="0" applyFont="1" applyFill="1" applyBorder="1" applyAlignment="1">
      <alignment vertical="top"/>
    </xf>
    <xf numFmtId="164" fontId="6" fillId="0" borderId="0" xfId="0" applyFont="1" applyFill="1" applyAlignment="1">
      <alignment horizontal="right" vertical="top"/>
    </xf>
    <xf numFmtId="3" fontId="6" fillId="0" borderId="39" xfId="42" applyNumberFormat="1" applyFont="1" applyFill="1" applyBorder="1" applyAlignment="1">
      <alignment horizontal="right" vertical="top"/>
    </xf>
    <xf numFmtId="3" fontId="6" fillId="0" borderId="0" xfId="42" applyNumberFormat="1" applyFont="1" applyFill="1" applyBorder="1" applyAlignment="1">
      <alignment horizontal="right" vertical="top"/>
    </xf>
    <xf numFmtId="3" fontId="9" fillId="0" borderId="20" xfId="42" applyNumberFormat="1" applyFont="1" applyFill="1" applyBorder="1" applyAlignment="1">
      <alignment horizontal="right" vertical="top"/>
    </xf>
    <xf numFmtId="164" fontId="6" fillId="0" borderId="0" xfId="0" applyFont="1" applyFill="1" applyBorder="1" applyAlignment="1">
      <alignment vertical="top"/>
    </xf>
    <xf numFmtId="164" fontId="6" fillId="0" borderId="31" xfId="0" applyFont="1" applyFill="1" applyBorder="1" applyAlignment="1">
      <alignment/>
    </xf>
    <xf numFmtId="164" fontId="6" fillId="0" borderId="12" xfId="0" applyFont="1" applyFill="1" applyBorder="1" applyAlignment="1">
      <alignment horizontal="right"/>
    </xf>
    <xf numFmtId="3" fontId="6" fillId="0" borderId="31" xfId="42" applyNumberFormat="1" applyFont="1" applyFill="1" applyBorder="1" applyAlignment="1">
      <alignment horizontal="right"/>
    </xf>
    <xf numFmtId="3" fontId="6" fillId="0" borderId="12" xfId="42" applyNumberFormat="1" applyFont="1" applyFill="1" applyBorder="1" applyAlignment="1">
      <alignment horizontal="right"/>
    </xf>
    <xf numFmtId="3" fontId="9" fillId="0" borderId="38" xfId="42" applyNumberFormat="1" applyFont="1" applyFill="1" applyBorder="1" applyAlignment="1">
      <alignment horizontal="right"/>
    </xf>
    <xf numFmtId="3" fontId="9" fillId="0" borderId="38" xfId="42" applyNumberFormat="1" applyFont="1" applyFill="1" applyBorder="1" applyAlignment="1">
      <alignment horizontal="right" vertical="top"/>
    </xf>
    <xf numFmtId="164" fontId="3" fillId="0" borderId="0" xfId="0" applyFont="1" applyFill="1" applyAlignment="1">
      <alignment vertical="center"/>
    </xf>
    <xf numFmtId="0" fontId="29" fillId="0" borderId="0" xfId="69" applyFont="1" applyFill="1" applyBorder="1" applyAlignment="1">
      <alignment wrapText="1"/>
      <protection/>
    </xf>
    <xf numFmtId="164" fontId="3" fillId="0" borderId="0" xfId="0" applyFont="1" applyFill="1" applyBorder="1" applyAlignment="1" quotePrefix="1">
      <alignment horizontal="right"/>
    </xf>
    <xf numFmtId="49" fontId="3" fillId="0" borderId="0" xfId="0" applyNumberFormat="1" applyFont="1" applyFill="1" applyAlignment="1" quotePrefix="1">
      <alignment horizontal="right"/>
    </xf>
    <xf numFmtId="9" fontId="10" fillId="0" borderId="0" xfId="73" applyFont="1" applyFill="1" applyAlignment="1">
      <alignment/>
    </xf>
    <xf numFmtId="9" fontId="6" fillId="0" borderId="0" xfId="73" applyFont="1" applyAlignment="1">
      <alignment horizontal="right"/>
    </xf>
    <xf numFmtId="37" fontId="1" fillId="0" borderId="38" xfId="68" applyNumberFormat="1" applyFont="1" applyFill="1" applyBorder="1" applyAlignment="1" applyProtection="1">
      <alignment horizontal="left" vertical="top" wrapText="1"/>
      <protection locked="0"/>
    </xf>
    <xf numFmtId="37" fontId="1" fillId="0" borderId="47" xfId="68" applyNumberFormat="1" applyFont="1" applyFill="1" applyBorder="1" applyAlignment="1" applyProtection="1">
      <alignment horizontal="left" vertical="top" wrapText="1"/>
      <protection locked="0"/>
    </xf>
    <xf numFmtId="37" fontId="1" fillId="0" borderId="46" xfId="68" applyNumberFormat="1" applyFont="1" applyFill="1" applyBorder="1" applyAlignment="1" applyProtection="1">
      <alignment horizontal="left" vertical="top" wrapText="1"/>
      <protection locked="0"/>
    </xf>
    <xf numFmtId="164" fontId="34" fillId="0" borderId="21" xfId="0" applyFont="1" applyFill="1" applyBorder="1" applyAlignment="1">
      <alignment horizontal="left" vertical="top"/>
    </xf>
    <xf numFmtId="164" fontId="3" fillId="0" borderId="21" xfId="0" applyFont="1" applyFill="1" applyBorder="1" applyAlignment="1">
      <alignment horizontal="left" vertical="top"/>
    </xf>
    <xf numFmtId="9" fontId="6" fillId="0" borderId="10" xfId="73" applyFont="1" applyBorder="1" applyAlignment="1">
      <alignment horizontal="right"/>
    </xf>
    <xf numFmtId="9" fontId="6" fillId="0" borderId="32" xfId="73" applyFont="1" applyBorder="1" applyAlignment="1">
      <alignment horizontal="right"/>
    </xf>
    <xf numFmtId="9" fontId="6" fillId="0" borderId="10" xfId="73" applyFont="1" applyFill="1" applyBorder="1" applyAlignment="1">
      <alignment horizontal="right"/>
    </xf>
    <xf numFmtId="9" fontId="6" fillId="0" borderId="0" xfId="73" applyFont="1" applyBorder="1" applyAlignment="1">
      <alignment horizontal="right"/>
    </xf>
    <xf numFmtId="9" fontId="6" fillId="0" borderId="20" xfId="73" applyFont="1" applyBorder="1" applyAlignment="1">
      <alignment horizontal="right"/>
    </xf>
    <xf numFmtId="9" fontId="6" fillId="0" borderId="0" xfId="73" applyFont="1" applyFill="1" applyBorder="1" applyAlignment="1">
      <alignment horizontal="right"/>
    </xf>
    <xf numFmtId="9" fontId="6" fillId="0" borderId="0" xfId="73" applyFont="1" applyAlignment="1">
      <alignment horizontal="right"/>
    </xf>
    <xf numFmtId="9" fontId="6" fillId="0" borderId="20" xfId="73" applyFont="1" applyBorder="1" applyAlignment="1">
      <alignment horizontal="right"/>
    </xf>
    <xf numFmtId="9" fontId="6" fillId="0" borderId="0" xfId="73" applyFont="1" applyBorder="1" applyAlignment="1">
      <alignment horizontal="right"/>
    </xf>
    <xf numFmtId="9" fontId="6" fillId="0" borderId="0" xfId="73" applyFont="1" applyFill="1" applyBorder="1" applyAlignment="1">
      <alignment horizontal="right"/>
    </xf>
    <xf numFmtId="9" fontId="6" fillId="0" borderId="0" xfId="73" applyFont="1" applyFill="1" applyAlignment="1">
      <alignment horizontal="right"/>
    </xf>
    <xf numFmtId="167" fontId="28" fillId="0" borderId="0" xfId="42" applyNumberFormat="1" applyFont="1" applyFill="1" applyAlignment="1" quotePrefix="1">
      <alignment horizontal="right"/>
    </xf>
    <xf numFmtId="9" fontId="6" fillId="0" borderId="20" xfId="73" applyFont="1" applyFill="1" applyBorder="1" applyAlignment="1">
      <alignment horizontal="right"/>
    </xf>
    <xf numFmtId="9" fontId="6" fillId="0" borderId="39" xfId="73" applyFont="1" applyFill="1" applyBorder="1" applyAlignment="1">
      <alignment horizontal="right"/>
    </xf>
    <xf numFmtId="9" fontId="6" fillId="0" borderId="39" xfId="73" applyFont="1" applyBorder="1" applyAlignment="1">
      <alignment horizontal="right"/>
    </xf>
    <xf numFmtId="167" fontId="28" fillId="0" borderId="0" xfId="42" applyNumberFormat="1" applyFont="1" applyAlignment="1" quotePrefix="1">
      <alignment horizontal="right"/>
    </xf>
    <xf numFmtId="167" fontId="28" fillId="0" borderId="0" xfId="42" applyNumberFormat="1" applyFont="1" applyBorder="1" applyAlignment="1" quotePrefix="1">
      <alignment horizontal="right"/>
    </xf>
    <xf numFmtId="167" fontId="28" fillId="0" borderId="20" xfId="42" applyNumberFormat="1" applyFont="1" applyBorder="1" applyAlignment="1" quotePrefix="1">
      <alignment horizontal="right"/>
    </xf>
    <xf numFmtId="9" fontId="6" fillId="0" borderId="0" xfId="73" applyFont="1" applyFill="1" applyAlignment="1">
      <alignment horizontal="right"/>
    </xf>
    <xf numFmtId="9" fontId="6" fillId="0" borderId="20" xfId="73" applyFont="1" applyFill="1" applyBorder="1" applyAlignment="1">
      <alignment horizontal="right"/>
    </xf>
    <xf numFmtId="9" fontId="6" fillId="0" borderId="0" xfId="73" applyFont="1" applyFill="1" applyBorder="1" applyAlignment="1">
      <alignment horizontal="right"/>
    </xf>
    <xf numFmtId="9" fontId="6" fillId="0" borderId="12" xfId="73" applyFont="1" applyFill="1" applyBorder="1" applyAlignment="1">
      <alignment horizontal="right"/>
    </xf>
    <xf numFmtId="9" fontId="6" fillId="0" borderId="38" xfId="73" applyFont="1" applyFill="1" applyBorder="1" applyAlignment="1">
      <alignment horizontal="right"/>
    </xf>
    <xf numFmtId="9" fontId="6" fillId="0" borderId="31" xfId="73" applyFont="1" applyFill="1" applyBorder="1" applyAlignment="1">
      <alignment horizontal="right"/>
    </xf>
    <xf numFmtId="9" fontId="6" fillId="0" borderId="12" xfId="73" applyFont="1" applyBorder="1" applyAlignment="1">
      <alignment horizontal="right"/>
    </xf>
    <xf numFmtId="3" fontId="9" fillId="0" borderId="12" xfId="69" applyNumberFormat="1" applyFont="1" applyFill="1" applyBorder="1" applyAlignment="1">
      <alignment horizontal="center" wrapText="1"/>
      <protection/>
    </xf>
    <xf numFmtId="3" fontId="9" fillId="0" borderId="31" xfId="69" applyNumberFormat="1" applyFont="1" applyFill="1" applyBorder="1" applyAlignment="1">
      <alignment horizontal="center" wrapText="1"/>
      <protection/>
    </xf>
    <xf numFmtId="3" fontId="17" fillId="0" borderId="0" xfId="0" applyNumberFormat="1" applyFont="1" applyAlignment="1">
      <alignment/>
    </xf>
    <xf numFmtId="164" fontId="18" fillId="52" borderId="0" xfId="0" applyFont="1" applyFill="1" applyBorder="1" applyAlignment="1">
      <alignment/>
    </xf>
    <xf numFmtId="164" fontId="17" fillId="52" borderId="0" xfId="0" applyFont="1" applyFill="1" applyBorder="1" applyAlignment="1">
      <alignment vertical="top" wrapText="1" shrinkToFit="1"/>
    </xf>
    <xf numFmtId="164" fontId="19" fillId="52" borderId="0" xfId="0" applyFont="1" applyFill="1" applyBorder="1" applyAlignment="1" applyProtection="1">
      <alignment horizontal="center"/>
      <protection/>
    </xf>
    <xf numFmtId="164" fontId="18" fillId="52" borderId="0" xfId="0" applyFont="1" applyFill="1" applyBorder="1" applyAlignment="1" applyProtection="1">
      <alignment horizontal="center"/>
      <protection/>
    </xf>
    <xf numFmtId="164" fontId="0" fillId="52" borderId="0" xfId="0" applyFill="1" applyAlignment="1">
      <alignment vertical="top"/>
    </xf>
    <xf numFmtId="164" fontId="19" fillId="52" borderId="0" xfId="0" applyFont="1" applyFill="1" applyBorder="1" applyAlignment="1" applyProtection="1">
      <alignment/>
      <protection/>
    </xf>
    <xf numFmtId="164" fontId="19" fillId="0" borderId="12" xfId="70" applyFont="1" applyFill="1" applyBorder="1" applyAlignment="1">
      <alignment horizontal="left"/>
      <protection/>
    </xf>
    <xf numFmtId="164" fontId="19" fillId="0" borderId="35" xfId="70" applyFont="1" applyFill="1" applyBorder="1" applyAlignment="1" applyProtection="1">
      <alignment horizontal="left"/>
      <protection/>
    </xf>
    <xf numFmtId="164" fontId="19" fillId="0" borderId="48" xfId="70" applyFont="1" applyFill="1" applyBorder="1" applyAlignment="1" applyProtection="1">
      <alignment horizontal="left"/>
      <protection/>
    </xf>
    <xf numFmtId="164" fontId="19" fillId="0" borderId="49" xfId="70" applyFont="1" applyFill="1" applyBorder="1" applyAlignment="1" applyProtection="1">
      <alignment horizontal="left"/>
      <protection/>
    </xf>
    <xf numFmtId="164" fontId="17" fillId="0" borderId="50" xfId="70" applyFont="1" applyFill="1" applyBorder="1" applyAlignment="1" applyProtection="1">
      <alignment horizontal="left"/>
      <protection/>
    </xf>
    <xf numFmtId="164" fontId="19" fillId="0" borderId="50" xfId="70" applyFont="1" applyFill="1" applyBorder="1" applyAlignment="1" applyProtection="1">
      <alignment horizontal="left"/>
      <protection/>
    </xf>
    <xf numFmtId="164" fontId="17" fillId="0" borderId="51" xfId="70" applyFont="1" applyFill="1" applyBorder="1" applyAlignment="1" applyProtection="1">
      <alignment horizontal="left"/>
      <protection/>
    </xf>
    <xf numFmtId="0" fontId="29" fillId="0" borderId="0" xfId="69" applyFont="1" applyFill="1" applyBorder="1" applyAlignment="1">
      <alignment wrapText="1"/>
      <protection/>
    </xf>
    <xf numFmtId="164" fontId="10" fillId="0" borderId="0" xfId="0" applyFont="1" applyFill="1" applyAlignment="1">
      <alignment/>
    </xf>
    <xf numFmtId="164" fontId="3" fillId="0" borderId="0" xfId="0" applyFont="1" applyAlignment="1">
      <alignment vertical="top" wrapText="1"/>
    </xf>
    <xf numFmtId="0" fontId="5" fillId="0" borderId="0" xfId="69" applyFont="1" applyAlignment="1">
      <alignment horizontal="center"/>
      <protection/>
    </xf>
    <xf numFmtId="0" fontId="7" fillId="0" borderId="0" xfId="69" applyFont="1" applyAlignment="1">
      <alignment horizontal="center"/>
      <protection/>
    </xf>
    <xf numFmtId="0" fontId="3" fillId="0" borderId="0" xfId="42" applyNumberFormat="1" applyFont="1" applyFill="1" applyAlignment="1">
      <alignment vertical="top" wrapText="1"/>
    </xf>
    <xf numFmtId="164" fontId="0" fillId="0" borderId="0" xfId="0" applyAlignment="1">
      <alignment wrapText="1"/>
    </xf>
    <xf numFmtId="164" fontId="3" fillId="0" borderId="0" xfId="0" applyFont="1" applyAlignment="1">
      <alignment vertical="center" wrapText="1"/>
    </xf>
    <xf numFmtId="37" fontId="22" fillId="0" borderId="0" xfId="68" applyNumberFormat="1" applyFont="1" applyAlignment="1" applyProtection="1">
      <alignment horizontal="center" vertical="top"/>
      <protection/>
    </xf>
    <xf numFmtId="167" fontId="75" fillId="53" borderId="45" xfId="42" applyNumberFormat="1" applyFont="1" applyFill="1" applyBorder="1" applyAlignment="1">
      <alignment horizontal="right"/>
    </xf>
    <xf numFmtId="167" fontId="75" fillId="53" borderId="39" xfId="42" applyNumberFormat="1" applyFont="1" applyFill="1" applyBorder="1" applyAlignment="1">
      <alignment horizontal="right"/>
    </xf>
    <xf numFmtId="167" fontId="6" fillId="42" borderId="45" xfId="42" applyNumberFormat="1" applyFont="1" applyFill="1" applyBorder="1" applyAlignment="1">
      <alignment horizontal="right"/>
    </xf>
    <xf numFmtId="167" fontId="6" fillId="42" borderId="39" xfId="42" applyNumberFormat="1" applyFont="1" applyFill="1" applyBorder="1" applyAlignment="1">
      <alignment horizontal="right"/>
    </xf>
    <xf numFmtId="3" fontId="17" fillId="0" borderId="45" xfId="0" applyNumberFormat="1" applyFont="1" applyBorder="1" applyAlignment="1">
      <alignment/>
    </xf>
    <xf numFmtId="3" fontId="17" fillId="0" borderId="39" xfId="0" applyNumberFormat="1" applyFont="1" applyBorder="1" applyAlignment="1">
      <alignment/>
    </xf>
    <xf numFmtId="167" fontId="6" fillId="42" borderId="0" xfId="42" applyNumberFormat="1" applyFont="1" applyFill="1" applyBorder="1" applyAlignment="1">
      <alignment horizontal="right"/>
    </xf>
    <xf numFmtId="3" fontId="17" fillId="0" borderId="0" xfId="0" applyNumberFormat="1" applyFont="1" applyBorder="1" applyAlignment="1">
      <alignment/>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03SCH&amp;FTE05" xfId="57"/>
    <cellStyle name="Normal_06-07Tuition05" xfId="58"/>
    <cellStyle name="Normal_Benefits02 Form" xfId="59"/>
    <cellStyle name="Normal_Degree02 Form" xfId="60"/>
    <cellStyle name="Normal_Degrees02 Form" xfId="61"/>
    <cellStyle name="Normal_Funding02 Form" xfId="62"/>
    <cellStyle name="Normal_JP - SREB Part 5,6 &amp; 7 Final" xfId="63"/>
    <cellStyle name="Normal_NC CCS 1,3,6-10 08" xfId="64"/>
    <cellStyle name="Normal_SCH&amp;FTE02 Form" xfId="65"/>
    <cellStyle name="Normal_SCH&amp;FTE03 Form" xfId="66"/>
    <cellStyle name="Normal_StProg02 Form" xfId="67"/>
    <cellStyle name="Normal_Tuit98" xfId="68"/>
    <cellStyle name="Normal_Tuition Tables" xfId="69"/>
    <cellStyle name="Normal_Tuition02 Form" xfId="70"/>
    <cellStyle name="Note" xfId="71"/>
    <cellStyle name="Output" xfId="72"/>
    <cellStyle name="Percent" xfId="73"/>
    <cellStyle name="Title" xfId="74"/>
    <cellStyle name="Total" xfId="75"/>
    <cellStyle name="Warning Text" xfId="76"/>
  </cellStyles>
  <dxfs count="3">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2"/>
  </sheetPr>
  <dimension ref="A1:AO1099"/>
  <sheetViews>
    <sheetView zoomScale="80" zoomScaleNormal="80"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L41" sqref="L41"/>
    </sheetView>
  </sheetViews>
  <sheetFormatPr defaultColWidth="8.796875" defaultRowHeight="15" customHeight="1"/>
  <cols>
    <col min="1" max="1" width="4.19921875" style="170" customWidth="1"/>
    <col min="2" max="2" width="37.69921875" style="170" customWidth="1"/>
    <col min="3" max="3" width="7.8984375" style="171" customWidth="1"/>
    <col min="4" max="4" width="5.19921875" style="170" customWidth="1"/>
    <col min="5" max="5" width="8.59765625" style="172" customWidth="1"/>
    <col min="6" max="6" width="10.5" style="173" customWidth="1"/>
    <col min="7" max="7" width="9.8984375" style="172" customWidth="1"/>
    <col min="8" max="8" width="10.5" style="173" customWidth="1"/>
    <col min="9" max="9" width="8.59765625" style="172" customWidth="1"/>
    <col min="10" max="10" width="10.5" style="173" customWidth="1"/>
    <col min="11" max="11" width="9.8984375" style="172" customWidth="1"/>
    <col min="12" max="12" width="10.5" style="173" customWidth="1"/>
    <col min="13" max="13" width="8.59765625" style="172" customWidth="1"/>
    <col min="14" max="14" width="10.5" style="173" customWidth="1"/>
    <col min="15" max="15" width="9.8984375" style="172" customWidth="1"/>
    <col min="16" max="16" width="10.5" style="173" customWidth="1"/>
    <col min="17" max="17" width="8.59765625" style="172" customWidth="1"/>
    <col min="18" max="18" width="10.5" style="173" customWidth="1"/>
    <col min="19" max="19" width="9.8984375" style="172" customWidth="1"/>
    <col min="20" max="20" width="10.5" style="173" customWidth="1"/>
    <col min="21" max="21" width="8.59765625" style="172" customWidth="1"/>
    <col min="22" max="22" width="10.5" style="173" customWidth="1"/>
    <col min="23" max="23" width="9.8984375" style="172" customWidth="1"/>
    <col min="24" max="24" width="10.5" style="173" customWidth="1"/>
    <col min="25" max="25" width="8.59765625" style="172" customWidth="1"/>
    <col min="26" max="26" width="10.5" style="173" customWidth="1"/>
    <col min="27" max="27" width="9.8984375" style="172" customWidth="1"/>
    <col min="28" max="28" width="10.5" style="173" customWidth="1"/>
    <col min="29" max="29" width="8.59765625" style="172" customWidth="1"/>
    <col min="30" max="30" width="10.5" style="173" customWidth="1"/>
    <col min="31" max="31" width="9.8984375" style="172" customWidth="1"/>
    <col min="32" max="32" width="10.5" style="173" customWidth="1"/>
    <col min="33" max="33" width="8.59765625" style="172" customWidth="1"/>
    <col min="34" max="34" width="10.5" style="173" customWidth="1"/>
    <col min="35" max="35" width="9.8984375" style="172" customWidth="1"/>
    <col min="36" max="36" width="10.5" style="173" customWidth="1"/>
    <col min="37" max="37" width="8.59765625" style="172" customWidth="1"/>
    <col min="38" max="38" width="10.5" style="173" customWidth="1"/>
    <col min="39" max="39" width="9.8984375" style="172" customWidth="1"/>
    <col min="40" max="40" width="10.5" style="173" customWidth="1"/>
    <col min="41" max="16384" width="9" style="170" customWidth="1"/>
  </cols>
  <sheetData>
    <row r="1" spans="1:40" s="204" customFormat="1" ht="15" customHeight="1">
      <c r="A1" s="203"/>
      <c r="B1" s="517"/>
      <c r="C1" s="518"/>
      <c r="D1" s="519"/>
      <c r="E1" s="520" t="s">
        <v>538</v>
      </c>
      <c r="F1" s="521"/>
      <c r="G1" s="522"/>
      <c r="H1" s="523"/>
      <c r="I1" s="520" t="s">
        <v>539</v>
      </c>
      <c r="J1" s="521"/>
      <c r="K1" s="522"/>
      <c r="L1" s="523"/>
      <c r="M1" s="520" t="s">
        <v>804</v>
      </c>
      <c r="N1" s="521"/>
      <c r="O1" s="522"/>
      <c r="P1" s="523"/>
      <c r="Q1" s="520" t="s">
        <v>805</v>
      </c>
      <c r="R1" s="521"/>
      <c r="S1" s="522"/>
      <c r="T1" s="523"/>
      <c r="U1" s="520" t="s">
        <v>806</v>
      </c>
      <c r="V1" s="521"/>
      <c r="W1" s="522"/>
      <c r="X1" s="523"/>
      <c r="Y1" s="520" t="s">
        <v>807</v>
      </c>
      <c r="Z1" s="521"/>
      <c r="AA1" s="522"/>
      <c r="AB1" s="523"/>
      <c r="AC1" s="520" t="s">
        <v>808</v>
      </c>
      <c r="AD1" s="521"/>
      <c r="AE1" s="522"/>
      <c r="AF1" s="523"/>
      <c r="AG1" s="520" t="s">
        <v>540</v>
      </c>
      <c r="AH1" s="521"/>
      <c r="AI1" s="522"/>
      <c r="AJ1" s="523"/>
      <c r="AK1" s="520" t="s">
        <v>524</v>
      </c>
      <c r="AL1" s="521"/>
      <c r="AM1" s="522"/>
      <c r="AN1" s="521"/>
    </row>
    <row r="2" spans="1:40" s="96" customFormat="1" ht="19.5" customHeight="1">
      <c r="A2" s="511"/>
      <c r="B2" s="512"/>
      <c r="C2" s="513"/>
      <c r="D2" s="514"/>
      <c r="E2" s="265" t="s">
        <v>522</v>
      </c>
      <c r="F2" s="98" t="s">
        <v>522</v>
      </c>
      <c r="G2" s="97" t="s">
        <v>523</v>
      </c>
      <c r="H2" s="266" t="s">
        <v>523</v>
      </c>
      <c r="I2" s="265" t="s">
        <v>522</v>
      </c>
      <c r="J2" s="98" t="s">
        <v>522</v>
      </c>
      <c r="K2" s="97" t="s">
        <v>523</v>
      </c>
      <c r="L2" s="266" t="s">
        <v>523</v>
      </c>
      <c r="M2" s="265" t="s">
        <v>522</v>
      </c>
      <c r="N2" s="98" t="s">
        <v>522</v>
      </c>
      <c r="O2" s="97" t="s">
        <v>523</v>
      </c>
      <c r="P2" s="266" t="s">
        <v>523</v>
      </c>
      <c r="Q2" s="265" t="s">
        <v>522</v>
      </c>
      <c r="R2" s="98" t="s">
        <v>522</v>
      </c>
      <c r="S2" s="97" t="s">
        <v>523</v>
      </c>
      <c r="T2" s="266" t="s">
        <v>523</v>
      </c>
      <c r="U2" s="265" t="s">
        <v>522</v>
      </c>
      <c r="V2" s="98" t="s">
        <v>522</v>
      </c>
      <c r="W2" s="97" t="s">
        <v>523</v>
      </c>
      <c r="X2" s="266" t="s">
        <v>523</v>
      </c>
      <c r="Y2" s="265" t="s">
        <v>522</v>
      </c>
      <c r="Z2" s="98" t="s">
        <v>522</v>
      </c>
      <c r="AA2" s="97" t="s">
        <v>523</v>
      </c>
      <c r="AB2" s="266" t="s">
        <v>523</v>
      </c>
      <c r="AC2" s="265" t="s">
        <v>522</v>
      </c>
      <c r="AD2" s="98" t="s">
        <v>522</v>
      </c>
      <c r="AE2" s="97" t="s">
        <v>523</v>
      </c>
      <c r="AF2" s="266" t="s">
        <v>523</v>
      </c>
      <c r="AG2" s="265" t="s">
        <v>522</v>
      </c>
      <c r="AH2" s="98" t="s">
        <v>522</v>
      </c>
      <c r="AI2" s="97" t="s">
        <v>523</v>
      </c>
      <c r="AJ2" s="266" t="s">
        <v>523</v>
      </c>
      <c r="AK2" s="265" t="s">
        <v>522</v>
      </c>
      <c r="AL2" s="98" t="s">
        <v>522</v>
      </c>
      <c r="AM2" s="97" t="s">
        <v>523</v>
      </c>
      <c r="AN2" s="267" t="s">
        <v>523</v>
      </c>
    </row>
    <row r="3" spans="1:40" s="96" customFormat="1" ht="15" customHeight="1">
      <c r="A3" s="511"/>
      <c r="B3" s="515"/>
      <c r="C3" s="513" t="s">
        <v>541</v>
      </c>
      <c r="D3" s="514"/>
      <c r="E3" s="265" t="s">
        <v>521</v>
      </c>
      <c r="F3" s="98" t="s">
        <v>521</v>
      </c>
      <c r="G3" s="97" t="s">
        <v>521</v>
      </c>
      <c r="H3" s="266" t="s">
        <v>521</v>
      </c>
      <c r="I3" s="265" t="s">
        <v>521</v>
      </c>
      <c r="J3" s="98" t="s">
        <v>521</v>
      </c>
      <c r="K3" s="97" t="s">
        <v>521</v>
      </c>
      <c r="L3" s="266" t="s">
        <v>521</v>
      </c>
      <c r="M3" s="265" t="s">
        <v>521</v>
      </c>
      <c r="N3" s="98" t="s">
        <v>521</v>
      </c>
      <c r="O3" s="97" t="s">
        <v>521</v>
      </c>
      <c r="P3" s="266" t="s">
        <v>521</v>
      </c>
      <c r="Q3" s="265" t="s">
        <v>521</v>
      </c>
      <c r="R3" s="98" t="s">
        <v>521</v>
      </c>
      <c r="S3" s="97" t="s">
        <v>521</v>
      </c>
      <c r="T3" s="266" t="s">
        <v>521</v>
      </c>
      <c r="U3" s="265" t="s">
        <v>521</v>
      </c>
      <c r="V3" s="98" t="s">
        <v>521</v>
      </c>
      <c r="W3" s="97" t="s">
        <v>521</v>
      </c>
      <c r="X3" s="266" t="s">
        <v>521</v>
      </c>
      <c r="Y3" s="265" t="s">
        <v>521</v>
      </c>
      <c r="Z3" s="98" t="s">
        <v>521</v>
      </c>
      <c r="AA3" s="97" t="s">
        <v>521</v>
      </c>
      <c r="AB3" s="266" t="s">
        <v>521</v>
      </c>
      <c r="AC3" s="265" t="s">
        <v>521</v>
      </c>
      <c r="AD3" s="98" t="s">
        <v>521</v>
      </c>
      <c r="AE3" s="97" t="s">
        <v>521</v>
      </c>
      <c r="AF3" s="266" t="s">
        <v>521</v>
      </c>
      <c r="AG3" s="265" t="s">
        <v>521</v>
      </c>
      <c r="AH3" s="98" t="s">
        <v>521</v>
      </c>
      <c r="AI3" s="97" t="s">
        <v>521</v>
      </c>
      <c r="AJ3" s="266" t="s">
        <v>521</v>
      </c>
      <c r="AK3" s="265" t="s">
        <v>521</v>
      </c>
      <c r="AL3" s="98" t="s">
        <v>521</v>
      </c>
      <c r="AM3" s="97" t="s">
        <v>521</v>
      </c>
      <c r="AN3" s="267" t="s">
        <v>521</v>
      </c>
    </row>
    <row r="4" spans="1:40" s="96" customFormat="1" ht="15" customHeight="1">
      <c r="A4" s="516" t="s">
        <v>521</v>
      </c>
      <c r="B4" s="516" t="s">
        <v>818</v>
      </c>
      <c r="C4" s="513" t="s">
        <v>819</v>
      </c>
      <c r="D4" s="513" t="s">
        <v>820</v>
      </c>
      <c r="E4" s="268" t="s">
        <v>953</v>
      </c>
      <c r="F4" s="103" t="s">
        <v>989</v>
      </c>
      <c r="G4" s="102" t="s">
        <v>953</v>
      </c>
      <c r="H4" s="269" t="s">
        <v>989</v>
      </c>
      <c r="I4" s="268" t="s">
        <v>953</v>
      </c>
      <c r="J4" s="103" t="s">
        <v>989</v>
      </c>
      <c r="K4" s="102" t="s">
        <v>953</v>
      </c>
      <c r="L4" s="269" t="s">
        <v>989</v>
      </c>
      <c r="M4" s="268" t="s">
        <v>953</v>
      </c>
      <c r="N4" s="103" t="s">
        <v>989</v>
      </c>
      <c r="O4" s="102" t="s">
        <v>953</v>
      </c>
      <c r="P4" s="269" t="s">
        <v>989</v>
      </c>
      <c r="Q4" s="268" t="s">
        <v>953</v>
      </c>
      <c r="R4" s="103" t="s">
        <v>989</v>
      </c>
      <c r="S4" s="102" t="s">
        <v>953</v>
      </c>
      <c r="T4" s="269" t="s">
        <v>989</v>
      </c>
      <c r="U4" s="268" t="s">
        <v>953</v>
      </c>
      <c r="V4" s="103" t="s">
        <v>989</v>
      </c>
      <c r="W4" s="102" t="s">
        <v>953</v>
      </c>
      <c r="X4" s="269" t="s">
        <v>989</v>
      </c>
      <c r="Y4" s="268" t="s">
        <v>953</v>
      </c>
      <c r="Z4" s="103" t="s">
        <v>989</v>
      </c>
      <c r="AA4" s="102" t="s">
        <v>953</v>
      </c>
      <c r="AB4" s="269" t="s">
        <v>989</v>
      </c>
      <c r="AC4" s="268" t="s">
        <v>953</v>
      </c>
      <c r="AD4" s="103" t="s">
        <v>989</v>
      </c>
      <c r="AE4" s="102" t="s">
        <v>953</v>
      </c>
      <c r="AF4" s="269" t="s">
        <v>989</v>
      </c>
      <c r="AG4" s="268" t="s">
        <v>953</v>
      </c>
      <c r="AH4" s="103" t="s">
        <v>989</v>
      </c>
      <c r="AI4" s="102" t="s">
        <v>953</v>
      </c>
      <c r="AJ4" s="269" t="s">
        <v>989</v>
      </c>
      <c r="AK4" s="268" t="s">
        <v>953</v>
      </c>
      <c r="AL4" s="103" t="s">
        <v>989</v>
      </c>
      <c r="AM4" s="102" t="s">
        <v>953</v>
      </c>
      <c r="AN4" s="270" t="s">
        <v>989</v>
      </c>
    </row>
    <row r="5" spans="1:40" s="154" customFormat="1" ht="15" customHeight="1" hidden="1">
      <c r="A5" s="271" t="s">
        <v>521</v>
      </c>
      <c r="B5" s="271" t="s">
        <v>1041</v>
      </c>
      <c r="C5" s="272" t="s">
        <v>1042</v>
      </c>
      <c r="D5" s="272" t="s">
        <v>813</v>
      </c>
      <c r="E5" s="273" t="s">
        <v>1043</v>
      </c>
      <c r="F5" s="274" t="s">
        <v>1044</v>
      </c>
      <c r="G5" s="274" t="s">
        <v>1045</v>
      </c>
      <c r="H5" s="274" t="s">
        <v>1046</v>
      </c>
      <c r="I5" s="273" t="s">
        <v>1047</v>
      </c>
      <c r="J5" s="274" t="s">
        <v>1049</v>
      </c>
      <c r="K5" s="274" t="s">
        <v>1048</v>
      </c>
      <c r="L5" s="274" t="s">
        <v>1050</v>
      </c>
      <c r="M5" s="273" t="s">
        <v>1051</v>
      </c>
      <c r="N5" s="274" t="s">
        <v>1052</v>
      </c>
      <c r="O5" s="274" t="s">
        <v>1053</v>
      </c>
      <c r="P5" s="274" t="s">
        <v>1054</v>
      </c>
      <c r="Q5" s="273" t="s">
        <v>1055</v>
      </c>
      <c r="R5" s="274" t="s">
        <v>1056</v>
      </c>
      <c r="S5" s="274" t="s">
        <v>1057</v>
      </c>
      <c r="T5" s="274" t="s">
        <v>1058</v>
      </c>
      <c r="U5" s="273" t="s">
        <v>1059</v>
      </c>
      <c r="V5" s="274" t="s">
        <v>1060</v>
      </c>
      <c r="W5" s="274" t="s">
        <v>1061</v>
      </c>
      <c r="X5" s="274" t="s">
        <v>1062</v>
      </c>
      <c r="Y5" s="273" t="s">
        <v>1063</v>
      </c>
      <c r="Z5" s="274" t="s">
        <v>1064</v>
      </c>
      <c r="AA5" s="274" t="s">
        <v>1065</v>
      </c>
      <c r="AB5" s="274" t="s">
        <v>1066</v>
      </c>
      <c r="AC5" s="273" t="s">
        <v>1067</v>
      </c>
      <c r="AD5" s="274" t="s">
        <v>1068</v>
      </c>
      <c r="AE5" s="274" t="s">
        <v>1069</v>
      </c>
      <c r="AF5" s="274" t="s">
        <v>1070</v>
      </c>
      <c r="AG5" s="273" t="s">
        <v>1071</v>
      </c>
      <c r="AH5" s="274" t="s">
        <v>1072</v>
      </c>
      <c r="AI5" s="274" t="s">
        <v>912</v>
      </c>
      <c r="AJ5" s="274" t="s">
        <v>913</v>
      </c>
      <c r="AK5" s="273" t="s">
        <v>914</v>
      </c>
      <c r="AL5" s="274" t="s">
        <v>915</v>
      </c>
      <c r="AM5" s="274" t="s">
        <v>916</v>
      </c>
      <c r="AN5" s="274" t="s">
        <v>917</v>
      </c>
    </row>
    <row r="6" spans="1:40" s="337" customFormat="1" ht="15" customHeight="1">
      <c r="A6" s="99" t="s">
        <v>520</v>
      </c>
      <c r="B6" s="100" t="s">
        <v>618</v>
      </c>
      <c r="C6" s="101">
        <v>100858</v>
      </c>
      <c r="D6" s="101">
        <v>1</v>
      </c>
      <c r="E6" s="275">
        <v>5496</v>
      </c>
      <c r="F6" s="510">
        <v>5834</v>
      </c>
      <c r="G6" s="275">
        <v>15496</v>
      </c>
      <c r="H6" s="510">
        <v>16334</v>
      </c>
      <c r="I6" s="275">
        <v>5416</v>
      </c>
      <c r="J6" s="510">
        <v>5754</v>
      </c>
      <c r="K6" s="275">
        <v>15416</v>
      </c>
      <c r="L6" s="510">
        <v>16254</v>
      </c>
      <c r="M6" s="275"/>
      <c r="N6" s="510"/>
      <c r="O6" s="275"/>
      <c r="P6" s="510"/>
      <c r="Q6" s="275"/>
      <c r="R6" s="510"/>
      <c r="S6" s="275"/>
      <c r="T6" s="510"/>
      <c r="U6" s="275"/>
      <c r="V6" s="510"/>
      <c r="W6" s="275"/>
      <c r="X6" s="510"/>
      <c r="Y6" s="275">
        <v>13572</v>
      </c>
      <c r="Z6" s="510">
        <v>13910</v>
      </c>
      <c r="AA6" s="275">
        <v>23572</v>
      </c>
      <c r="AB6" s="510">
        <v>24410</v>
      </c>
      <c r="AC6" s="275"/>
      <c r="AD6" s="510"/>
      <c r="AE6" s="275"/>
      <c r="AF6" s="510"/>
      <c r="AG6" s="275"/>
      <c r="AH6" s="510"/>
      <c r="AI6" s="275"/>
      <c r="AJ6" s="510"/>
      <c r="AK6" s="275">
        <v>9816</v>
      </c>
      <c r="AL6" s="510">
        <v>10374</v>
      </c>
      <c r="AM6" s="275">
        <v>28936</v>
      </c>
      <c r="AN6" s="510">
        <v>30434</v>
      </c>
    </row>
    <row r="7" spans="1:40" s="337" customFormat="1" ht="15" customHeight="1">
      <c r="A7" s="99" t="s">
        <v>520</v>
      </c>
      <c r="B7" s="363" t="s">
        <v>620</v>
      </c>
      <c r="C7" s="101">
        <v>100663</v>
      </c>
      <c r="D7" s="101">
        <v>1</v>
      </c>
      <c r="E7" s="275">
        <v>5242</v>
      </c>
      <c r="F7" s="510">
        <v>5186</v>
      </c>
      <c r="G7" s="275">
        <v>11182</v>
      </c>
      <c r="H7" s="510">
        <v>11546</v>
      </c>
      <c r="I7" s="275">
        <v>4804</v>
      </c>
      <c r="J7" s="510">
        <v>5192</v>
      </c>
      <c r="K7" s="275">
        <v>10924</v>
      </c>
      <c r="L7" s="510">
        <v>11744</v>
      </c>
      <c r="M7" s="275"/>
      <c r="N7" s="510"/>
      <c r="O7" s="275"/>
      <c r="P7" s="510"/>
      <c r="Q7" s="275">
        <v>13889</v>
      </c>
      <c r="R7" s="510">
        <v>15352</v>
      </c>
      <c r="S7" s="275">
        <v>38211</v>
      </c>
      <c r="T7" s="510">
        <v>42592</v>
      </c>
      <c r="U7" s="275">
        <v>12261</v>
      </c>
      <c r="V7" s="510">
        <v>13503</v>
      </c>
      <c r="W7" s="275">
        <v>32877</v>
      </c>
      <c r="X7" s="510">
        <v>36591</v>
      </c>
      <c r="Y7" s="275"/>
      <c r="Z7" s="510"/>
      <c r="AA7" s="275"/>
      <c r="AB7" s="510"/>
      <c r="AC7" s="275">
        <v>14115</v>
      </c>
      <c r="AD7" s="510">
        <v>15227</v>
      </c>
      <c r="AE7" s="275">
        <v>36163</v>
      </c>
      <c r="AF7" s="510">
        <v>39483</v>
      </c>
      <c r="AG7" s="275"/>
      <c r="AH7" s="510"/>
      <c r="AI7" s="275"/>
      <c r="AJ7" s="510"/>
      <c r="AK7" s="275"/>
      <c r="AL7" s="510"/>
      <c r="AM7" s="275"/>
      <c r="AN7" s="510"/>
    </row>
    <row r="8" spans="1:40" s="337" customFormat="1" ht="15" customHeight="1">
      <c r="A8" s="99" t="s">
        <v>520</v>
      </c>
      <c r="B8" s="100" t="s">
        <v>619</v>
      </c>
      <c r="C8" s="101">
        <v>100751</v>
      </c>
      <c r="D8" s="101">
        <v>1</v>
      </c>
      <c r="E8" s="275">
        <v>5278</v>
      </c>
      <c r="F8" s="510">
        <v>5700</v>
      </c>
      <c r="G8" s="275">
        <v>15294</v>
      </c>
      <c r="H8" s="510">
        <v>16518</v>
      </c>
      <c r="I8" s="275">
        <v>5278</v>
      </c>
      <c r="J8" s="510">
        <v>5700</v>
      </c>
      <c r="K8" s="275">
        <v>15294</v>
      </c>
      <c r="L8" s="510">
        <v>16518</v>
      </c>
      <c r="M8" s="275">
        <v>9736</v>
      </c>
      <c r="N8" s="510">
        <v>11190</v>
      </c>
      <c r="O8" s="275">
        <v>19902</v>
      </c>
      <c r="P8" s="510">
        <v>22170</v>
      </c>
      <c r="Q8" s="275">
        <v>13566</v>
      </c>
      <c r="R8" s="510">
        <v>15025</v>
      </c>
      <c r="S8" s="275">
        <v>37888</v>
      </c>
      <c r="T8" s="510">
        <v>42265</v>
      </c>
      <c r="U8" s="275"/>
      <c r="V8" s="510"/>
      <c r="W8" s="275"/>
      <c r="X8" s="510"/>
      <c r="Y8" s="275"/>
      <c r="Z8" s="510"/>
      <c r="AA8" s="275"/>
      <c r="AB8" s="510"/>
      <c r="AC8" s="275"/>
      <c r="AD8" s="510"/>
      <c r="AE8" s="275"/>
      <c r="AF8" s="510"/>
      <c r="AG8" s="275"/>
      <c r="AH8" s="510"/>
      <c r="AI8" s="275"/>
      <c r="AJ8" s="510"/>
      <c r="AK8" s="275"/>
      <c r="AL8" s="510"/>
      <c r="AM8" s="275"/>
      <c r="AN8" s="510"/>
    </row>
    <row r="9" spans="1:40" s="337" customFormat="1" ht="15" customHeight="1">
      <c r="A9" s="99" t="s">
        <v>520</v>
      </c>
      <c r="B9" s="363" t="s">
        <v>621</v>
      </c>
      <c r="C9" s="101">
        <v>100706</v>
      </c>
      <c r="D9" s="101">
        <v>2</v>
      </c>
      <c r="E9" s="275">
        <v>4848</v>
      </c>
      <c r="F9" s="510">
        <v>5216</v>
      </c>
      <c r="G9" s="275">
        <v>10224</v>
      </c>
      <c r="H9" s="510">
        <v>11024</v>
      </c>
      <c r="I9" s="275">
        <v>6072</v>
      </c>
      <c r="J9" s="510">
        <v>6548</v>
      </c>
      <c r="K9" s="275">
        <v>12476</v>
      </c>
      <c r="L9" s="510">
        <v>13466</v>
      </c>
      <c r="M9" s="275"/>
      <c r="N9" s="510"/>
      <c r="O9" s="275"/>
      <c r="P9" s="510"/>
      <c r="Q9" s="275"/>
      <c r="R9" s="510"/>
      <c r="S9" s="275"/>
      <c r="T9" s="510"/>
      <c r="U9" s="275"/>
      <c r="V9" s="510"/>
      <c r="W9" s="275"/>
      <c r="X9" s="510"/>
      <c r="Y9" s="275"/>
      <c r="Z9" s="510"/>
      <c r="AA9" s="275"/>
      <c r="AB9" s="510"/>
      <c r="AC9" s="275"/>
      <c r="AD9" s="510"/>
      <c r="AE9" s="275"/>
      <c r="AF9" s="510"/>
      <c r="AG9" s="275"/>
      <c r="AH9" s="510"/>
      <c r="AI9" s="275"/>
      <c r="AJ9" s="510"/>
      <c r="AK9" s="275"/>
      <c r="AL9" s="510"/>
      <c r="AM9" s="275"/>
      <c r="AN9" s="510"/>
    </row>
    <row r="10" spans="1:40" s="337" customFormat="1" ht="15" customHeight="1">
      <c r="A10" s="99" t="s">
        <v>520</v>
      </c>
      <c r="B10" s="100" t="s">
        <v>625</v>
      </c>
      <c r="C10" s="101">
        <v>102094</v>
      </c>
      <c r="D10" s="101">
        <v>3</v>
      </c>
      <c r="E10" s="275">
        <v>4502</v>
      </c>
      <c r="F10" s="510">
        <v>4822</v>
      </c>
      <c r="G10" s="275">
        <v>8312</v>
      </c>
      <c r="H10" s="510">
        <v>8842</v>
      </c>
      <c r="I10" s="275">
        <v>4700</v>
      </c>
      <c r="J10" s="510">
        <v>5026</v>
      </c>
      <c r="K10" s="275">
        <v>8708</v>
      </c>
      <c r="L10" s="510">
        <v>9250</v>
      </c>
      <c r="M10" s="275"/>
      <c r="N10" s="510"/>
      <c r="O10" s="275"/>
      <c r="P10" s="510"/>
      <c r="Q10" s="275">
        <v>14451</v>
      </c>
      <c r="R10" s="510">
        <v>16802</v>
      </c>
      <c r="S10" s="275">
        <v>26705</v>
      </c>
      <c r="T10" s="510">
        <v>29562</v>
      </c>
      <c r="U10" s="275"/>
      <c r="V10" s="510"/>
      <c r="W10" s="275"/>
      <c r="X10" s="510"/>
      <c r="Y10" s="275"/>
      <c r="Z10" s="510"/>
      <c r="AA10" s="275"/>
      <c r="AB10" s="510"/>
      <c r="AC10" s="275"/>
      <c r="AD10" s="510"/>
      <c r="AE10" s="275"/>
      <c r="AF10" s="510"/>
      <c r="AG10" s="275"/>
      <c r="AH10" s="510"/>
      <c r="AI10" s="275"/>
      <c r="AJ10" s="510"/>
      <c r="AK10" s="275"/>
      <c r="AL10" s="510"/>
      <c r="AM10" s="275"/>
      <c r="AN10" s="510"/>
    </row>
    <row r="11" spans="1:40" s="337" customFormat="1" ht="15" customHeight="1">
      <c r="A11" s="99" t="s">
        <v>520</v>
      </c>
      <c r="B11" s="100" t="s">
        <v>622</v>
      </c>
      <c r="C11" s="101">
        <v>100654</v>
      </c>
      <c r="D11" s="101">
        <v>3</v>
      </c>
      <c r="E11" s="275">
        <v>4430</v>
      </c>
      <c r="F11" s="510">
        <v>4930</v>
      </c>
      <c r="G11" s="275">
        <v>8330</v>
      </c>
      <c r="H11" s="510">
        <v>9220</v>
      </c>
      <c r="I11" s="275">
        <v>5292</v>
      </c>
      <c r="J11" s="510">
        <f>2*((218*12)+325)</f>
        <v>5882</v>
      </c>
      <c r="K11" s="275">
        <v>10044</v>
      </c>
      <c r="L11" s="510">
        <v>11114</v>
      </c>
      <c r="M11" s="275"/>
      <c r="N11" s="510"/>
      <c r="O11" s="275"/>
      <c r="P11" s="510"/>
      <c r="Q11" s="275"/>
      <c r="R11" s="510"/>
      <c r="S11" s="275"/>
      <c r="T11" s="510"/>
      <c r="U11" s="275"/>
      <c r="V11" s="510"/>
      <c r="W11" s="275"/>
      <c r="X11" s="510"/>
      <c r="Y11" s="275"/>
      <c r="Z11" s="510"/>
      <c r="AA11" s="275"/>
      <c r="AB11" s="510"/>
      <c r="AC11" s="275"/>
      <c r="AD11" s="510"/>
      <c r="AE11" s="275"/>
      <c r="AF11" s="510"/>
      <c r="AG11" s="275"/>
      <c r="AH11" s="510"/>
      <c r="AI11" s="275"/>
      <c r="AJ11" s="510"/>
      <c r="AK11" s="275"/>
      <c r="AL11" s="510"/>
      <c r="AM11" s="275"/>
      <c r="AN11" s="510"/>
    </row>
    <row r="12" spans="1:40" s="337" customFormat="1" ht="15.75" customHeight="1">
      <c r="A12" s="99" t="s">
        <v>520</v>
      </c>
      <c r="B12" s="100" t="s">
        <v>623</v>
      </c>
      <c r="C12" s="101">
        <v>101480</v>
      </c>
      <c r="D12" s="101">
        <v>3</v>
      </c>
      <c r="E12" s="275">
        <v>5070</v>
      </c>
      <c r="F12" s="510">
        <v>5070</v>
      </c>
      <c r="G12" s="275">
        <v>10140</v>
      </c>
      <c r="H12" s="510">
        <v>10140</v>
      </c>
      <c r="I12" s="275">
        <v>5400</v>
      </c>
      <c r="J12" s="510">
        <v>5400</v>
      </c>
      <c r="K12" s="275">
        <v>10800</v>
      </c>
      <c r="L12" s="510">
        <v>10800</v>
      </c>
      <c r="M12" s="275"/>
      <c r="N12" s="510"/>
      <c r="O12" s="275"/>
      <c r="P12" s="510"/>
      <c r="Q12" s="275"/>
      <c r="R12" s="510"/>
      <c r="S12" s="275"/>
      <c r="T12" s="510"/>
      <c r="U12" s="275"/>
      <c r="V12" s="510"/>
      <c r="W12" s="275"/>
      <c r="X12" s="510"/>
      <c r="Y12" s="275"/>
      <c r="Z12" s="510"/>
      <c r="AA12" s="275"/>
      <c r="AB12" s="510"/>
      <c r="AC12" s="275"/>
      <c r="AD12" s="510"/>
      <c r="AE12" s="275"/>
      <c r="AF12" s="510"/>
      <c r="AG12" s="275"/>
      <c r="AH12" s="510"/>
      <c r="AI12" s="275"/>
      <c r="AJ12" s="510"/>
      <c r="AK12" s="275"/>
      <c r="AL12" s="510"/>
      <c r="AM12" s="275"/>
      <c r="AN12" s="510"/>
    </row>
    <row r="13" spans="1:40" s="337" customFormat="1" ht="15" customHeight="1">
      <c r="A13" s="99" t="s">
        <v>520</v>
      </c>
      <c r="B13" s="100" t="s">
        <v>624</v>
      </c>
      <c r="C13" s="364">
        <v>102368</v>
      </c>
      <c r="D13" s="202">
        <v>3</v>
      </c>
      <c r="E13" s="275">
        <v>4104</v>
      </c>
      <c r="F13" s="510">
        <v>4264</v>
      </c>
      <c r="G13" s="275">
        <v>8108</v>
      </c>
      <c r="H13" s="510">
        <v>8428</v>
      </c>
      <c r="I13" s="275">
        <v>4468</v>
      </c>
      <c r="J13" s="510">
        <v>4468</v>
      </c>
      <c r="K13" s="275">
        <v>8836</v>
      </c>
      <c r="L13" s="510">
        <v>8836</v>
      </c>
      <c r="M13" s="275"/>
      <c r="N13" s="510"/>
      <c r="O13" s="275"/>
      <c r="P13" s="510"/>
      <c r="Q13" s="275"/>
      <c r="R13" s="510"/>
      <c r="S13" s="275"/>
      <c r="T13" s="510"/>
      <c r="U13" s="275"/>
      <c r="V13" s="510"/>
      <c r="W13" s="275"/>
      <c r="X13" s="510"/>
      <c r="Y13" s="275"/>
      <c r="Z13" s="510"/>
      <c r="AA13" s="275"/>
      <c r="AB13" s="510"/>
      <c r="AC13" s="275"/>
      <c r="AD13" s="510"/>
      <c r="AE13" s="275"/>
      <c r="AF13" s="510"/>
      <c r="AG13" s="275"/>
      <c r="AH13" s="510"/>
      <c r="AI13" s="275"/>
      <c r="AJ13" s="510"/>
      <c r="AK13" s="275"/>
      <c r="AL13" s="510"/>
      <c r="AM13" s="275"/>
      <c r="AN13" s="510"/>
    </row>
    <row r="14" spans="1:40" s="337" customFormat="1" ht="15" customHeight="1">
      <c r="A14" s="99" t="s">
        <v>520</v>
      </c>
      <c r="B14" s="363" t="s">
        <v>626</v>
      </c>
      <c r="C14" s="101">
        <v>100724</v>
      </c>
      <c r="D14" s="101">
        <v>4</v>
      </c>
      <c r="E14" s="275">
        <v>4008</v>
      </c>
      <c r="F14" s="510">
        <v>4508</v>
      </c>
      <c r="G14" s="275">
        <v>8016</v>
      </c>
      <c r="H14" s="510">
        <v>8516</v>
      </c>
      <c r="I14" s="275">
        <v>4608</v>
      </c>
      <c r="J14" s="510">
        <v>5108</v>
      </c>
      <c r="K14" s="275">
        <v>9216</v>
      </c>
      <c r="L14" s="510">
        <v>9716</v>
      </c>
      <c r="M14" s="275"/>
      <c r="N14" s="510"/>
      <c r="O14" s="275"/>
      <c r="P14" s="510"/>
      <c r="Q14" s="275"/>
      <c r="R14" s="510"/>
      <c r="S14" s="275"/>
      <c r="T14" s="510"/>
      <c r="U14" s="275"/>
      <c r="V14" s="510"/>
      <c r="W14" s="275"/>
      <c r="X14" s="510"/>
      <c r="Y14" s="275"/>
      <c r="Z14" s="510"/>
      <c r="AA14" s="275"/>
      <c r="AB14" s="510"/>
      <c r="AC14" s="275"/>
      <c r="AD14" s="510"/>
      <c r="AE14" s="275"/>
      <c r="AF14" s="510"/>
      <c r="AG14" s="275"/>
      <c r="AH14" s="510"/>
      <c r="AI14" s="275"/>
      <c r="AJ14" s="510"/>
      <c r="AK14" s="275"/>
      <c r="AL14" s="510"/>
      <c r="AM14" s="275"/>
      <c r="AN14" s="510"/>
    </row>
    <row r="15" spans="1:40" s="337" customFormat="1" ht="15" customHeight="1">
      <c r="A15" s="99" t="s">
        <v>520</v>
      </c>
      <c r="B15" s="100" t="s">
        <v>627</v>
      </c>
      <c r="C15" s="101">
        <v>100830</v>
      </c>
      <c r="D15" s="101">
        <v>4</v>
      </c>
      <c r="E15" s="275">
        <v>4760</v>
      </c>
      <c r="F15" s="510">
        <v>5010</v>
      </c>
      <c r="G15" s="275">
        <v>13760</v>
      </c>
      <c r="H15" s="510">
        <v>14490</v>
      </c>
      <c r="I15" s="275">
        <v>4544</v>
      </c>
      <c r="J15" s="510">
        <v>4770</v>
      </c>
      <c r="K15" s="275">
        <v>13184</v>
      </c>
      <c r="L15" s="510">
        <v>13842</v>
      </c>
      <c r="M15" s="275"/>
      <c r="N15" s="510"/>
      <c r="O15" s="275"/>
      <c r="P15" s="510"/>
      <c r="Q15" s="275"/>
      <c r="R15" s="510"/>
      <c r="S15" s="275"/>
      <c r="T15" s="510"/>
      <c r="U15" s="275"/>
      <c r="V15" s="510"/>
      <c r="W15" s="275"/>
      <c r="X15" s="510"/>
      <c r="Y15" s="275"/>
      <c r="Z15" s="510"/>
      <c r="AA15" s="275"/>
      <c r="AB15" s="510"/>
      <c r="AC15" s="275"/>
      <c r="AD15" s="510"/>
      <c r="AE15" s="275"/>
      <c r="AF15" s="510"/>
      <c r="AG15" s="275"/>
      <c r="AH15" s="510"/>
      <c r="AI15" s="275"/>
      <c r="AJ15" s="510"/>
      <c r="AK15" s="275"/>
      <c r="AL15" s="510"/>
      <c r="AM15" s="275"/>
      <c r="AN15" s="510"/>
    </row>
    <row r="16" spans="1:40" s="337" customFormat="1" ht="15" customHeight="1">
      <c r="A16" s="99" t="s">
        <v>520</v>
      </c>
      <c r="B16" s="100" t="s">
        <v>628</v>
      </c>
      <c r="C16" s="101">
        <v>101879</v>
      </c>
      <c r="D16" s="101">
        <v>4</v>
      </c>
      <c r="E16" s="275">
        <v>4651</v>
      </c>
      <c r="F16" s="510">
        <f>4110+983</f>
        <v>5093</v>
      </c>
      <c r="G16" s="275">
        <v>8419</v>
      </c>
      <c r="H16" s="510">
        <f>8220+983</f>
        <v>9203</v>
      </c>
      <c r="I16" s="275">
        <v>4849</v>
      </c>
      <c r="J16" s="510">
        <f>4320+845</f>
        <v>5165</v>
      </c>
      <c r="K16" s="275">
        <v>8929</v>
      </c>
      <c r="L16" s="510">
        <f>8640+845</f>
        <v>9485</v>
      </c>
      <c r="M16" s="275"/>
      <c r="N16" s="510"/>
      <c r="O16" s="275"/>
      <c r="P16" s="510"/>
      <c r="Q16" s="275"/>
      <c r="R16" s="510"/>
      <c r="S16" s="275"/>
      <c r="T16" s="510"/>
      <c r="U16" s="275"/>
      <c r="V16" s="510"/>
      <c r="W16" s="275"/>
      <c r="X16" s="510"/>
      <c r="Y16" s="275"/>
      <c r="Z16" s="510"/>
      <c r="AA16" s="275"/>
      <c r="AB16" s="510"/>
      <c r="AC16" s="275"/>
      <c r="AD16" s="510"/>
      <c r="AE16" s="275"/>
      <c r="AF16" s="510"/>
      <c r="AG16" s="275"/>
      <c r="AH16" s="510"/>
      <c r="AI16" s="275"/>
      <c r="AJ16" s="510"/>
      <c r="AK16" s="275"/>
      <c r="AL16" s="510"/>
      <c r="AM16" s="275"/>
      <c r="AN16" s="510"/>
    </row>
    <row r="17" spans="1:40" s="337" customFormat="1" ht="15" customHeight="1">
      <c r="A17" s="99" t="s">
        <v>520</v>
      </c>
      <c r="B17" s="100" t="s">
        <v>629</v>
      </c>
      <c r="C17" s="101">
        <v>101709</v>
      </c>
      <c r="D17" s="101">
        <v>5</v>
      </c>
      <c r="E17" s="275">
        <v>5664</v>
      </c>
      <c r="F17" s="510">
        <v>6080</v>
      </c>
      <c r="G17" s="275">
        <v>11124</v>
      </c>
      <c r="H17" s="510">
        <v>11930</v>
      </c>
      <c r="I17" s="275">
        <v>4842</v>
      </c>
      <c r="J17" s="510">
        <v>5204</v>
      </c>
      <c r="K17" s="275">
        <v>9498</v>
      </c>
      <c r="L17" s="510">
        <v>10196</v>
      </c>
      <c r="M17" s="275"/>
      <c r="N17" s="510"/>
      <c r="O17" s="275"/>
      <c r="P17" s="510"/>
      <c r="Q17" s="275"/>
      <c r="R17" s="510"/>
      <c r="S17" s="275"/>
      <c r="T17" s="510"/>
      <c r="U17" s="275"/>
      <c r="V17" s="510"/>
      <c r="W17" s="275"/>
      <c r="X17" s="510"/>
      <c r="Y17" s="275"/>
      <c r="Z17" s="510"/>
      <c r="AA17" s="275"/>
      <c r="AB17" s="510"/>
      <c r="AC17" s="275"/>
      <c r="AD17" s="510"/>
      <c r="AE17" s="275"/>
      <c r="AF17" s="510"/>
      <c r="AG17" s="275"/>
      <c r="AH17" s="510"/>
      <c r="AI17" s="275"/>
      <c r="AJ17" s="510"/>
      <c r="AK17" s="275"/>
      <c r="AL17" s="510"/>
      <c r="AM17" s="275"/>
      <c r="AN17" s="510"/>
    </row>
    <row r="18" spans="1:40" s="337" customFormat="1" ht="15" customHeight="1">
      <c r="A18" s="99" t="s">
        <v>520</v>
      </c>
      <c r="B18" s="99" t="s">
        <v>630</v>
      </c>
      <c r="C18" s="178">
        <v>101587</v>
      </c>
      <c r="D18" s="101">
        <v>5</v>
      </c>
      <c r="E18" s="275">
        <v>4308</v>
      </c>
      <c r="F18" s="510">
        <v>4608</v>
      </c>
      <c r="G18" s="275">
        <v>8146</v>
      </c>
      <c r="H18" s="510">
        <v>8716</v>
      </c>
      <c r="I18" s="275">
        <v>4560</v>
      </c>
      <c r="J18" s="510">
        <v>4870</v>
      </c>
      <c r="K18" s="275">
        <v>9000</v>
      </c>
      <c r="L18" s="510">
        <v>9620</v>
      </c>
      <c r="M18" s="275"/>
      <c r="N18" s="510"/>
      <c r="O18" s="275"/>
      <c r="P18" s="510"/>
      <c r="Q18" s="275"/>
      <c r="R18" s="510"/>
      <c r="S18" s="275"/>
      <c r="T18" s="510"/>
      <c r="U18" s="275"/>
      <c r="V18" s="510"/>
      <c r="W18" s="275"/>
      <c r="X18" s="510"/>
      <c r="Y18" s="275"/>
      <c r="Z18" s="510"/>
      <c r="AA18" s="275"/>
      <c r="AB18" s="510"/>
      <c r="AC18" s="275"/>
      <c r="AD18" s="510"/>
      <c r="AE18" s="275"/>
      <c r="AF18" s="510"/>
      <c r="AG18" s="275"/>
      <c r="AH18" s="510"/>
      <c r="AI18" s="275"/>
      <c r="AJ18" s="510"/>
      <c r="AK18" s="275"/>
      <c r="AL18" s="510"/>
      <c r="AM18" s="275"/>
      <c r="AN18" s="510"/>
    </row>
    <row r="19" spans="1:40" s="337" customFormat="1" ht="15" customHeight="1">
      <c r="A19" s="99" t="s">
        <v>520</v>
      </c>
      <c r="B19" s="100" t="s">
        <v>631</v>
      </c>
      <c r="C19" s="101">
        <v>100812</v>
      </c>
      <c r="D19" s="101">
        <v>6</v>
      </c>
      <c r="E19" s="275">
        <v>3870</v>
      </c>
      <c r="F19" s="510">
        <v>4050</v>
      </c>
      <c r="G19" s="275">
        <v>7170</v>
      </c>
      <c r="H19" s="510">
        <v>7350</v>
      </c>
      <c r="I19" s="275"/>
      <c r="J19" s="510" t="s">
        <v>1005</v>
      </c>
      <c r="K19" s="275"/>
      <c r="L19" s="510"/>
      <c r="M19" s="275"/>
      <c r="N19" s="510"/>
      <c r="O19" s="275"/>
      <c r="P19" s="510"/>
      <c r="Q19" s="275"/>
      <c r="R19" s="510"/>
      <c r="S19" s="275"/>
      <c r="T19" s="510"/>
      <c r="U19" s="275"/>
      <c r="V19" s="510"/>
      <c r="W19" s="275"/>
      <c r="X19" s="510"/>
      <c r="Y19" s="275"/>
      <c r="Z19" s="510"/>
      <c r="AA19" s="275"/>
      <c r="AB19" s="510"/>
      <c r="AC19" s="275"/>
      <c r="AD19" s="510"/>
      <c r="AE19" s="275"/>
      <c r="AF19" s="510"/>
      <c r="AG19" s="275"/>
      <c r="AH19" s="510"/>
      <c r="AI19" s="275"/>
      <c r="AJ19" s="510"/>
      <c r="AK19" s="275"/>
      <c r="AL19" s="510"/>
      <c r="AM19" s="275"/>
      <c r="AN19" s="510"/>
    </row>
    <row r="20" spans="1:40" s="337" customFormat="1" ht="15" customHeight="1">
      <c r="A20" s="99" t="s">
        <v>520</v>
      </c>
      <c r="B20" s="363" t="s">
        <v>632</v>
      </c>
      <c r="C20" s="101">
        <v>101505</v>
      </c>
      <c r="D20" s="101">
        <v>8</v>
      </c>
      <c r="E20" s="275">
        <v>3060</v>
      </c>
      <c r="F20" s="510">
        <v>3060</v>
      </c>
      <c r="G20" s="275">
        <v>5190</v>
      </c>
      <c r="H20" s="510">
        <v>5190</v>
      </c>
      <c r="I20" s="275"/>
      <c r="J20" s="510"/>
      <c r="K20" s="275"/>
      <c r="L20" s="510"/>
      <c r="M20" s="275"/>
      <c r="N20" s="510"/>
      <c r="O20" s="275"/>
      <c r="P20" s="510"/>
      <c r="Q20" s="275"/>
      <c r="R20" s="510"/>
      <c r="S20" s="275"/>
      <c r="T20" s="510"/>
      <c r="U20" s="275"/>
      <c r="V20" s="510"/>
      <c r="W20" s="275"/>
      <c r="X20" s="510"/>
      <c r="Y20" s="275"/>
      <c r="Z20" s="510"/>
      <c r="AA20" s="275"/>
      <c r="AB20" s="510"/>
      <c r="AC20" s="275"/>
      <c r="AD20" s="510"/>
      <c r="AE20" s="275"/>
      <c r="AF20" s="510"/>
      <c r="AG20" s="275"/>
      <c r="AH20" s="510"/>
      <c r="AI20" s="275"/>
      <c r="AJ20" s="510"/>
      <c r="AK20" s="275"/>
      <c r="AL20" s="510"/>
      <c r="AM20" s="275"/>
      <c r="AN20" s="510"/>
    </row>
    <row r="21" spans="1:40" s="337" customFormat="1" ht="15" customHeight="1">
      <c r="A21" s="99" t="s">
        <v>520</v>
      </c>
      <c r="B21" s="100" t="s">
        <v>633</v>
      </c>
      <c r="C21" s="101">
        <v>101514</v>
      </c>
      <c r="D21" s="101">
        <v>8</v>
      </c>
      <c r="E21" s="275">
        <v>2850</v>
      </c>
      <c r="F21" s="510">
        <v>2850</v>
      </c>
      <c r="G21" s="275">
        <v>4980</v>
      </c>
      <c r="H21" s="510">
        <v>4980</v>
      </c>
      <c r="I21" s="275"/>
      <c r="J21" s="510"/>
      <c r="K21" s="275"/>
      <c r="L21" s="510"/>
      <c r="M21" s="275"/>
      <c r="N21" s="510"/>
      <c r="O21" s="275"/>
      <c r="P21" s="510"/>
      <c r="Q21" s="275"/>
      <c r="R21" s="510"/>
      <c r="S21" s="275"/>
      <c r="T21" s="510"/>
      <c r="U21" s="275"/>
      <c r="V21" s="510"/>
      <c r="W21" s="275"/>
      <c r="X21" s="510"/>
      <c r="Y21" s="275"/>
      <c r="Z21" s="510"/>
      <c r="AA21" s="275"/>
      <c r="AB21" s="510"/>
      <c r="AC21" s="275"/>
      <c r="AD21" s="510"/>
      <c r="AE21" s="275"/>
      <c r="AF21" s="510"/>
      <c r="AG21" s="275"/>
      <c r="AH21" s="510"/>
      <c r="AI21" s="275"/>
      <c r="AJ21" s="510"/>
      <c r="AK21" s="275"/>
      <c r="AL21" s="510"/>
      <c r="AM21" s="275"/>
      <c r="AN21" s="510"/>
    </row>
    <row r="22" spans="1:40" s="337" customFormat="1" ht="15" customHeight="1">
      <c r="A22" s="99" t="s">
        <v>520</v>
      </c>
      <c r="B22" s="100" t="s">
        <v>634</v>
      </c>
      <c r="C22" s="101">
        <v>102429</v>
      </c>
      <c r="D22" s="101">
        <v>9</v>
      </c>
      <c r="E22" s="275">
        <v>2700</v>
      </c>
      <c r="F22" s="510">
        <v>2700</v>
      </c>
      <c r="G22" s="275">
        <v>4830</v>
      </c>
      <c r="H22" s="510">
        <v>4830</v>
      </c>
      <c r="I22" s="275"/>
      <c r="J22" s="510"/>
      <c r="K22" s="275"/>
      <c r="L22" s="510"/>
      <c r="M22" s="275"/>
      <c r="N22" s="510"/>
      <c r="O22" s="275"/>
      <c r="P22" s="510"/>
      <c r="Q22" s="275"/>
      <c r="R22" s="510"/>
      <c r="S22" s="275"/>
      <c r="T22" s="510"/>
      <c r="U22" s="275"/>
      <c r="V22" s="510"/>
      <c r="W22" s="275"/>
      <c r="X22" s="510"/>
      <c r="Y22" s="275"/>
      <c r="Z22" s="510"/>
      <c r="AA22" s="275"/>
      <c r="AB22" s="510"/>
      <c r="AC22" s="275"/>
      <c r="AD22" s="510"/>
      <c r="AE22" s="275"/>
      <c r="AF22" s="510"/>
      <c r="AG22" s="275"/>
      <c r="AH22" s="510"/>
      <c r="AI22" s="275"/>
      <c r="AJ22" s="510"/>
      <c r="AK22" s="275"/>
      <c r="AL22" s="510"/>
      <c r="AM22" s="275"/>
      <c r="AN22" s="510"/>
    </row>
    <row r="23" spans="1:40" s="337" customFormat="1" ht="15" customHeight="1">
      <c r="A23" s="99" t="s">
        <v>520</v>
      </c>
      <c r="B23" s="100" t="s">
        <v>635</v>
      </c>
      <c r="C23" s="101">
        <v>102030</v>
      </c>
      <c r="D23" s="101">
        <v>9</v>
      </c>
      <c r="E23" s="275">
        <v>2700</v>
      </c>
      <c r="F23" s="510">
        <v>2700</v>
      </c>
      <c r="G23" s="275">
        <v>4830</v>
      </c>
      <c r="H23" s="510">
        <v>4830</v>
      </c>
      <c r="I23" s="275"/>
      <c r="J23" s="510"/>
      <c r="K23" s="275"/>
      <c r="L23" s="510"/>
      <c r="M23" s="275"/>
      <c r="N23" s="510"/>
      <c r="O23" s="275"/>
      <c r="P23" s="510"/>
      <c r="Q23" s="275"/>
      <c r="R23" s="510"/>
      <c r="S23" s="275"/>
      <c r="T23" s="510"/>
      <c r="U23" s="275"/>
      <c r="V23" s="510"/>
      <c r="W23" s="275"/>
      <c r="X23" s="510"/>
      <c r="Y23" s="275"/>
      <c r="Z23" s="510"/>
      <c r="AA23" s="275"/>
      <c r="AB23" s="510"/>
      <c r="AC23" s="275"/>
      <c r="AD23" s="510"/>
      <c r="AE23" s="275"/>
      <c r="AF23" s="510"/>
      <c r="AG23" s="275"/>
      <c r="AH23" s="510"/>
      <c r="AI23" s="275"/>
      <c r="AJ23" s="510"/>
      <c r="AK23" s="275"/>
      <c r="AL23" s="510"/>
      <c r="AM23" s="275"/>
      <c r="AN23" s="510"/>
    </row>
    <row r="24" spans="1:40" s="337" customFormat="1" ht="15" customHeight="1">
      <c r="A24" s="99" t="s">
        <v>520</v>
      </c>
      <c r="B24" s="100" t="s">
        <v>636</v>
      </c>
      <c r="C24" s="101">
        <v>101240</v>
      </c>
      <c r="D24" s="101">
        <v>9</v>
      </c>
      <c r="E24" s="275">
        <v>2700</v>
      </c>
      <c r="F24" s="510">
        <v>2700</v>
      </c>
      <c r="G24" s="275">
        <v>4830</v>
      </c>
      <c r="H24" s="510">
        <v>4830</v>
      </c>
      <c r="I24" s="275"/>
      <c r="J24" s="510"/>
      <c r="K24" s="275"/>
      <c r="L24" s="510"/>
      <c r="M24" s="275"/>
      <c r="N24" s="510"/>
      <c r="O24" s="275"/>
      <c r="P24" s="510"/>
      <c r="Q24" s="275"/>
      <c r="R24" s="510"/>
      <c r="S24" s="275"/>
      <c r="T24" s="510"/>
      <c r="U24" s="275"/>
      <c r="V24" s="510"/>
      <c r="W24" s="275"/>
      <c r="X24" s="510"/>
      <c r="Y24" s="275"/>
      <c r="Z24" s="510"/>
      <c r="AA24" s="275"/>
      <c r="AB24" s="510"/>
      <c r="AC24" s="275"/>
      <c r="AD24" s="510"/>
      <c r="AE24" s="275"/>
      <c r="AF24" s="510"/>
      <c r="AG24" s="275"/>
      <c r="AH24" s="510"/>
      <c r="AI24" s="275"/>
      <c r="AJ24" s="510"/>
      <c r="AK24" s="275"/>
      <c r="AL24" s="510"/>
      <c r="AM24" s="275"/>
      <c r="AN24" s="510"/>
    </row>
    <row r="25" spans="1:40" s="337" customFormat="1" ht="15" customHeight="1">
      <c r="A25" s="99" t="s">
        <v>520</v>
      </c>
      <c r="B25" s="100" t="s">
        <v>637</v>
      </c>
      <c r="C25" s="101">
        <v>101286</v>
      </c>
      <c r="D25" s="101">
        <v>9</v>
      </c>
      <c r="E25" s="275">
        <v>2700</v>
      </c>
      <c r="F25" s="510">
        <v>2700</v>
      </c>
      <c r="G25" s="275">
        <v>4830</v>
      </c>
      <c r="H25" s="510">
        <v>4830</v>
      </c>
      <c r="I25" s="275"/>
      <c r="J25" s="510"/>
      <c r="K25" s="275"/>
      <c r="L25" s="510"/>
      <c r="M25" s="275"/>
      <c r="N25" s="510"/>
      <c r="O25" s="275"/>
      <c r="P25" s="510"/>
      <c r="Q25" s="275"/>
      <c r="R25" s="510"/>
      <c r="S25" s="275"/>
      <c r="T25" s="510"/>
      <c r="U25" s="275"/>
      <c r="V25" s="510"/>
      <c r="W25" s="275"/>
      <c r="X25" s="510"/>
      <c r="Y25" s="275"/>
      <c r="Z25" s="510"/>
      <c r="AA25" s="275"/>
      <c r="AB25" s="510"/>
      <c r="AC25" s="275"/>
      <c r="AD25" s="510"/>
      <c r="AE25" s="275"/>
      <c r="AF25" s="510"/>
      <c r="AG25" s="275"/>
      <c r="AH25" s="510"/>
      <c r="AI25" s="275"/>
      <c r="AJ25" s="510"/>
      <c r="AK25" s="275"/>
      <c r="AL25" s="510"/>
      <c r="AM25" s="275"/>
      <c r="AN25" s="510"/>
    </row>
    <row r="26" spans="1:40" s="337" customFormat="1" ht="15" customHeight="1">
      <c r="A26" s="99" t="s">
        <v>520</v>
      </c>
      <c r="B26" s="100" t="s">
        <v>638</v>
      </c>
      <c r="C26" s="101">
        <v>101161</v>
      </c>
      <c r="D26" s="101">
        <v>9</v>
      </c>
      <c r="E26" s="275">
        <v>2790</v>
      </c>
      <c r="F26" s="510">
        <v>2790</v>
      </c>
      <c r="G26" s="275">
        <v>4920</v>
      </c>
      <c r="H26" s="510">
        <v>4920</v>
      </c>
      <c r="I26" s="275"/>
      <c r="J26" s="510"/>
      <c r="K26" s="275"/>
      <c r="L26" s="510"/>
      <c r="M26" s="275"/>
      <c r="N26" s="510"/>
      <c r="O26" s="275"/>
      <c r="P26" s="510"/>
      <c r="Q26" s="275"/>
      <c r="R26" s="510"/>
      <c r="S26" s="275"/>
      <c r="T26" s="510"/>
      <c r="U26" s="275"/>
      <c r="V26" s="510"/>
      <c r="W26" s="275"/>
      <c r="X26" s="510"/>
      <c r="Y26" s="275"/>
      <c r="Z26" s="510"/>
      <c r="AA26" s="275"/>
      <c r="AB26" s="510"/>
      <c r="AC26" s="275"/>
      <c r="AD26" s="510"/>
      <c r="AE26" s="275"/>
      <c r="AF26" s="510"/>
      <c r="AG26" s="275"/>
      <c r="AH26" s="510"/>
      <c r="AI26" s="275"/>
      <c r="AJ26" s="510"/>
      <c r="AK26" s="275"/>
      <c r="AL26" s="510"/>
      <c r="AM26" s="275"/>
      <c r="AN26" s="510"/>
    </row>
    <row r="27" spans="1:40" s="337" customFormat="1" ht="15" customHeight="1">
      <c r="A27" s="99" t="s">
        <v>520</v>
      </c>
      <c r="B27" s="363" t="s">
        <v>639</v>
      </c>
      <c r="C27" s="101">
        <v>101569</v>
      </c>
      <c r="D27" s="101">
        <v>9</v>
      </c>
      <c r="E27" s="275">
        <v>2700</v>
      </c>
      <c r="F27" s="510">
        <v>3020</v>
      </c>
      <c r="G27" s="275">
        <v>4830</v>
      </c>
      <c r="H27" s="510">
        <v>5150</v>
      </c>
      <c r="I27" s="275"/>
      <c r="J27" s="510"/>
      <c r="K27" s="275"/>
      <c r="L27" s="510"/>
      <c r="M27" s="275"/>
      <c r="N27" s="510"/>
      <c r="O27" s="275"/>
      <c r="P27" s="510"/>
      <c r="Q27" s="275"/>
      <c r="R27" s="510"/>
      <c r="S27" s="275"/>
      <c r="T27" s="510"/>
      <c r="U27" s="275"/>
      <c r="V27" s="510"/>
      <c r="W27" s="275"/>
      <c r="X27" s="510"/>
      <c r="Y27" s="275"/>
      <c r="Z27" s="510"/>
      <c r="AA27" s="275"/>
      <c r="AB27" s="510"/>
      <c r="AC27" s="275"/>
      <c r="AD27" s="510"/>
      <c r="AE27" s="275"/>
      <c r="AF27" s="510"/>
      <c r="AG27" s="275"/>
      <c r="AH27" s="510"/>
      <c r="AI27" s="275"/>
      <c r="AJ27" s="510"/>
      <c r="AK27" s="275"/>
      <c r="AL27" s="510"/>
      <c r="AM27" s="275"/>
      <c r="AN27" s="510"/>
    </row>
    <row r="28" spans="1:40" s="337" customFormat="1" ht="15" customHeight="1">
      <c r="A28" s="99" t="s">
        <v>520</v>
      </c>
      <c r="B28" s="100" t="s">
        <v>640</v>
      </c>
      <c r="C28" s="101">
        <v>101736</v>
      </c>
      <c r="D28" s="101">
        <v>9</v>
      </c>
      <c r="E28" s="275">
        <v>2880</v>
      </c>
      <c r="F28" s="510">
        <v>2880</v>
      </c>
      <c r="G28" s="275">
        <v>5010</v>
      </c>
      <c r="H28" s="510">
        <v>5010</v>
      </c>
      <c r="I28" s="275"/>
      <c r="J28" s="510"/>
      <c r="K28" s="275"/>
      <c r="L28" s="510"/>
      <c r="M28" s="275"/>
      <c r="N28" s="510"/>
      <c r="O28" s="275"/>
      <c r="P28" s="510"/>
      <c r="Q28" s="275"/>
      <c r="R28" s="510"/>
      <c r="S28" s="275"/>
      <c r="T28" s="510"/>
      <c r="U28" s="275"/>
      <c r="V28" s="510"/>
      <c r="W28" s="275"/>
      <c r="X28" s="510"/>
      <c r="Y28" s="275"/>
      <c r="Z28" s="510"/>
      <c r="AA28" s="275"/>
      <c r="AB28" s="510"/>
      <c r="AC28" s="275"/>
      <c r="AD28" s="510"/>
      <c r="AE28" s="275"/>
      <c r="AF28" s="510"/>
      <c r="AG28" s="275"/>
      <c r="AH28" s="510"/>
      <c r="AI28" s="275"/>
      <c r="AJ28" s="510"/>
      <c r="AK28" s="275"/>
      <c r="AL28" s="510"/>
      <c r="AM28" s="275"/>
      <c r="AN28" s="510"/>
    </row>
    <row r="29" spans="1:40" s="337" customFormat="1" ht="15" customHeight="1">
      <c r="A29" s="99" t="s">
        <v>520</v>
      </c>
      <c r="B29" s="100" t="s">
        <v>641</v>
      </c>
      <c r="C29" s="101">
        <v>102067</v>
      </c>
      <c r="D29" s="101">
        <v>9</v>
      </c>
      <c r="E29" s="275">
        <v>2700</v>
      </c>
      <c r="F29" s="510">
        <v>2700</v>
      </c>
      <c r="G29" s="275">
        <v>4830</v>
      </c>
      <c r="H29" s="510">
        <v>4830</v>
      </c>
      <c r="I29" s="275"/>
      <c r="J29" s="510"/>
      <c r="K29" s="275"/>
      <c r="L29" s="510"/>
      <c r="M29" s="275"/>
      <c r="N29" s="510"/>
      <c r="O29" s="275"/>
      <c r="P29" s="510"/>
      <c r="Q29" s="275"/>
      <c r="R29" s="510"/>
      <c r="S29" s="275"/>
      <c r="T29" s="510"/>
      <c r="U29" s="275"/>
      <c r="V29" s="510"/>
      <c r="W29" s="275"/>
      <c r="X29" s="510"/>
      <c r="Y29" s="275"/>
      <c r="Z29" s="510"/>
      <c r="AA29" s="275"/>
      <c r="AB29" s="510"/>
      <c r="AC29" s="275"/>
      <c r="AD29" s="510"/>
      <c r="AE29" s="275"/>
      <c r="AF29" s="510"/>
      <c r="AG29" s="275"/>
      <c r="AH29" s="510"/>
      <c r="AI29" s="275"/>
      <c r="AJ29" s="510"/>
      <c r="AK29" s="275"/>
      <c r="AL29" s="510"/>
      <c r="AM29" s="275"/>
      <c r="AN29" s="510"/>
    </row>
    <row r="30" spans="1:40" s="337" customFormat="1" ht="15" customHeight="1">
      <c r="A30" s="99" t="s">
        <v>520</v>
      </c>
      <c r="B30" s="100" t="s">
        <v>642</v>
      </c>
      <c r="C30" s="101">
        <v>251260</v>
      </c>
      <c r="D30" s="101">
        <v>9</v>
      </c>
      <c r="E30" s="275">
        <v>2700</v>
      </c>
      <c r="F30" s="510">
        <v>2700</v>
      </c>
      <c r="G30" s="275">
        <v>4830</v>
      </c>
      <c r="H30" s="510">
        <v>4830</v>
      </c>
      <c r="I30" s="275"/>
      <c r="J30" s="510"/>
      <c r="K30" s="275"/>
      <c r="L30" s="510"/>
      <c r="M30" s="275"/>
      <c r="N30" s="510"/>
      <c r="O30" s="275"/>
      <c r="P30" s="510"/>
      <c r="Q30" s="275"/>
      <c r="R30" s="510"/>
      <c r="S30" s="275"/>
      <c r="T30" s="510"/>
      <c r="U30" s="275"/>
      <c r="V30" s="510"/>
      <c r="W30" s="275"/>
      <c r="X30" s="510"/>
      <c r="Y30" s="275"/>
      <c r="Z30" s="510"/>
      <c r="AA30" s="275"/>
      <c r="AB30" s="510"/>
      <c r="AC30" s="275"/>
      <c r="AD30" s="510"/>
      <c r="AE30" s="275"/>
      <c r="AF30" s="510"/>
      <c r="AG30" s="275"/>
      <c r="AH30" s="510"/>
      <c r="AI30" s="275"/>
      <c r="AJ30" s="510"/>
      <c r="AK30" s="275"/>
      <c r="AL30" s="510"/>
      <c r="AM30" s="275"/>
      <c r="AN30" s="510"/>
    </row>
    <row r="31" spans="1:40" s="337" customFormat="1" ht="15" customHeight="1">
      <c r="A31" s="99" t="s">
        <v>520</v>
      </c>
      <c r="B31" s="100" t="s">
        <v>643</v>
      </c>
      <c r="C31" s="101">
        <v>101295</v>
      </c>
      <c r="D31" s="101">
        <v>9</v>
      </c>
      <c r="E31" s="275">
        <v>2700</v>
      </c>
      <c r="F31" s="510">
        <v>2700</v>
      </c>
      <c r="G31" s="275">
        <v>4830</v>
      </c>
      <c r="H31" s="510">
        <v>4830</v>
      </c>
      <c r="I31" s="275"/>
      <c r="J31" s="510"/>
      <c r="K31" s="275"/>
      <c r="L31" s="510"/>
      <c r="M31" s="275"/>
      <c r="N31" s="510"/>
      <c r="O31" s="275"/>
      <c r="P31" s="510"/>
      <c r="Q31" s="275"/>
      <c r="R31" s="510"/>
      <c r="S31" s="275"/>
      <c r="T31" s="510"/>
      <c r="U31" s="275"/>
      <c r="V31" s="510"/>
      <c r="W31" s="275"/>
      <c r="X31" s="510"/>
      <c r="Y31" s="275"/>
      <c r="Z31" s="510"/>
      <c r="AA31" s="275"/>
      <c r="AB31" s="510"/>
      <c r="AC31" s="275"/>
      <c r="AD31" s="510"/>
      <c r="AE31" s="275"/>
      <c r="AF31" s="510"/>
      <c r="AG31" s="275"/>
      <c r="AH31" s="510"/>
      <c r="AI31" s="275"/>
      <c r="AJ31" s="510"/>
      <c r="AK31" s="275"/>
      <c r="AL31" s="510"/>
      <c r="AM31" s="275"/>
      <c r="AN31" s="510"/>
    </row>
    <row r="32" spans="1:40" s="337" customFormat="1" ht="15" customHeight="1">
      <c r="A32" s="99" t="s">
        <v>520</v>
      </c>
      <c r="B32" s="100" t="s">
        <v>644</v>
      </c>
      <c r="C32" s="101">
        <v>101949</v>
      </c>
      <c r="D32" s="101">
        <v>10</v>
      </c>
      <c r="E32" s="275">
        <v>2700</v>
      </c>
      <c r="F32" s="510">
        <v>2700</v>
      </c>
      <c r="G32" s="275">
        <v>4830</v>
      </c>
      <c r="H32" s="510">
        <v>4830</v>
      </c>
      <c r="I32" s="275"/>
      <c r="J32" s="510"/>
      <c r="K32" s="275"/>
      <c r="L32" s="510"/>
      <c r="M32" s="275"/>
      <c r="N32" s="510"/>
      <c r="O32" s="275"/>
      <c r="P32" s="510"/>
      <c r="Q32" s="275"/>
      <c r="R32" s="510"/>
      <c r="S32" s="275"/>
      <c r="T32" s="510"/>
      <c r="U32" s="275"/>
      <c r="V32" s="510"/>
      <c r="W32" s="275"/>
      <c r="X32" s="510"/>
      <c r="Y32" s="275"/>
      <c r="Z32" s="510"/>
      <c r="AA32" s="275"/>
      <c r="AB32" s="510"/>
      <c r="AC32" s="275"/>
      <c r="AD32" s="510"/>
      <c r="AE32" s="275"/>
      <c r="AF32" s="510"/>
      <c r="AG32" s="275"/>
      <c r="AH32" s="510"/>
      <c r="AI32" s="275"/>
      <c r="AJ32" s="510"/>
      <c r="AK32" s="275"/>
      <c r="AL32" s="510"/>
      <c r="AM32" s="275"/>
      <c r="AN32" s="510"/>
    </row>
    <row r="33" spans="1:40" s="337" customFormat="1" ht="15" customHeight="1">
      <c r="A33" s="99" t="s">
        <v>520</v>
      </c>
      <c r="B33" s="100" t="s">
        <v>645</v>
      </c>
      <c r="C33" s="101">
        <v>100760</v>
      </c>
      <c r="D33" s="101">
        <v>10</v>
      </c>
      <c r="E33" s="275">
        <v>2700</v>
      </c>
      <c r="F33" s="540">
        <v>2700</v>
      </c>
      <c r="G33" s="275">
        <v>4830</v>
      </c>
      <c r="H33" s="540">
        <v>4830</v>
      </c>
      <c r="I33" s="275"/>
      <c r="J33" s="510"/>
      <c r="K33" s="275"/>
      <c r="L33" s="510"/>
      <c r="M33" s="275"/>
      <c r="N33" s="510"/>
      <c r="O33" s="275"/>
      <c r="P33" s="510"/>
      <c r="Q33" s="275"/>
      <c r="R33" s="510"/>
      <c r="S33" s="275"/>
      <c r="T33" s="510"/>
      <c r="U33" s="275"/>
      <c r="V33" s="510"/>
      <c r="W33" s="275"/>
      <c r="X33" s="510"/>
      <c r="Y33" s="275"/>
      <c r="Z33" s="510"/>
      <c r="AA33" s="275"/>
      <c r="AB33" s="510"/>
      <c r="AC33" s="275"/>
      <c r="AD33" s="510"/>
      <c r="AE33" s="275"/>
      <c r="AF33" s="510"/>
      <c r="AG33" s="275"/>
      <c r="AH33" s="510"/>
      <c r="AI33" s="275"/>
      <c r="AJ33" s="510"/>
      <c r="AK33" s="275"/>
      <c r="AL33" s="510"/>
      <c r="AM33" s="275"/>
      <c r="AN33" s="510"/>
    </row>
    <row r="34" spans="1:40" s="337" customFormat="1" ht="15" customHeight="1">
      <c r="A34" s="99" t="s">
        <v>520</v>
      </c>
      <c r="B34" s="100" t="s">
        <v>646</v>
      </c>
      <c r="C34" s="101">
        <v>101028</v>
      </c>
      <c r="D34" s="101">
        <v>10</v>
      </c>
      <c r="E34" s="275">
        <v>2700</v>
      </c>
      <c r="F34" s="540">
        <v>2700</v>
      </c>
      <c r="G34" s="275">
        <v>4830</v>
      </c>
      <c r="H34" s="540">
        <v>4830</v>
      </c>
      <c r="I34" s="275"/>
      <c r="J34" s="510"/>
      <c r="K34" s="275"/>
      <c r="L34" s="510"/>
      <c r="M34" s="275"/>
      <c r="N34" s="510"/>
      <c r="O34" s="275"/>
      <c r="P34" s="510"/>
      <c r="Q34" s="275"/>
      <c r="R34" s="510"/>
      <c r="S34" s="275"/>
      <c r="T34" s="510"/>
      <c r="U34" s="275"/>
      <c r="V34" s="510"/>
      <c r="W34" s="275"/>
      <c r="X34" s="510"/>
      <c r="Y34" s="275"/>
      <c r="Z34" s="510"/>
      <c r="AA34" s="275"/>
      <c r="AB34" s="510"/>
      <c r="AC34" s="275"/>
      <c r="AD34" s="510"/>
      <c r="AE34" s="275"/>
      <c r="AF34" s="510"/>
      <c r="AG34" s="275"/>
      <c r="AH34" s="510"/>
      <c r="AI34" s="275"/>
      <c r="AJ34" s="510"/>
      <c r="AK34" s="275"/>
      <c r="AL34" s="510"/>
      <c r="AM34" s="275"/>
      <c r="AN34" s="510"/>
    </row>
    <row r="35" spans="1:40" s="337" customFormat="1" ht="15" customHeight="1">
      <c r="A35" s="99" t="s">
        <v>520</v>
      </c>
      <c r="B35" s="100" t="s">
        <v>647</v>
      </c>
      <c r="C35" s="101">
        <v>101143</v>
      </c>
      <c r="D35" s="101">
        <v>10</v>
      </c>
      <c r="E35" s="275">
        <v>2700</v>
      </c>
      <c r="F35" s="540">
        <v>2700</v>
      </c>
      <c r="G35" s="275">
        <v>4830</v>
      </c>
      <c r="H35" s="540">
        <v>4830</v>
      </c>
      <c r="I35" s="275"/>
      <c r="J35" s="510"/>
      <c r="K35" s="275"/>
      <c r="L35" s="510"/>
      <c r="M35" s="275"/>
      <c r="N35" s="510"/>
      <c r="O35" s="275"/>
      <c r="P35" s="510"/>
      <c r="Q35" s="275"/>
      <c r="R35" s="510"/>
      <c r="S35" s="275"/>
      <c r="T35" s="510"/>
      <c r="U35" s="275"/>
      <c r="V35" s="510"/>
      <c r="W35" s="275"/>
      <c r="X35" s="510"/>
      <c r="Y35" s="275"/>
      <c r="Z35" s="510"/>
      <c r="AA35" s="275"/>
      <c r="AB35" s="510"/>
      <c r="AC35" s="275"/>
      <c r="AD35" s="510"/>
      <c r="AE35" s="275"/>
      <c r="AF35" s="510"/>
      <c r="AG35" s="275"/>
      <c r="AH35" s="510"/>
      <c r="AI35" s="275"/>
      <c r="AJ35" s="510"/>
      <c r="AK35" s="275"/>
      <c r="AL35" s="510"/>
      <c r="AM35" s="275"/>
      <c r="AN35" s="510"/>
    </row>
    <row r="36" spans="1:40" s="337" customFormat="1" ht="15" customHeight="1">
      <c r="A36" s="99" t="s">
        <v>520</v>
      </c>
      <c r="B36" s="100" t="s">
        <v>648</v>
      </c>
      <c r="C36" s="101">
        <v>101301</v>
      </c>
      <c r="D36" s="101">
        <v>10</v>
      </c>
      <c r="E36" s="275">
        <v>2700</v>
      </c>
      <c r="F36" s="510">
        <v>2700</v>
      </c>
      <c r="G36" s="275">
        <v>4830</v>
      </c>
      <c r="H36" s="510">
        <v>4830</v>
      </c>
      <c r="I36" s="275"/>
      <c r="J36" s="510"/>
      <c r="K36" s="275"/>
      <c r="L36" s="510"/>
      <c r="M36" s="275"/>
      <c r="N36" s="510"/>
      <c r="O36" s="275"/>
      <c r="P36" s="510"/>
      <c r="Q36" s="275"/>
      <c r="R36" s="510"/>
      <c r="S36" s="275"/>
      <c r="T36" s="510"/>
      <c r="U36" s="275"/>
      <c r="V36" s="510"/>
      <c r="W36" s="275"/>
      <c r="X36" s="510"/>
      <c r="Y36" s="275"/>
      <c r="Z36" s="510"/>
      <c r="AA36" s="275"/>
      <c r="AB36" s="510"/>
      <c r="AC36" s="275"/>
      <c r="AD36" s="510"/>
      <c r="AE36" s="275"/>
      <c r="AF36" s="510"/>
      <c r="AG36" s="275"/>
      <c r="AH36" s="510"/>
      <c r="AI36" s="275"/>
      <c r="AJ36" s="510"/>
      <c r="AK36" s="275"/>
      <c r="AL36" s="510"/>
      <c r="AM36" s="275"/>
      <c r="AN36" s="510"/>
    </row>
    <row r="37" spans="1:40" s="337" customFormat="1" ht="15" customHeight="1">
      <c r="A37" s="99" t="s">
        <v>520</v>
      </c>
      <c r="B37" s="100" t="s">
        <v>649</v>
      </c>
      <c r="C37" s="101">
        <v>101499</v>
      </c>
      <c r="D37" s="101">
        <v>10</v>
      </c>
      <c r="E37" s="275">
        <v>2700</v>
      </c>
      <c r="F37" s="510">
        <v>2700</v>
      </c>
      <c r="G37" s="275">
        <v>4830</v>
      </c>
      <c r="H37" s="510">
        <v>4830</v>
      </c>
      <c r="I37" s="275"/>
      <c r="J37" s="510"/>
      <c r="K37" s="275"/>
      <c r="L37" s="510"/>
      <c r="M37" s="275"/>
      <c r="N37" s="510"/>
      <c r="O37" s="275"/>
      <c r="P37" s="510"/>
      <c r="Q37" s="275"/>
      <c r="R37" s="510"/>
      <c r="S37" s="275"/>
      <c r="T37" s="510"/>
      <c r="U37" s="275"/>
      <c r="V37" s="510"/>
      <c r="W37" s="275"/>
      <c r="X37" s="510"/>
      <c r="Y37" s="275"/>
      <c r="Z37" s="510"/>
      <c r="AA37" s="275"/>
      <c r="AB37" s="510"/>
      <c r="AC37" s="275"/>
      <c r="AD37" s="510"/>
      <c r="AE37" s="275"/>
      <c r="AF37" s="510"/>
      <c r="AG37" s="275"/>
      <c r="AH37" s="510"/>
      <c r="AI37" s="275"/>
      <c r="AJ37" s="510"/>
      <c r="AK37" s="275"/>
      <c r="AL37" s="510"/>
      <c r="AM37" s="275"/>
      <c r="AN37" s="510"/>
    </row>
    <row r="38" spans="1:40" s="337" customFormat="1" ht="15" customHeight="1">
      <c r="A38" s="99" t="s">
        <v>520</v>
      </c>
      <c r="B38" s="100" t="s">
        <v>650</v>
      </c>
      <c r="C38" s="101">
        <v>101602</v>
      </c>
      <c r="D38" s="101">
        <v>10</v>
      </c>
      <c r="E38" s="275">
        <v>2700</v>
      </c>
      <c r="F38" s="510">
        <v>2700</v>
      </c>
      <c r="G38" s="275">
        <v>4830</v>
      </c>
      <c r="H38" s="510">
        <v>4830</v>
      </c>
      <c r="I38" s="275"/>
      <c r="J38" s="510"/>
      <c r="K38" s="275"/>
      <c r="L38" s="510"/>
      <c r="M38" s="275"/>
      <c r="N38" s="510"/>
      <c r="O38" s="275"/>
      <c r="P38" s="510"/>
      <c r="Q38" s="275"/>
      <c r="R38" s="510"/>
      <c r="S38" s="275"/>
      <c r="T38" s="510"/>
      <c r="U38" s="275"/>
      <c r="V38" s="510"/>
      <c r="W38" s="275"/>
      <c r="X38" s="510"/>
      <c r="Y38" s="275"/>
      <c r="Z38" s="510"/>
      <c r="AA38" s="275"/>
      <c r="AB38" s="510"/>
      <c r="AC38" s="275"/>
      <c r="AD38" s="510"/>
      <c r="AE38" s="275"/>
      <c r="AF38" s="510"/>
      <c r="AG38" s="275"/>
      <c r="AH38" s="510"/>
      <c r="AI38" s="275"/>
      <c r="AJ38" s="510"/>
      <c r="AK38" s="275"/>
      <c r="AL38" s="510"/>
      <c r="AM38" s="275"/>
      <c r="AN38" s="510"/>
    </row>
    <row r="39" spans="1:40" s="337" customFormat="1" ht="15" customHeight="1">
      <c r="A39" s="99" t="s">
        <v>520</v>
      </c>
      <c r="B39" s="100" t="s">
        <v>651</v>
      </c>
      <c r="C39" s="101">
        <v>101897</v>
      </c>
      <c r="D39" s="101">
        <v>10</v>
      </c>
      <c r="E39" s="275">
        <v>2850</v>
      </c>
      <c r="F39" s="510">
        <v>2850</v>
      </c>
      <c r="G39" s="275">
        <v>4980</v>
      </c>
      <c r="H39" s="510">
        <v>4980</v>
      </c>
      <c r="I39" s="275"/>
      <c r="J39" s="510"/>
      <c r="K39" s="275"/>
      <c r="L39" s="510"/>
      <c r="M39" s="275"/>
      <c r="N39" s="510"/>
      <c r="O39" s="275"/>
      <c r="P39" s="510"/>
      <c r="Q39" s="275"/>
      <c r="R39" s="510"/>
      <c r="S39" s="275"/>
      <c r="T39" s="510"/>
      <c r="U39" s="275"/>
      <c r="V39" s="510"/>
      <c r="W39" s="275"/>
      <c r="X39" s="510"/>
      <c r="Y39" s="275"/>
      <c r="Z39" s="510"/>
      <c r="AA39" s="275"/>
      <c r="AB39" s="510"/>
      <c r="AC39" s="275"/>
      <c r="AD39" s="510"/>
      <c r="AE39" s="275"/>
      <c r="AF39" s="510"/>
      <c r="AG39" s="275"/>
      <c r="AH39" s="510"/>
      <c r="AI39" s="275"/>
      <c r="AJ39" s="510"/>
      <c r="AK39" s="275"/>
      <c r="AL39" s="510"/>
      <c r="AM39" s="275"/>
      <c r="AN39" s="510"/>
    </row>
    <row r="40" spans="1:40" s="337" customFormat="1" ht="15" customHeight="1">
      <c r="A40" s="99" t="s">
        <v>520</v>
      </c>
      <c r="B40" s="100" t="s">
        <v>652</v>
      </c>
      <c r="C40" s="101">
        <v>102076</v>
      </c>
      <c r="D40" s="101">
        <v>10</v>
      </c>
      <c r="E40" s="275">
        <v>2820</v>
      </c>
      <c r="F40" s="510">
        <v>2820</v>
      </c>
      <c r="G40" s="275">
        <v>4950</v>
      </c>
      <c r="H40" s="510">
        <v>4950</v>
      </c>
      <c r="I40" s="275"/>
      <c r="J40" s="510"/>
      <c r="K40" s="275"/>
      <c r="L40" s="510"/>
      <c r="M40" s="275"/>
      <c r="N40" s="510"/>
      <c r="O40" s="275"/>
      <c r="P40" s="510"/>
      <c r="Q40" s="275"/>
      <c r="R40" s="510"/>
      <c r="S40" s="275"/>
      <c r="T40" s="510"/>
      <c r="U40" s="275"/>
      <c r="V40" s="510"/>
      <c r="W40" s="275"/>
      <c r="X40" s="510"/>
      <c r="Y40" s="275"/>
      <c r="Z40" s="510"/>
      <c r="AA40" s="275"/>
      <c r="AB40" s="510"/>
      <c r="AC40" s="275"/>
      <c r="AD40" s="510"/>
      <c r="AE40" s="275"/>
      <c r="AF40" s="510"/>
      <c r="AG40" s="275"/>
      <c r="AH40" s="510"/>
      <c r="AI40" s="275"/>
      <c r="AJ40" s="510"/>
      <c r="AK40" s="275"/>
      <c r="AL40" s="510"/>
      <c r="AM40" s="275"/>
      <c r="AN40" s="510"/>
    </row>
    <row r="41" spans="1:40" s="337" customFormat="1" ht="15" customHeight="1">
      <c r="A41" s="99" t="s">
        <v>520</v>
      </c>
      <c r="B41" s="100" t="s">
        <v>653</v>
      </c>
      <c r="C41" s="101">
        <v>102313</v>
      </c>
      <c r="D41" s="365">
        <v>12</v>
      </c>
      <c r="E41" s="275">
        <v>2700</v>
      </c>
      <c r="F41" s="510">
        <v>2700</v>
      </c>
      <c r="G41" s="275">
        <v>4830</v>
      </c>
      <c r="H41" s="510">
        <v>4830</v>
      </c>
      <c r="I41" s="275"/>
      <c r="J41" s="510"/>
      <c r="K41" s="275"/>
      <c r="L41" s="510"/>
      <c r="M41" s="275"/>
      <c r="N41" s="510"/>
      <c r="O41" s="275"/>
      <c r="P41" s="510"/>
      <c r="Q41" s="275"/>
      <c r="R41" s="510"/>
      <c r="S41" s="275"/>
      <c r="T41" s="510"/>
      <c r="U41" s="275"/>
      <c r="V41" s="510"/>
      <c r="W41" s="275"/>
      <c r="X41" s="510"/>
      <c r="Y41" s="275"/>
      <c r="Z41" s="510"/>
      <c r="AA41" s="275"/>
      <c r="AB41" s="510"/>
      <c r="AC41" s="275"/>
      <c r="AD41" s="510"/>
      <c r="AE41" s="275"/>
      <c r="AF41" s="510"/>
      <c r="AG41" s="275"/>
      <c r="AH41" s="510"/>
      <c r="AI41" s="275"/>
      <c r="AJ41" s="510"/>
      <c r="AK41" s="275"/>
      <c r="AL41" s="510"/>
      <c r="AM41" s="275"/>
      <c r="AN41" s="510"/>
    </row>
    <row r="42" spans="1:40" s="337" customFormat="1" ht="15" customHeight="1">
      <c r="A42" s="99" t="s">
        <v>520</v>
      </c>
      <c r="B42" s="100" t="s">
        <v>654</v>
      </c>
      <c r="C42" s="101">
        <v>101462</v>
      </c>
      <c r="D42" s="365">
        <v>13</v>
      </c>
      <c r="E42" s="275">
        <v>2700</v>
      </c>
      <c r="F42" s="510">
        <v>2700</v>
      </c>
      <c r="G42" s="275">
        <v>4830</v>
      </c>
      <c r="H42" s="510">
        <v>4830</v>
      </c>
      <c r="I42" s="275"/>
      <c r="J42" s="510"/>
      <c r="K42" s="275"/>
      <c r="L42" s="510"/>
      <c r="M42" s="275"/>
      <c r="N42" s="510"/>
      <c r="O42" s="275"/>
      <c r="P42" s="510"/>
      <c r="Q42" s="275"/>
      <c r="R42" s="510"/>
      <c r="S42" s="275"/>
      <c r="T42" s="510"/>
      <c r="U42" s="275"/>
      <c r="V42" s="510"/>
      <c r="W42" s="275"/>
      <c r="X42" s="510"/>
      <c r="Y42" s="275"/>
      <c r="Z42" s="510"/>
      <c r="AA42" s="275"/>
      <c r="AB42" s="510"/>
      <c r="AC42" s="275"/>
      <c r="AD42" s="510"/>
      <c r="AE42" s="275"/>
      <c r="AF42" s="510"/>
      <c r="AG42" s="275"/>
      <c r="AH42" s="510"/>
      <c r="AI42" s="275"/>
      <c r="AJ42" s="510"/>
      <c r="AK42" s="275"/>
      <c r="AL42" s="510"/>
      <c r="AM42" s="275"/>
      <c r="AN42" s="510"/>
    </row>
    <row r="43" spans="1:40" s="337" customFormat="1" ht="15" customHeight="1">
      <c r="A43" s="99" t="s">
        <v>520</v>
      </c>
      <c r="B43" s="100" t="s">
        <v>655</v>
      </c>
      <c r="C43" s="101">
        <v>101471</v>
      </c>
      <c r="D43" s="365">
        <v>13</v>
      </c>
      <c r="E43" s="275">
        <v>2130</v>
      </c>
      <c r="F43" s="510">
        <v>2700</v>
      </c>
      <c r="G43" s="275" t="s">
        <v>656</v>
      </c>
      <c r="H43" s="510" t="s">
        <v>656</v>
      </c>
      <c r="I43" s="275"/>
      <c r="J43" s="510"/>
      <c r="K43" s="275"/>
      <c r="L43" s="510"/>
      <c r="M43" s="275"/>
      <c r="N43" s="510"/>
      <c r="O43" s="275"/>
      <c r="P43" s="510"/>
      <c r="Q43" s="275"/>
      <c r="R43" s="510"/>
      <c r="S43" s="275"/>
      <c r="T43" s="510"/>
      <c r="U43" s="275"/>
      <c r="V43" s="510"/>
      <c r="W43" s="275"/>
      <c r="X43" s="510"/>
      <c r="Y43" s="275"/>
      <c r="Z43" s="510"/>
      <c r="AA43" s="275"/>
      <c r="AB43" s="510"/>
      <c r="AC43" s="275"/>
      <c r="AD43" s="510"/>
      <c r="AE43" s="275"/>
      <c r="AF43" s="510"/>
      <c r="AG43" s="275"/>
      <c r="AH43" s="510"/>
      <c r="AI43" s="275"/>
      <c r="AJ43" s="510"/>
      <c r="AK43" s="275"/>
      <c r="AL43" s="510"/>
      <c r="AM43" s="275"/>
      <c r="AN43" s="510"/>
    </row>
    <row r="44" spans="1:40" s="337" customFormat="1" ht="15" customHeight="1">
      <c r="A44" s="99" t="s">
        <v>520</v>
      </c>
      <c r="B44" s="100" t="s">
        <v>657</v>
      </c>
      <c r="C44" s="101">
        <v>101994</v>
      </c>
      <c r="D44" s="365">
        <v>13</v>
      </c>
      <c r="E44" s="275">
        <v>2790</v>
      </c>
      <c r="F44" s="510">
        <v>2790</v>
      </c>
      <c r="G44" s="275">
        <v>4920</v>
      </c>
      <c r="H44" s="510">
        <v>4920</v>
      </c>
      <c r="I44" s="275"/>
      <c r="J44" s="510"/>
      <c r="K44" s="275"/>
      <c r="L44" s="510"/>
      <c r="M44" s="275"/>
      <c r="N44" s="510"/>
      <c r="O44" s="275"/>
      <c r="P44" s="510"/>
      <c r="Q44" s="275"/>
      <c r="R44" s="510"/>
      <c r="S44" s="275"/>
      <c r="T44" s="510"/>
      <c r="U44" s="275"/>
      <c r="V44" s="510"/>
      <c r="W44" s="275"/>
      <c r="X44" s="510"/>
      <c r="Y44" s="275"/>
      <c r="Z44" s="510"/>
      <c r="AA44" s="275"/>
      <c r="AB44" s="510"/>
      <c r="AC44" s="275"/>
      <c r="AD44" s="510"/>
      <c r="AE44" s="275"/>
      <c r="AF44" s="510"/>
      <c r="AG44" s="275"/>
      <c r="AH44" s="510"/>
      <c r="AI44" s="275"/>
      <c r="AJ44" s="510"/>
      <c r="AK44" s="275"/>
      <c r="AL44" s="510"/>
      <c r="AM44" s="275"/>
      <c r="AN44" s="510"/>
    </row>
    <row r="45" spans="1:40" s="337" customFormat="1" ht="15" customHeight="1">
      <c r="A45" s="99" t="s">
        <v>520</v>
      </c>
      <c r="B45" s="100" t="s">
        <v>658</v>
      </c>
      <c r="C45" s="364">
        <v>101648</v>
      </c>
      <c r="D45" s="202">
        <v>15</v>
      </c>
      <c r="E45" s="275">
        <v>6570</v>
      </c>
      <c r="F45" s="510">
        <v>6720</v>
      </c>
      <c r="G45" s="275">
        <v>12570</v>
      </c>
      <c r="H45" s="510">
        <v>12720</v>
      </c>
      <c r="I45" s="275"/>
      <c r="J45" s="510"/>
      <c r="K45" s="275"/>
      <c r="L45" s="510"/>
      <c r="M45" s="275"/>
      <c r="N45" s="510"/>
      <c r="O45" s="275"/>
      <c r="P45" s="510"/>
      <c r="Q45" s="275"/>
      <c r="R45" s="510"/>
      <c r="S45" s="275"/>
      <c r="T45" s="510"/>
      <c r="U45" s="275"/>
      <c r="V45" s="510"/>
      <c r="W45" s="275"/>
      <c r="X45" s="510"/>
      <c r="Y45" s="275"/>
      <c r="Z45" s="510"/>
      <c r="AA45" s="275"/>
      <c r="AB45" s="510"/>
      <c r="AC45" s="275"/>
      <c r="AD45" s="510"/>
      <c r="AE45" s="275"/>
      <c r="AF45" s="510"/>
      <c r="AG45" s="275"/>
      <c r="AH45" s="510"/>
      <c r="AI45" s="275"/>
      <c r="AJ45" s="510"/>
      <c r="AK45" s="275"/>
      <c r="AL45" s="510"/>
      <c r="AM45" s="275"/>
      <c r="AN45" s="510"/>
    </row>
    <row r="46" spans="1:40" s="337" customFormat="1" ht="15" customHeight="1">
      <c r="A46" s="334" t="s">
        <v>526</v>
      </c>
      <c r="B46" s="335" t="s">
        <v>440</v>
      </c>
      <c r="C46" s="336">
        <v>106397</v>
      </c>
      <c r="D46" s="305">
        <v>1</v>
      </c>
      <c r="E46" s="275">
        <v>5808</v>
      </c>
      <c r="F46" s="510">
        <v>6038</v>
      </c>
      <c r="G46" s="275">
        <v>13942</v>
      </c>
      <c r="H46" s="510">
        <v>14492</v>
      </c>
      <c r="I46" s="275">
        <v>7398</v>
      </c>
      <c r="J46" s="510">
        <v>7708</v>
      </c>
      <c r="K46" s="275">
        <v>16248</v>
      </c>
      <c r="L46" s="510">
        <v>16907</v>
      </c>
      <c r="M46" s="275">
        <v>7791</v>
      </c>
      <c r="N46" s="510">
        <v>8116</v>
      </c>
      <c r="O46" s="275">
        <v>15610</v>
      </c>
      <c r="P46" s="510">
        <v>16243</v>
      </c>
      <c r="Q46" s="275"/>
      <c r="R46" s="510"/>
      <c r="S46" s="275"/>
      <c r="T46" s="510"/>
      <c r="U46" s="275"/>
      <c r="V46" s="510"/>
      <c r="W46" s="275"/>
      <c r="X46" s="510"/>
      <c r="Y46" s="275"/>
      <c r="Z46" s="510"/>
      <c r="AA46" s="275"/>
      <c r="AB46" s="510"/>
      <c r="AC46" s="275"/>
      <c r="AD46" s="510"/>
      <c r="AE46" s="275"/>
      <c r="AF46" s="510"/>
      <c r="AG46" s="275"/>
      <c r="AH46" s="510"/>
      <c r="AI46" s="275"/>
      <c r="AJ46" s="510"/>
      <c r="AK46" s="275"/>
      <c r="AL46" s="510"/>
      <c r="AM46" s="275"/>
      <c r="AN46" s="510"/>
    </row>
    <row r="47" spans="1:40" s="337" customFormat="1" ht="15" customHeight="1">
      <c r="A47" s="334" t="s">
        <v>526</v>
      </c>
      <c r="B47" s="335" t="s">
        <v>442</v>
      </c>
      <c r="C47" s="336">
        <v>106245</v>
      </c>
      <c r="D47" s="305">
        <v>3</v>
      </c>
      <c r="E47" s="275">
        <v>5511</v>
      </c>
      <c r="F47" s="510">
        <v>5740</v>
      </c>
      <c r="G47" s="275">
        <v>12726</v>
      </c>
      <c r="H47" s="510">
        <v>13232</v>
      </c>
      <c r="I47" s="275">
        <v>5849</v>
      </c>
      <c r="J47" s="510">
        <v>6086</v>
      </c>
      <c r="K47" s="275">
        <v>11825</v>
      </c>
      <c r="L47" s="510">
        <v>12302</v>
      </c>
      <c r="M47" s="275">
        <v>8028</v>
      </c>
      <c r="N47" s="510">
        <v>8340</v>
      </c>
      <c r="O47" s="275">
        <v>15972</v>
      </c>
      <c r="P47" s="510">
        <v>16599</v>
      </c>
      <c r="Q47" s="275"/>
      <c r="R47" s="510"/>
      <c r="S47" s="275"/>
      <c r="T47" s="510"/>
      <c r="U47" s="275"/>
      <c r="V47" s="510"/>
      <c r="W47" s="275"/>
      <c r="X47" s="510"/>
      <c r="Y47" s="275"/>
      <c r="Z47" s="510"/>
      <c r="AA47" s="275"/>
      <c r="AB47" s="510"/>
      <c r="AC47" s="275"/>
      <c r="AD47" s="510"/>
      <c r="AE47" s="275"/>
      <c r="AF47" s="510"/>
      <c r="AG47" s="275"/>
      <c r="AH47" s="510"/>
      <c r="AI47" s="275"/>
      <c r="AJ47" s="510"/>
      <c r="AK47" s="275"/>
      <c r="AL47" s="510"/>
      <c r="AM47" s="275"/>
      <c r="AN47" s="510"/>
    </row>
    <row r="48" spans="1:40" s="337" customFormat="1" ht="15" customHeight="1">
      <c r="A48" s="334" t="s">
        <v>526</v>
      </c>
      <c r="B48" s="335" t="s">
        <v>441</v>
      </c>
      <c r="C48" s="336">
        <v>106458</v>
      </c>
      <c r="D48" s="305">
        <v>3</v>
      </c>
      <c r="E48" s="275">
        <v>5710</v>
      </c>
      <c r="F48" s="510">
        <v>6010</v>
      </c>
      <c r="G48" s="275">
        <v>12760</v>
      </c>
      <c r="H48" s="510">
        <v>13390</v>
      </c>
      <c r="I48" s="275">
        <v>5530</v>
      </c>
      <c r="J48" s="510">
        <v>5830</v>
      </c>
      <c r="K48" s="275">
        <v>12442</v>
      </c>
      <c r="L48" s="510">
        <v>13030</v>
      </c>
      <c r="M48" s="275"/>
      <c r="N48" s="510"/>
      <c r="O48" s="275"/>
      <c r="P48" s="510"/>
      <c r="Q48" s="275"/>
      <c r="R48" s="510"/>
      <c r="S48" s="275"/>
      <c r="T48" s="510"/>
      <c r="U48" s="275"/>
      <c r="V48" s="510"/>
      <c r="W48" s="275"/>
      <c r="X48" s="510"/>
      <c r="Y48" s="275"/>
      <c r="Z48" s="510"/>
      <c r="AA48" s="275"/>
      <c r="AB48" s="510"/>
      <c r="AC48" s="275"/>
      <c r="AD48" s="510"/>
      <c r="AE48" s="275"/>
      <c r="AF48" s="510"/>
      <c r="AG48" s="275"/>
      <c r="AH48" s="510"/>
      <c r="AI48" s="275"/>
      <c r="AJ48" s="510"/>
      <c r="AK48" s="275"/>
      <c r="AL48" s="510"/>
      <c r="AM48" s="275"/>
      <c r="AN48" s="510"/>
    </row>
    <row r="49" spans="1:40" s="337" customFormat="1" ht="15" customHeight="1">
      <c r="A49" s="334" t="s">
        <v>526</v>
      </c>
      <c r="B49" s="335" t="s">
        <v>443</v>
      </c>
      <c r="C49" s="336">
        <v>106704</v>
      </c>
      <c r="D49" s="305">
        <v>3</v>
      </c>
      <c r="E49" s="275">
        <v>6010</v>
      </c>
      <c r="F49" s="510">
        <v>6205</v>
      </c>
      <c r="G49" s="275">
        <v>10705</v>
      </c>
      <c r="H49" s="510">
        <v>11035</v>
      </c>
      <c r="I49" s="275">
        <v>5787</v>
      </c>
      <c r="J49" s="510">
        <v>5943</v>
      </c>
      <c r="K49" s="275">
        <v>10503</v>
      </c>
      <c r="L49" s="510">
        <v>10767</v>
      </c>
      <c r="M49" s="275"/>
      <c r="N49" s="510"/>
      <c r="O49" s="275"/>
      <c r="P49" s="510"/>
      <c r="Q49" s="275"/>
      <c r="R49" s="510"/>
      <c r="S49" s="275"/>
      <c r="T49" s="510"/>
      <c r="U49" s="275"/>
      <c r="V49" s="510"/>
      <c r="W49" s="275"/>
      <c r="X49" s="510"/>
      <c r="Y49" s="275"/>
      <c r="Z49" s="510"/>
      <c r="AA49" s="275"/>
      <c r="AB49" s="510"/>
      <c r="AC49" s="275"/>
      <c r="AD49" s="510"/>
      <c r="AE49" s="275"/>
      <c r="AF49" s="510"/>
      <c r="AG49" s="275"/>
      <c r="AH49" s="510"/>
      <c r="AI49" s="275"/>
      <c r="AJ49" s="510"/>
      <c r="AK49" s="275"/>
      <c r="AL49" s="510"/>
      <c r="AM49" s="275"/>
      <c r="AN49" s="510"/>
    </row>
    <row r="50" spans="1:40" s="337" customFormat="1" ht="15" customHeight="1">
      <c r="A50" s="334" t="s">
        <v>526</v>
      </c>
      <c r="B50" s="338" t="s">
        <v>444</v>
      </c>
      <c r="C50" s="336">
        <v>106467</v>
      </c>
      <c r="D50" s="305">
        <v>4</v>
      </c>
      <c r="E50" s="275">
        <v>4880</v>
      </c>
      <c r="F50" s="510">
        <v>5120</v>
      </c>
      <c r="G50" s="275">
        <v>9350</v>
      </c>
      <c r="H50" s="510">
        <v>9710</v>
      </c>
      <c r="I50" s="275">
        <v>4456</v>
      </c>
      <c r="J50" s="510">
        <v>4672</v>
      </c>
      <c r="K50" s="275">
        <v>8536</v>
      </c>
      <c r="L50" s="510">
        <v>8872</v>
      </c>
      <c r="M50" s="275"/>
      <c r="N50" s="510"/>
      <c r="O50" s="275"/>
      <c r="P50" s="510"/>
      <c r="Q50" s="275"/>
      <c r="R50" s="510"/>
      <c r="S50" s="275"/>
      <c r="T50" s="510"/>
      <c r="U50" s="275"/>
      <c r="V50" s="510"/>
      <c r="W50" s="275"/>
      <c r="X50" s="510"/>
      <c r="Y50" s="275"/>
      <c r="Z50" s="510"/>
      <c r="AA50" s="275"/>
      <c r="AB50" s="510"/>
      <c r="AC50" s="275"/>
      <c r="AD50" s="510"/>
      <c r="AE50" s="275"/>
      <c r="AF50" s="510"/>
      <c r="AG50" s="275"/>
      <c r="AH50" s="510"/>
      <c r="AI50" s="275"/>
      <c r="AJ50" s="510"/>
      <c r="AK50" s="275"/>
      <c r="AL50" s="510"/>
      <c r="AM50" s="275"/>
      <c r="AN50" s="510"/>
    </row>
    <row r="51" spans="1:40" s="337" customFormat="1" ht="15" customHeight="1">
      <c r="A51" s="334" t="s">
        <v>526</v>
      </c>
      <c r="B51" s="338" t="s">
        <v>445</v>
      </c>
      <c r="C51" s="336">
        <v>107071</v>
      </c>
      <c r="D51" s="305">
        <v>4</v>
      </c>
      <c r="E51" s="275">
        <v>5210</v>
      </c>
      <c r="F51" s="510">
        <v>5689</v>
      </c>
      <c r="G51" s="275">
        <v>9620</v>
      </c>
      <c r="H51" s="510">
        <v>10309</v>
      </c>
      <c r="I51" s="275">
        <v>5094</v>
      </c>
      <c r="J51" s="510">
        <v>5555</v>
      </c>
      <c r="K51" s="275">
        <v>9486</v>
      </c>
      <c r="L51" s="510">
        <v>10139</v>
      </c>
      <c r="M51" s="275"/>
      <c r="N51" s="510"/>
      <c r="O51" s="275"/>
      <c r="P51" s="510"/>
      <c r="Q51" s="275"/>
      <c r="R51" s="510"/>
      <c r="S51" s="275"/>
      <c r="T51" s="510"/>
      <c r="U51" s="275"/>
      <c r="V51" s="510"/>
      <c r="W51" s="275"/>
      <c r="X51" s="510"/>
      <c r="Y51" s="275"/>
      <c r="Z51" s="510"/>
      <c r="AA51" s="275"/>
      <c r="AB51" s="510"/>
      <c r="AC51" s="275"/>
      <c r="AD51" s="510"/>
      <c r="AE51" s="275"/>
      <c r="AF51" s="510"/>
      <c r="AG51" s="275"/>
      <c r="AH51" s="510"/>
      <c r="AI51" s="275"/>
      <c r="AJ51" s="510"/>
      <c r="AK51" s="275"/>
      <c r="AL51" s="510"/>
      <c r="AM51" s="275"/>
      <c r="AN51" s="510"/>
    </row>
    <row r="52" spans="1:40" s="337" customFormat="1" ht="15" customHeight="1">
      <c r="A52" s="334" t="s">
        <v>526</v>
      </c>
      <c r="B52" s="335" t="s">
        <v>446</v>
      </c>
      <c r="C52" s="336">
        <v>107983</v>
      </c>
      <c r="D52" s="305">
        <v>5</v>
      </c>
      <c r="E52" s="275">
        <v>4890</v>
      </c>
      <c r="F52" s="510">
        <v>5224</v>
      </c>
      <c r="G52" s="275">
        <v>7080</v>
      </c>
      <c r="H52" s="510">
        <v>7534</v>
      </c>
      <c r="I52" s="275">
        <v>4724</v>
      </c>
      <c r="J52" s="510">
        <v>5040</v>
      </c>
      <c r="K52" s="275">
        <v>6476</v>
      </c>
      <c r="L52" s="510">
        <v>6888</v>
      </c>
      <c r="M52" s="275"/>
      <c r="N52" s="510"/>
      <c r="O52" s="275"/>
      <c r="P52" s="510"/>
      <c r="Q52" s="275"/>
      <c r="R52" s="510"/>
      <c r="S52" s="275"/>
      <c r="T52" s="510"/>
      <c r="U52" s="275"/>
      <c r="V52" s="510"/>
      <c r="W52" s="275"/>
      <c r="X52" s="510"/>
      <c r="Y52" s="275"/>
      <c r="Z52" s="510"/>
      <c r="AA52" s="275"/>
      <c r="AB52" s="510"/>
      <c r="AC52" s="275"/>
      <c r="AD52" s="510"/>
      <c r="AE52" s="275"/>
      <c r="AF52" s="510"/>
      <c r="AG52" s="275"/>
      <c r="AH52" s="510"/>
      <c r="AI52" s="275"/>
      <c r="AJ52" s="510"/>
      <c r="AK52" s="275"/>
      <c r="AL52" s="510"/>
      <c r="AM52" s="275"/>
      <c r="AN52" s="510"/>
    </row>
    <row r="53" spans="1:40" s="337" customFormat="1" ht="15" customHeight="1">
      <c r="A53" s="334" t="s">
        <v>526</v>
      </c>
      <c r="B53" s="338" t="s">
        <v>447</v>
      </c>
      <c r="C53" s="336">
        <v>106485</v>
      </c>
      <c r="D53" s="305">
        <v>5</v>
      </c>
      <c r="E53" s="275">
        <v>4150</v>
      </c>
      <c r="F53" s="510">
        <v>4300</v>
      </c>
      <c r="G53" s="275">
        <v>8080</v>
      </c>
      <c r="H53" s="510">
        <v>8230</v>
      </c>
      <c r="I53" s="275">
        <v>4320</v>
      </c>
      <c r="J53" s="510">
        <v>4488</v>
      </c>
      <c r="K53" s="275">
        <v>8712</v>
      </c>
      <c r="L53" s="510">
        <v>8880</v>
      </c>
      <c r="M53" s="275"/>
      <c r="N53" s="510"/>
      <c r="O53" s="275"/>
      <c r="P53" s="510"/>
      <c r="Q53" s="275"/>
      <c r="R53" s="510"/>
      <c r="S53" s="275"/>
      <c r="T53" s="510"/>
      <c r="U53" s="275"/>
      <c r="V53" s="510"/>
      <c r="W53" s="275"/>
      <c r="X53" s="510"/>
      <c r="Y53" s="275"/>
      <c r="Z53" s="510"/>
      <c r="AA53" s="275"/>
      <c r="AB53" s="510"/>
      <c r="AC53" s="275"/>
      <c r="AD53" s="510"/>
      <c r="AE53" s="275"/>
      <c r="AF53" s="510"/>
      <c r="AG53" s="275"/>
      <c r="AH53" s="510"/>
      <c r="AI53" s="275"/>
      <c r="AJ53" s="510"/>
      <c r="AK53" s="275"/>
      <c r="AL53" s="510"/>
      <c r="AM53" s="275"/>
      <c r="AN53" s="510"/>
    </row>
    <row r="54" spans="1:40" s="337" customFormat="1" ht="15" customHeight="1">
      <c r="A54" s="334" t="s">
        <v>526</v>
      </c>
      <c r="B54" s="338" t="s">
        <v>448</v>
      </c>
      <c r="C54" s="336">
        <v>106412</v>
      </c>
      <c r="D54" s="305">
        <v>6</v>
      </c>
      <c r="E54" s="275">
        <v>4454</v>
      </c>
      <c r="F54" s="510">
        <v>4499</v>
      </c>
      <c r="G54" s="275">
        <v>8864</v>
      </c>
      <c r="H54" s="510">
        <v>8909</v>
      </c>
      <c r="I54" s="275">
        <v>4341</v>
      </c>
      <c r="J54" s="510">
        <v>4377</v>
      </c>
      <c r="K54" s="275">
        <v>8805</v>
      </c>
      <c r="L54" s="510">
        <v>8841</v>
      </c>
      <c r="M54" s="275"/>
      <c r="N54" s="510"/>
      <c r="O54" s="275"/>
      <c r="P54" s="510"/>
      <c r="Q54" s="275"/>
      <c r="R54" s="510"/>
      <c r="S54" s="275"/>
      <c r="T54" s="510"/>
      <c r="U54" s="275"/>
      <c r="V54" s="510"/>
      <c r="W54" s="275"/>
      <c r="X54" s="510"/>
      <c r="Y54" s="275"/>
      <c r="Z54" s="510"/>
      <c r="AA54" s="275"/>
      <c r="AB54" s="510"/>
      <c r="AC54" s="275"/>
      <c r="AD54" s="510"/>
      <c r="AE54" s="275"/>
      <c r="AF54" s="510"/>
      <c r="AG54" s="275"/>
      <c r="AH54" s="510"/>
      <c r="AI54" s="275"/>
      <c r="AJ54" s="510"/>
      <c r="AK54" s="275"/>
      <c r="AL54" s="510"/>
      <c r="AM54" s="275"/>
      <c r="AN54" s="510"/>
    </row>
    <row r="55" spans="1:40" s="337" customFormat="1" ht="15" customHeight="1">
      <c r="A55" s="334" t="s">
        <v>526</v>
      </c>
      <c r="B55" s="338" t="s">
        <v>407</v>
      </c>
      <c r="C55" s="336">
        <v>108092</v>
      </c>
      <c r="D55" s="305">
        <v>7</v>
      </c>
      <c r="E55" s="275">
        <v>3340</v>
      </c>
      <c r="F55" s="510">
        <v>4060</v>
      </c>
      <c r="G55" s="275">
        <v>8170</v>
      </c>
      <c r="H55" s="510">
        <v>8950</v>
      </c>
      <c r="I55" s="275"/>
      <c r="J55" s="510"/>
      <c r="K55" s="275"/>
      <c r="L55" s="510"/>
      <c r="M55" s="275"/>
      <c r="N55" s="510"/>
      <c r="O55" s="275"/>
      <c r="P55" s="510"/>
      <c r="Q55" s="275"/>
      <c r="R55" s="510"/>
      <c r="S55" s="275"/>
      <c r="T55" s="510"/>
      <c r="U55" s="275"/>
      <c r="V55" s="510"/>
      <c r="W55" s="275"/>
      <c r="X55" s="510"/>
      <c r="Y55" s="275"/>
      <c r="Z55" s="510"/>
      <c r="AA55" s="275"/>
      <c r="AB55" s="510"/>
      <c r="AC55" s="275"/>
      <c r="AD55" s="510"/>
      <c r="AE55" s="275"/>
      <c r="AF55" s="510"/>
      <c r="AG55" s="275"/>
      <c r="AH55" s="510"/>
      <c r="AI55" s="275"/>
      <c r="AJ55" s="510"/>
      <c r="AK55" s="275"/>
      <c r="AL55" s="510"/>
      <c r="AM55" s="275"/>
      <c r="AN55" s="510"/>
    </row>
    <row r="56" spans="1:40" s="337" customFormat="1" ht="15" customHeight="1">
      <c r="A56" s="334" t="s">
        <v>526</v>
      </c>
      <c r="B56" s="339" t="s">
        <v>449</v>
      </c>
      <c r="C56" s="340">
        <v>107664</v>
      </c>
      <c r="D56" s="341">
        <v>8</v>
      </c>
      <c r="E56" s="275">
        <v>2430</v>
      </c>
      <c r="F56" s="510">
        <v>2520</v>
      </c>
      <c r="G56" s="275">
        <v>3840</v>
      </c>
      <c r="H56" s="510">
        <v>3990</v>
      </c>
      <c r="I56" s="275"/>
      <c r="J56" s="510"/>
      <c r="K56" s="275"/>
      <c r="L56" s="510"/>
      <c r="M56" s="275"/>
      <c r="N56" s="510"/>
      <c r="O56" s="275"/>
      <c r="P56" s="510"/>
      <c r="Q56" s="275"/>
      <c r="R56" s="510"/>
      <c r="S56" s="275"/>
      <c r="T56" s="510"/>
      <c r="U56" s="275"/>
      <c r="V56" s="510"/>
      <c r="W56" s="275"/>
      <c r="X56" s="510"/>
      <c r="Y56" s="275"/>
      <c r="Z56" s="510"/>
      <c r="AA56" s="275"/>
      <c r="AB56" s="510"/>
      <c r="AC56" s="275"/>
      <c r="AD56" s="510"/>
      <c r="AE56" s="275"/>
      <c r="AF56" s="510"/>
      <c r="AG56" s="275"/>
      <c r="AH56" s="510"/>
      <c r="AI56" s="275"/>
      <c r="AJ56" s="510"/>
      <c r="AK56" s="275"/>
      <c r="AL56" s="510"/>
      <c r="AM56" s="275"/>
      <c r="AN56" s="510"/>
    </row>
    <row r="57" spans="1:40" s="337" customFormat="1" ht="15" customHeight="1">
      <c r="A57" s="334" t="s">
        <v>526</v>
      </c>
      <c r="B57" s="335" t="s">
        <v>450</v>
      </c>
      <c r="C57" s="336">
        <v>106449</v>
      </c>
      <c r="D57" s="305">
        <v>9</v>
      </c>
      <c r="E57" s="275">
        <v>2460</v>
      </c>
      <c r="F57" s="510">
        <v>2550</v>
      </c>
      <c r="G57" s="275">
        <v>3990</v>
      </c>
      <c r="H57" s="510">
        <v>4140</v>
      </c>
      <c r="I57" s="275"/>
      <c r="J57" s="510"/>
      <c r="K57" s="275"/>
      <c r="L57" s="510"/>
      <c r="M57" s="275"/>
      <c r="N57" s="510"/>
      <c r="O57" s="275"/>
      <c r="P57" s="510"/>
      <c r="Q57" s="275"/>
      <c r="R57" s="510"/>
      <c r="S57" s="275"/>
      <c r="T57" s="510"/>
      <c r="U57" s="275"/>
      <c r="V57" s="510"/>
      <c r="W57" s="275"/>
      <c r="X57" s="510"/>
      <c r="Y57" s="275"/>
      <c r="Z57" s="510"/>
      <c r="AA57" s="275"/>
      <c r="AB57" s="510"/>
      <c r="AC57" s="275"/>
      <c r="AD57" s="510"/>
      <c r="AE57" s="275"/>
      <c r="AF57" s="510"/>
      <c r="AG57" s="275"/>
      <c r="AH57" s="510"/>
      <c r="AI57" s="275"/>
      <c r="AJ57" s="510"/>
      <c r="AK57" s="275"/>
      <c r="AL57" s="510"/>
      <c r="AM57" s="275"/>
      <c r="AN57" s="510"/>
    </row>
    <row r="58" spans="1:40" s="337" customFormat="1" ht="15" customHeight="1">
      <c r="A58" s="334" t="s">
        <v>526</v>
      </c>
      <c r="B58" s="335" t="s">
        <v>451</v>
      </c>
      <c r="C58" s="336">
        <v>367459</v>
      </c>
      <c r="D58" s="305">
        <v>9</v>
      </c>
      <c r="E58" s="275">
        <v>2125</v>
      </c>
      <c r="F58" s="510">
        <v>2125</v>
      </c>
      <c r="G58" s="275">
        <v>4195</v>
      </c>
      <c r="H58" s="510">
        <v>4195</v>
      </c>
      <c r="I58" s="275"/>
      <c r="J58" s="510"/>
      <c r="K58" s="275"/>
      <c r="L58" s="510"/>
      <c r="M58" s="275"/>
      <c r="N58" s="510"/>
      <c r="O58" s="275"/>
      <c r="P58" s="510"/>
      <c r="Q58" s="275"/>
      <c r="R58" s="510"/>
      <c r="S58" s="275"/>
      <c r="T58" s="510"/>
      <c r="U58" s="275"/>
      <c r="V58" s="510"/>
      <c r="W58" s="275"/>
      <c r="X58" s="510"/>
      <c r="Y58" s="275"/>
      <c r="Z58" s="510"/>
      <c r="AA58" s="275"/>
      <c r="AB58" s="510"/>
      <c r="AC58" s="275"/>
      <c r="AD58" s="510"/>
      <c r="AE58" s="275"/>
      <c r="AF58" s="510"/>
      <c r="AG58" s="275"/>
      <c r="AH58" s="510"/>
      <c r="AI58" s="275"/>
      <c r="AJ58" s="510"/>
      <c r="AK58" s="275"/>
      <c r="AL58" s="510"/>
      <c r="AM58" s="275"/>
      <c r="AN58" s="510"/>
    </row>
    <row r="59" spans="1:40" s="337" customFormat="1" ht="15" customHeight="1">
      <c r="A59" s="334" t="s">
        <v>526</v>
      </c>
      <c r="B59" s="335" t="s">
        <v>452</v>
      </c>
      <c r="C59" s="336">
        <v>107327</v>
      </c>
      <c r="D59" s="305">
        <v>10</v>
      </c>
      <c r="E59" s="275">
        <v>1660</v>
      </c>
      <c r="F59" s="510">
        <v>1690</v>
      </c>
      <c r="G59" s="275">
        <v>3460</v>
      </c>
      <c r="H59" s="510">
        <v>3490</v>
      </c>
      <c r="I59" s="275"/>
      <c r="J59" s="510"/>
      <c r="K59" s="275"/>
      <c r="L59" s="510"/>
      <c r="M59" s="275"/>
      <c r="N59" s="510"/>
      <c r="O59" s="275"/>
      <c r="P59" s="510"/>
      <c r="Q59" s="275"/>
      <c r="R59" s="510"/>
      <c r="S59" s="275"/>
      <c r="T59" s="510"/>
      <c r="U59" s="275"/>
      <c r="V59" s="510"/>
      <c r="W59" s="275"/>
      <c r="X59" s="510"/>
      <c r="Y59" s="275"/>
      <c r="Z59" s="510"/>
      <c r="AA59" s="275"/>
      <c r="AB59" s="510"/>
      <c r="AC59" s="275"/>
      <c r="AD59" s="510"/>
      <c r="AE59" s="275"/>
      <c r="AF59" s="510"/>
      <c r="AG59" s="275"/>
      <c r="AH59" s="510"/>
      <c r="AI59" s="275"/>
      <c r="AJ59" s="510"/>
      <c r="AK59" s="275"/>
      <c r="AL59" s="510"/>
      <c r="AM59" s="275"/>
      <c r="AN59" s="510"/>
    </row>
    <row r="60" spans="1:40" s="337" customFormat="1" ht="15" customHeight="1">
      <c r="A60" s="334" t="s">
        <v>526</v>
      </c>
      <c r="B60" s="335" t="s">
        <v>453</v>
      </c>
      <c r="C60" s="336">
        <v>420538</v>
      </c>
      <c r="D60" s="305">
        <v>10</v>
      </c>
      <c r="E60" s="275">
        <v>2370</v>
      </c>
      <c r="F60" s="510">
        <v>2370</v>
      </c>
      <c r="G60" s="275">
        <v>3900</v>
      </c>
      <c r="H60" s="510">
        <v>3900</v>
      </c>
      <c r="I60" s="275"/>
      <c r="J60" s="510"/>
      <c r="K60" s="275"/>
      <c r="L60" s="510"/>
      <c r="M60" s="275"/>
      <c r="N60" s="510"/>
      <c r="O60" s="275"/>
      <c r="P60" s="510"/>
      <c r="Q60" s="275"/>
      <c r="R60" s="510"/>
      <c r="S60" s="275"/>
      <c r="T60" s="510"/>
      <c r="U60" s="275"/>
      <c r="V60" s="510"/>
      <c r="W60" s="275"/>
      <c r="X60" s="510"/>
      <c r="Y60" s="275"/>
      <c r="Z60" s="510"/>
      <c r="AA60" s="275"/>
      <c r="AB60" s="510"/>
      <c r="AC60" s="275"/>
      <c r="AD60" s="510"/>
      <c r="AE60" s="275"/>
      <c r="AF60" s="510"/>
      <c r="AG60" s="275"/>
      <c r="AH60" s="510"/>
      <c r="AI60" s="275"/>
      <c r="AJ60" s="510"/>
      <c r="AK60" s="275"/>
      <c r="AL60" s="510"/>
      <c r="AM60" s="275"/>
      <c r="AN60" s="510"/>
    </row>
    <row r="61" spans="1:40" s="337" customFormat="1" ht="15" customHeight="1">
      <c r="A61" s="334" t="s">
        <v>526</v>
      </c>
      <c r="B61" s="335" t="s">
        <v>454</v>
      </c>
      <c r="C61" s="342">
        <v>440402</v>
      </c>
      <c r="D61" s="305">
        <v>10</v>
      </c>
      <c r="E61" s="275">
        <v>2280</v>
      </c>
      <c r="F61" s="510">
        <v>2340</v>
      </c>
      <c r="G61" s="275">
        <v>3810</v>
      </c>
      <c r="H61" s="510">
        <v>3930</v>
      </c>
      <c r="I61" s="275"/>
      <c r="J61" s="510"/>
      <c r="K61" s="275"/>
      <c r="L61" s="510"/>
      <c r="M61" s="275"/>
      <c r="N61" s="510"/>
      <c r="O61" s="275"/>
      <c r="P61" s="510"/>
      <c r="Q61" s="275"/>
      <c r="R61" s="510"/>
      <c r="S61" s="275"/>
      <c r="T61" s="510"/>
      <c r="U61" s="275"/>
      <c r="V61" s="510"/>
      <c r="W61" s="275"/>
      <c r="X61" s="510"/>
      <c r="Y61" s="275"/>
      <c r="Z61" s="510"/>
      <c r="AA61" s="275"/>
      <c r="AB61" s="510"/>
      <c r="AC61" s="275"/>
      <c r="AD61" s="510"/>
      <c r="AE61" s="275"/>
      <c r="AF61" s="510"/>
      <c r="AG61" s="275"/>
      <c r="AH61" s="510"/>
      <c r="AI61" s="275"/>
      <c r="AJ61" s="510"/>
      <c r="AK61" s="275"/>
      <c r="AL61" s="510"/>
      <c r="AM61" s="275"/>
      <c r="AN61" s="510"/>
    </row>
    <row r="62" spans="1:40" s="337" customFormat="1" ht="15" customHeight="1">
      <c r="A62" s="334" t="s">
        <v>526</v>
      </c>
      <c r="B62" s="335" t="s">
        <v>455</v>
      </c>
      <c r="C62" s="336">
        <v>106625</v>
      </c>
      <c r="D62" s="305">
        <v>10</v>
      </c>
      <c r="E62" s="275">
        <v>2070</v>
      </c>
      <c r="F62" s="510">
        <v>2070</v>
      </c>
      <c r="G62" s="275">
        <v>5430</v>
      </c>
      <c r="H62" s="510">
        <v>5430</v>
      </c>
      <c r="I62" s="275"/>
      <c r="J62" s="510"/>
      <c r="K62" s="275"/>
      <c r="L62" s="510"/>
      <c r="M62" s="275"/>
      <c r="N62" s="510"/>
      <c r="O62" s="275"/>
      <c r="P62" s="510"/>
      <c r="Q62" s="275"/>
      <c r="R62" s="510"/>
      <c r="S62" s="275"/>
      <c r="T62" s="510"/>
      <c r="U62" s="275"/>
      <c r="V62" s="510"/>
      <c r="W62" s="275"/>
      <c r="X62" s="510"/>
      <c r="Y62" s="275"/>
      <c r="Z62" s="510"/>
      <c r="AA62" s="275"/>
      <c r="AB62" s="510"/>
      <c r="AC62" s="275"/>
      <c r="AD62" s="510"/>
      <c r="AE62" s="275"/>
      <c r="AF62" s="510"/>
      <c r="AG62" s="275"/>
      <c r="AH62" s="510"/>
      <c r="AI62" s="275"/>
      <c r="AJ62" s="510"/>
      <c r="AK62" s="275"/>
      <c r="AL62" s="510"/>
      <c r="AM62" s="275"/>
      <c r="AN62" s="510"/>
    </row>
    <row r="63" spans="1:40" s="337" customFormat="1" ht="15" customHeight="1">
      <c r="A63" s="334" t="s">
        <v>526</v>
      </c>
      <c r="B63" s="343" t="s">
        <v>456</v>
      </c>
      <c r="C63" s="336">
        <v>106795</v>
      </c>
      <c r="D63" s="305">
        <v>10</v>
      </c>
      <c r="E63" s="275">
        <v>1620</v>
      </c>
      <c r="F63" s="510">
        <v>1620</v>
      </c>
      <c r="G63" s="275">
        <v>5220</v>
      </c>
      <c r="H63" s="510">
        <v>5220</v>
      </c>
      <c r="I63" s="275"/>
      <c r="J63" s="510"/>
      <c r="K63" s="275"/>
      <c r="L63" s="510"/>
      <c r="M63" s="275"/>
      <c r="N63" s="510"/>
      <c r="O63" s="275"/>
      <c r="P63" s="510"/>
      <c r="Q63" s="275"/>
      <c r="R63" s="510"/>
      <c r="S63" s="275"/>
      <c r="T63" s="510"/>
      <c r="U63" s="275"/>
      <c r="V63" s="510"/>
      <c r="W63" s="275"/>
      <c r="X63" s="510"/>
      <c r="Y63" s="275"/>
      <c r="Z63" s="510"/>
      <c r="AA63" s="275"/>
      <c r="AB63" s="510"/>
      <c r="AC63" s="275"/>
      <c r="AD63" s="510"/>
      <c r="AE63" s="275"/>
      <c r="AF63" s="510"/>
      <c r="AG63" s="275"/>
      <c r="AH63" s="510"/>
      <c r="AI63" s="275"/>
      <c r="AJ63" s="510"/>
      <c r="AK63" s="275"/>
      <c r="AL63" s="510"/>
      <c r="AM63" s="275"/>
      <c r="AN63" s="510"/>
    </row>
    <row r="64" spans="1:40" s="337" customFormat="1" ht="15" customHeight="1">
      <c r="A64" s="334" t="s">
        <v>526</v>
      </c>
      <c r="B64" s="335" t="s">
        <v>457</v>
      </c>
      <c r="C64" s="336">
        <v>106883</v>
      </c>
      <c r="D64" s="305">
        <v>10</v>
      </c>
      <c r="E64" s="275">
        <v>1620</v>
      </c>
      <c r="F64" s="510">
        <v>1770</v>
      </c>
      <c r="G64" s="275">
        <v>2220</v>
      </c>
      <c r="H64" s="510">
        <v>2370</v>
      </c>
      <c r="I64" s="275"/>
      <c r="J64" s="510"/>
      <c r="K64" s="275"/>
      <c r="L64" s="510"/>
      <c r="M64" s="275"/>
      <c r="N64" s="510"/>
      <c r="O64" s="275"/>
      <c r="P64" s="510"/>
      <c r="Q64" s="275"/>
      <c r="R64" s="510"/>
      <c r="S64" s="275"/>
      <c r="T64" s="510"/>
      <c r="U64" s="275"/>
      <c r="V64" s="510"/>
      <c r="W64" s="275"/>
      <c r="X64" s="510"/>
      <c r="Y64" s="275"/>
      <c r="Z64" s="510"/>
      <c r="AA64" s="275"/>
      <c r="AB64" s="510"/>
      <c r="AC64" s="275"/>
      <c r="AD64" s="510"/>
      <c r="AE64" s="275"/>
      <c r="AF64" s="510"/>
      <c r="AG64" s="275"/>
      <c r="AH64" s="510"/>
      <c r="AI64" s="275"/>
      <c r="AJ64" s="510"/>
      <c r="AK64" s="275"/>
      <c r="AL64" s="510"/>
      <c r="AM64" s="275"/>
      <c r="AN64" s="510"/>
    </row>
    <row r="65" spans="1:40" s="337" customFormat="1" ht="15" customHeight="1">
      <c r="A65" s="334" t="s">
        <v>526</v>
      </c>
      <c r="B65" s="335" t="s">
        <v>458</v>
      </c>
      <c r="C65" s="336">
        <v>107318</v>
      </c>
      <c r="D65" s="305">
        <v>10</v>
      </c>
      <c r="E65" s="275">
        <v>1620</v>
      </c>
      <c r="F65" s="510">
        <v>1800</v>
      </c>
      <c r="G65" s="275">
        <v>3360</v>
      </c>
      <c r="H65" s="510">
        <v>3600</v>
      </c>
      <c r="I65" s="275"/>
      <c r="J65" s="510"/>
      <c r="K65" s="275"/>
      <c r="L65" s="510"/>
      <c r="M65" s="275"/>
      <c r="N65" s="510"/>
      <c r="O65" s="275"/>
      <c r="P65" s="510"/>
      <c r="Q65" s="275"/>
      <c r="R65" s="510"/>
      <c r="S65" s="275"/>
      <c r="T65" s="510"/>
      <c r="U65" s="275"/>
      <c r="V65" s="510"/>
      <c r="W65" s="275"/>
      <c r="X65" s="510"/>
      <c r="Y65" s="275"/>
      <c r="Z65" s="510"/>
      <c r="AA65" s="275"/>
      <c r="AB65" s="510"/>
      <c r="AC65" s="275"/>
      <c r="AD65" s="510"/>
      <c r="AE65" s="275"/>
      <c r="AF65" s="510"/>
      <c r="AG65" s="275"/>
      <c r="AH65" s="510"/>
      <c r="AI65" s="275"/>
      <c r="AJ65" s="510"/>
      <c r="AK65" s="275"/>
      <c r="AL65" s="510"/>
      <c r="AM65" s="275"/>
      <c r="AN65" s="510"/>
    </row>
    <row r="66" spans="1:40" s="337" customFormat="1" ht="15" customHeight="1">
      <c r="A66" s="334" t="s">
        <v>526</v>
      </c>
      <c r="B66" s="335" t="s">
        <v>459</v>
      </c>
      <c r="C66" s="336">
        <v>106980</v>
      </c>
      <c r="D66" s="305">
        <v>10</v>
      </c>
      <c r="E66" s="275">
        <v>1730</v>
      </c>
      <c r="F66" s="510">
        <v>1830</v>
      </c>
      <c r="G66" s="275">
        <v>3950</v>
      </c>
      <c r="H66" s="510">
        <v>4050</v>
      </c>
      <c r="I66" s="275"/>
      <c r="J66" s="510"/>
      <c r="K66" s="275"/>
      <c r="L66" s="510"/>
      <c r="M66" s="275"/>
      <c r="N66" s="510"/>
      <c r="O66" s="275"/>
      <c r="P66" s="510"/>
      <c r="Q66" s="275"/>
      <c r="R66" s="510"/>
      <c r="S66" s="275"/>
      <c r="T66" s="510"/>
      <c r="U66" s="275"/>
      <c r="V66" s="510"/>
      <c r="W66" s="275"/>
      <c r="X66" s="510"/>
      <c r="Y66" s="275"/>
      <c r="Z66" s="510"/>
      <c r="AA66" s="275"/>
      <c r="AB66" s="510"/>
      <c r="AC66" s="275"/>
      <c r="AD66" s="510"/>
      <c r="AE66" s="275"/>
      <c r="AF66" s="510"/>
      <c r="AG66" s="275"/>
      <c r="AH66" s="510"/>
      <c r="AI66" s="275"/>
      <c r="AJ66" s="510"/>
      <c r="AK66" s="275"/>
      <c r="AL66" s="510"/>
      <c r="AM66" s="275"/>
      <c r="AN66" s="510"/>
    </row>
    <row r="67" spans="1:40" s="337" customFormat="1" ht="15" customHeight="1">
      <c r="A67" s="334" t="s">
        <v>526</v>
      </c>
      <c r="B67" s="335" t="s">
        <v>460</v>
      </c>
      <c r="C67" s="336">
        <v>107460</v>
      </c>
      <c r="D67" s="305">
        <v>10</v>
      </c>
      <c r="E67" s="275">
        <v>1680</v>
      </c>
      <c r="F67" s="510">
        <v>1710</v>
      </c>
      <c r="G67" s="275">
        <v>4380</v>
      </c>
      <c r="H67" s="510">
        <v>4470</v>
      </c>
      <c r="I67" s="275"/>
      <c r="J67" s="510"/>
      <c r="K67" s="275"/>
      <c r="L67" s="510"/>
      <c r="M67" s="275"/>
      <c r="N67" s="510"/>
      <c r="O67" s="275"/>
      <c r="P67" s="510"/>
      <c r="Q67" s="275"/>
      <c r="R67" s="510"/>
      <c r="S67" s="275"/>
      <c r="T67" s="510"/>
      <c r="U67" s="275"/>
      <c r="V67" s="510"/>
      <c r="W67" s="275"/>
      <c r="X67" s="510"/>
      <c r="Y67" s="275"/>
      <c r="Z67" s="510"/>
      <c r="AA67" s="275"/>
      <c r="AB67" s="510"/>
      <c r="AC67" s="275"/>
      <c r="AD67" s="510"/>
      <c r="AE67" s="275"/>
      <c r="AF67" s="510"/>
      <c r="AG67" s="275"/>
      <c r="AH67" s="510"/>
      <c r="AI67" s="275"/>
      <c r="AJ67" s="510"/>
      <c r="AK67" s="275"/>
      <c r="AL67" s="510"/>
      <c r="AM67" s="275"/>
      <c r="AN67" s="510"/>
    </row>
    <row r="68" spans="1:40" s="337" customFormat="1" ht="15" customHeight="1">
      <c r="A68" s="334" t="s">
        <v>526</v>
      </c>
      <c r="B68" s="335" t="s">
        <v>461</v>
      </c>
      <c r="C68" s="336">
        <v>107521</v>
      </c>
      <c r="D68" s="305">
        <v>10</v>
      </c>
      <c r="E68" s="275">
        <v>1980</v>
      </c>
      <c r="F68" s="510">
        <v>2040</v>
      </c>
      <c r="G68" s="275">
        <v>3540</v>
      </c>
      <c r="H68" s="510">
        <v>3630</v>
      </c>
      <c r="I68" s="275"/>
      <c r="J68" s="510"/>
      <c r="K68" s="275"/>
      <c r="L68" s="510"/>
      <c r="M68" s="275"/>
      <c r="N68" s="510"/>
      <c r="O68" s="275"/>
      <c r="P68" s="510"/>
      <c r="Q68" s="275"/>
      <c r="R68" s="510"/>
      <c r="S68" s="275"/>
      <c r="T68" s="510"/>
      <c r="U68" s="275"/>
      <c r="V68" s="510"/>
      <c r="W68" s="275"/>
      <c r="X68" s="510"/>
      <c r="Y68" s="275"/>
      <c r="Z68" s="510"/>
      <c r="AA68" s="275"/>
      <c r="AB68" s="510"/>
      <c r="AC68" s="275"/>
      <c r="AD68" s="510"/>
      <c r="AE68" s="275"/>
      <c r="AF68" s="510"/>
      <c r="AG68" s="275"/>
      <c r="AH68" s="510"/>
      <c r="AI68" s="275"/>
      <c r="AJ68" s="510"/>
      <c r="AK68" s="275"/>
      <c r="AL68" s="510"/>
      <c r="AM68" s="275"/>
      <c r="AN68" s="510"/>
    </row>
    <row r="69" spans="1:40" s="337" customFormat="1" ht="15" customHeight="1">
      <c r="A69" s="334" t="s">
        <v>526</v>
      </c>
      <c r="B69" s="335" t="s">
        <v>462</v>
      </c>
      <c r="C69" s="336">
        <v>107549</v>
      </c>
      <c r="D69" s="305">
        <v>10</v>
      </c>
      <c r="E69" s="275">
        <v>2360</v>
      </c>
      <c r="F69" s="510">
        <v>2365</v>
      </c>
      <c r="G69" s="275">
        <v>5450</v>
      </c>
      <c r="H69" s="510">
        <v>5455</v>
      </c>
      <c r="I69" s="275"/>
      <c r="J69" s="510"/>
      <c r="K69" s="275"/>
      <c r="L69" s="510"/>
      <c r="M69" s="275"/>
      <c r="N69" s="510"/>
      <c r="O69" s="275"/>
      <c r="P69" s="510"/>
      <c r="Q69" s="275"/>
      <c r="R69" s="510"/>
      <c r="S69" s="275"/>
      <c r="T69" s="510"/>
      <c r="U69" s="275"/>
      <c r="V69" s="510"/>
      <c r="W69" s="275"/>
      <c r="X69" s="510"/>
      <c r="Y69" s="275"/>
      <c r="Z69" s="510"/>
      <c r="AA69" s="275"/>
      <c r="AB69" s="510"/>
      <c r="AC69" s="275"/>
      <c r="AD69" s="510"/>
      <c r="AE69" s="275"/>
      <c r="AF69" s="510"/>
      <c r="AG69" s="275"/>
      <c r="AH69" s="510"/>
      <c r="AI69" s="275"/>
      <c r="AJ69" s="510"/>
      <c r="AK69" s="275"/>
      <c r="AL69" s="510"/>
      <c r="AM69" s="275"/>
      <c r="AN69" s="510"/>
    </row>
    <row r="70" spans="1:40" s="337" customFormat="1" ht="15" customHeight="1">
      <c r="A70" s="334" t="s">
        <v>526</v>
      </c>
      <c r="B70" s="335" t="s">
        <v>463</v>
      </c>
      <c r="C70" s="336">
        <v>107619</v>
      </c>
      <c r="D70" s="305">
        <v>10</v>
      </c>
      <c r="E70" s="275">
        <v>1910</v>
      </c>
      <c r="F70" s="510">
        <v>1910</v>
      </c>
      <c r="G70" s="275">
        <v>3320</v>
      </c>
      <c r="H70" s="510">
        <v>3320</v>
      </c>
      <c r="I70" s="275"/>
      <c r="J70" s="510"/>
      <c r="K70" s="275"/>
      <c r="L70" s="510"/>
      <c r="M70" s="275"/>
      <c r="N70" s="510"/>
      <c r="O70" s="275"/>
      <c r="P70" s="510"/>
      <c r="Q70" s="275"/>
      <c r="R70" s="510"/>
      <c r="S70" s="275"/>
      <c r="T70" s="510"/>
      <c r="U70" s="275"/>
      <c r="V70" s="510"/>
      <c r="W70" s="275"/>
      <c r="X70" s="510"/>
      <c r="Y70" s="275"/>
      <c r="Z70" s="510"/>
      <c r="AA70" s="275"/>
      <c r="AB70" s="510"/>
      <c r="AC70" s="275"/>
      <c r="AD70" s="510"/>
      <c r="AE70" s="275"/>
      <c r="AF70" s="510"/>
      <c r="AG70" s="275"/>
      <c r="AH70" s="510"/>
      <c r="AI70" s="275"/>
      <c r="AJ70" s="510"/>
      <c r="AK70" s="275"/>
      <c r="AL70" s="510"/>
      <c r="AM70" s="275"/>
      <c r="AN70" s="510"/>
    </row>
    <row r="71" spans="1:40" s="337" customFormat="1" ht="15" customHeight="1">
      <c r="A71" s="334" t="s">
        <v>526</v>
      </c>
      <c r="B71" s="335" t="s">
        <v>464</v>
      </c>
      <c r="C71" s="336">
        <v>107743</v>
      </c>
      <c r="D71" s="305">
        <v>10</v>
      </c>
      <c r="E71" s="275">
        <v>1440</v>
      </c>
      <c r="F71" s="510">
        <v>1440</v>
      </c>
      <c r="G71" s="275">
        <v>5190</v>
      </c>
      <c r="H71" s="510">
        <v>5190</v>
      </c>
      <c r="I71" s="275"/>
      <c r="J71" s="510"/>
      <c r="K71" s="275"/>
      <c r="L71" s="510"/>
      <c r="M71" s="275"/>
      <c r="N71" s="510"/>
      <c r="O71" s="275"/>
      <c r="P71" s="510"/>
      <c r="Q71" s="275"/>
      <c r="R71" s="510"/>
      <c r="S71" s="275"/>
      <c r="T71" s="510"/>
      <c r="U71" s="275"/>
      <c r="V71" s="510"/>
      <c r="W71" s="275"/>
      <c r="X71" s="510"/>
      <c r="Y71" s="275"/>
      <c r="Z71" s="510"/>
      <c r="AA71" s="275"/>
      <c r="AB71" s="510"/>
      <c r="AC71" s="275"/>
      <c r="AD71" s="510"/>
      <c r="AE71" s="275"/>
      <c r="AF71" s="510"/>
      <c r="AG71" s="275"/>
      <c r="AH71" s="510"/>
      <c r="AI71" s="275"/>
      <c r="AJ71" s="510"/>
      <c r="AK71" s="275"/>
      <c r="AL71" s="510"/>
      <c r="AM71" s="275"/>
      <c r="AN71" s="510"/>
    </row>
    <row r="72" spans="1:40" s="337" customFormat="1" ht="15" customHeight="1">
      <c r="A72" s="334" t="s">
        <v>526</v>
      </c>
      <c r="B72" s="335" t="s">
        <v>465</v>
      </c>
      <c r="C72" s="336">
        <v>107974</v>
      </c>
      <c r="D72" s="305">
        <v>10</v>
      </c>
      <c r="E72" s="275">
        <v>1900</v>
      </c>
      <c r="F72" s="510">
        <v>1990</v>
      </c>
      <c r="G72" s="275">
        <v>3790</v>
      </c>
      <c r="H72" s="510">
        <v>3880</v>
      </c>
      <c r="I72" s="275"/>
      <c r="J72" s="510"/>
      <c r="K72" s="275"/>
      <c r="L72" s="510"/>
      <c r="M72" s="275"/>
      <c r="N72" s="510"/>
      <c r="O72" s="275"/>
      <c r="P72" s="510"/>
      <c r="Q72" s="275"/>
      <c r="R72" s="510"/>
      <c r="S72" s="275"/>
      <c r="T72" s="510"/>
      <c r="U72" s="275"/>
      <c r="V72" s="510"/>
      <c r="W72" s="275"/>
      <c r="X72" s="510"/>
      <c r="Y72" s="275"/>
      <c r="Z72" s="510"/>
      <c r="AA72" s="275"/>
      <c r="AB72" s="510"/>
      <c r="AC72" s="275"/>
      <c r="AD72" s="510"/>
      <c r="AE72" s="275"/>
      <c r="AF72" s="510"/>
      <c r="AG72" s="275"/>
      <c r="AH72" s="510"/>
      <c r="AI72" s="275"/>
      <c r="AJ72" s="510"/>
      <c r="AK72" s="275"/>
      <c r="AL72" s="510"/>
      <c r="AM72" s="275"/>
      <c r="AN72" s="510"/>
    </row>
    <row r="73" spans="1:40" s="337" customFormat="1" ht="15" customHeight="1">
      <c r="A73" s="334" t="s">
        <v>526</v>
      </c>
      <c r="B73" s="335" t="s">
        <v>466</v>
      </c>
      <c r="C73" s="336">
        <v>107637</v>
      </c>
      <c r="D73" s="305">
        <v>10</v>
      </c>
      <c r="E73" s="275">
        <v>1720</v>
      </c>
      <c r="F73" s="510">
        <v>1780</v>
      </c>
      <c r="G73" s="275">
        <v>3220</v>
      </c>
      <c r="H73" s="510">
        <v>3280</v>
      </c>
      <c r="I73" s="275"/>
      <c r="J73" s="510"/>
      <c r="K73" s="275"/>
      <c r="L73" s="510"/>
      <c r="M73" s="275"/>
      <c r="N73" s="510"/>
      <c r="O73" s="275"/>
      <c r="P73" s="510"/>
      <c r="Q73" s="275"/>
      <c r="R73" s="510"/>
      <c r="S73" s="275"/>
      <c r="T73" s="510"/>
      <c r="U73" s="275"/>
      <c r="V73" s="510"/>
      <c r="W73" s="275"/>
      <c r="X73" s="510"/>
      <c r="Y73" s="275"/>
      <c r="Z73" s="510"/>
      <c r="AA73" s="275"/>
      <c r="AB73" s="510"/>
      <c r="AC73" s="275"/>
      <c r="AD73" s="510"/>
      <c r="AE73" s="275"/>
      <c r="AF73" s="510"/>
      <c r="AG73" s="275"/>
      <c r="AH73" s="510"/>
      <c r="AI73" s="275"/>
      <c r="AJ73" s="510"/>
      <c r="AK73" s="275"/>
      <c r="AL73" s="510"/>
      <c r="AM73" s="275"/>
      <c r="AN73" s="510"/>
    </row>
    <row r="74" spans="1:40" s="337" customFormat="1" ht="15" customHeight="1">
      <c r="A74" s="334" t="s">
        <v>526</v>
      </c>
      <c r="B74" s="335" t="s">
        <v>467</v>
      </c>
      <c r="C74" s="336">
        <v>107992</v>
      </c>
      <c r="D74" s="305">
        <v>10</v>
      </c>
      <c r="E74" s="275">
        <v>2520</v>
      </c>
      <c r="F74" s="510">
        <v>2520</v>
      </c>
      <c r="G74" s="275">
        <v>3150</v>
      </c>
      <c r="H74" s="510">
        <v>3150</v>
      </c>
      <c r="I74" s="275"/>
      <c r="J74" s="510"/>
      <c r="K74" s="275"/>
      <c r="L74" s="510"/>
      <c r="M74" s="275"/>
      <c r="N74" s="510"/>
      <c r="O74" s="275"/>
      <c r="P74" s="510"/>
      <c r="Q74" s="275"/>
      <c r="R74" s="510"/>
      <c r="S74" s="275"/>
      <c r="T74" s="510"/>
      <c r="U74" s="275"/>
      <c r="V74" s="510"/>
      <c r="W74" s="275"/>
      <c r="X74" s="510"/>
      <c r="Y74" s="275"/>
      <c r="Z74" s="510"/>
      <c r="AA74" s="275"/>
      <c r="AB74" s="510"/>
      <c r="AC74" s="275"/>
      <c r="AD74" s="510"/>
      <c r="AE74" s="275"/>
      <c r="AF74" s="510"/>
      <c r="AG74" s="275"/>
      <c r="AH74" s="510"/>
      <c r="AI74" s="275"/>
      <c r="AJ74" s="510"/>
      <c r="AK74" s="275"/>
      <c r="AL74" s="510"/>
      <c r="AM74" s="275"/>
      <c r="AN74" s="510"/>
    </row>
    <row r="75" spans="1:40" s="337" customFormat="1" ht="15" customHeight="1">
      <c r="A75" s="334" t="s">
        <v>526</v>
      </c>
      <c r="B75" s="335" t="s">
        <v>468</v>
      </c>
      <c r="C75" s="336">
        <v>106999</v>
      </c>
      <c r="D75" s="305">
        <v>10</v>
      </c>
      <c r="E75" s="275">
        <v>1900</v>
      </c>
      <c r="F75" s="510">
        <v>1990</v>
      </c>
      <c r="G75" s="275">
        <v>4000</v>
      </c>
      <c r="H75" s="510">
        <v>4090</v>
      </c>
      <c r="I75" s="275"/>
      <c r="J75" s="510"/>
      <c r="K75" s="275"/>
      <c r="L75" s="510"/>
      <c r="M75" s="275"/>
      <c r="N75" s="510"/>
      <c r="O75" s="275"/>
      <c r="P75" s="510"/>
      <c r="Q75" s="275"/>
      <c r="R75" s="510"/>
      <c r="S75" s="275"/>
      <c r="T75" s="510"/>
      <c r="U75" s="275"/>
      <c r="V75" s="510"/>
      <c r="W75" s="275"/>
      <c r="X75" s="510"/>
      <c r="Y75" s="275"/>
      <c r="Z75" s="510"/>
      <c r="AA75" s="275"/>
      <c r="AB75" s="510"/>
      <c r="AC75" s="275"/>
      <c r="AD75" s="510"/>
      <c r="AE75" s="275"/>
      <c r="AF75" s="510"/>
      <c r="AG75" s="275"/>
      <c r="AH75" s="510"/>
      <c r="AI75" s="275"/>
      <c r="AJ75" s="510"/>
      <c r="AK75" s="275"/>
      <c r="AL75" s="510"/>
      <c r="AM75" s="275"/>
      <c r="AN75" s="510"/>
    </row>
    <row r="76" spans="1:40" s="337" customFormat="1" ht="15" customHeight="1">
      <c r="A76" s="334" t="s">
        <v>526</v>
      </c>
      <c r="B76" s="335" t="s">
        <v>469</v>
      </c>
      <c r="C76" s="336">
        <v>107725</v>
      </c>
      <c r="D76" s="305">
        <v>10</v>
      </c>
      <c r="E76" s="275">
        <v>1798</v>
      </c>
      <c r="F76" s="510">
        <v>1866</v>
      </c>
      <c r="G76" s="275">
        <v>3628</v>
      </c>
      <c r="H76" s="510">
        <v>3696</v>
      </c>
      <c r="I76" s="275"/>
      <c r="J76" s="510"/>
      <c r="K76" s="275"/>
      <c r="L76" s="510"/>
      <c r="M76" s="275"/>
      <c r="N76" s="510"/>
      <c r="O76" s="275"/>
      <c r="P76" s="510"/>
      <c r="Q76" s="275"/>
      <c r="R76" s="510"/>
      <c r="S76" s="275"/>
      <c r="T76" s="510"/>
      <c r="U76" s="275"/>
      <c r="V76" s="510"/>
      <c r="W76" s="275"/>
      <c r="X76" s="510"/>
      <c r="Y76" s="275"/>
      <c r="Z76" s="510"/>
      <c r="AA76" s="275"/>
      <c r="AB76" s="510"/>
      <c r="AC76" s="275"/>
      <c r="AD76" s="510"/>
      <c r="AE76" s="275"/>
      <c r="AF76" s="510"/>
      <c r="AG76" s="275"/>
      <c r="AH76" s="510"/>
      <c r="AI76" s="275"/>
      <c r="AJ76" s="510"/>
      <c r="AK76" s="275"/>
      <c r="AL76" s="510"/>
      <c r="AM76" s="275"/>
      <c r="AN76" s="510"/>
    </row>
    <row r="77" spans="1:40" s="337" customFormat="1" ht="15" customHeight="1">
      <c r="A77" s="334" t="s">
        <v>526</v>
      </c>
      <c r="B77" s="343" t="s">
        <v>470</v>
      </c>
      <c r="C77" s="336">
        <v>107585</v>
      </c>
      <c r="D77" s="305">
        <v>10</v>
      </c>
      <c r="E77" s="275">
        <v>2430</v>
      </c>
      <c r="F77" s="510">
        <v>2430</v>
      </c>
      <c r="G77" s="275">
        <v>3570</v>
      </c>
      <c r="H77" s="510">
        <v>3570</v>
      </c>
      <c r="I77" s="275"/>
      <c r="J77" s="510"/>
      <c r="K77" s="275"/>
      <c r="L77" s="510"/>
      <c r="M77" s="275"/>
      <c r="N77" s="510"/>
      <c r="O77" s="275"/>
      <c r="P77" s="510"/>
      <c r="Q77" s="275"/>
      <c r="R77" s="510"/>
      <c r="S77" s="275"/>
      <c r="T77" s="510"/>
      <c r="U77" s="275"/>
      <c r="V77" s="510"/>
      <c r="W77" s="275"/>
      <c r="X77" s="510"/>
      <c r="Y77" s="275"/>
      <c r="Z77" s="510"/>
      <c r="AA77" s="275"/>
      <c r="AB77" s="510"/>
      <c r="AC77" s="275"/>
      <c r="AD77" s="510"/>
      <c r="AE77" s="275"/>
      <c r="AF77" s="510"/>
      <c r="AG77" s="275"/>
      <c r="AH77" s="510"/>
      <c r="AI77" s="275"/>
      <c r="AJ77" s="510"/>
      <c r="AK77" s="275"/>
      <c r="AL77" s="510"/>
      <c r="AM77" s="275"/>
      <c r="AN77" s="510"/>
    </row>
    <row r="78" spans="1:40" s="337" customFormat="1" ht="15" customHeight="1">
      <c r="A78" s="334" t="s">
        <v>526</v>
      </c>
      <c r="B78" s="335" t="s">
        <v>471</v>
      </c>
      <c r="C78" s="336">
        <v>106263</v>
      </c>
      <c r="D78" s="305">
        <v>15</v>
      </c>
      <c r="E78" s="275">
        <v>4447</v>
      </c>
      <c r="F78" s="510">
        <v>4706</v>
      </c>
      <c r="G78" s="275">
        <v>10831</v>
      </c>
      <c r="H78" s="510">
        <v>11402</v>
      </c>
      <c r="I78" s="275">
        <v>5215</v>
      </c>
      <c r="J78" s="510">
        <v>5518</v>
      </c>
      <c r="K78" s="275">
        <v>10975</v>
      </c>
      <c r="L78" s="510">
        <v>11578</v>
      </c>
      <c r="M78" s="275"/>
      <c r="N78" s="510"/>
      <c r="O78" s="275"/>
      <c r="P78" s="510"/>
      <c r="Q78" s="275">
        <v>15395</v>
      </c>
      <c r="R78" s="510">
        <v>16275</v>
      </c>
      <c r="S78" s="275">
        <v>30151</v>
      </c>
      <c r="T78" s="510">
        <v>31807</v>
      </c>
      <c r="U78" s="275"/>
      <c r="V78" s="510"/>
      <c r="W78" s="275"/>
      <c r="X78" s="510"/>
      <c r="Y78" s="275">
        <v>8575</v>
      </c>
      <c r="Z78" s="510">
        <v>9298</v>
      </c>
      <c r="AA78" s="275">
        <v>16975</v>
      </c>
      <c r="AB78" s="510">
        <v>18378</v>
      </c>
      <c r="AC78" s="275"/>
      <c r="AD78" s="510"/>
      <c r="AE78" s="275"/>
      <c r="AF78" s="510"/>
      <c r="AG78" s="275"/>
      <c r="AH78" s="510"/>
      <c r="AI78" s="275"/>
      <c r="AJ78" s="510"/>
      <c r="AK78" s="275"/>
      <c r="AL78" s="510"/>
      <c r="AM78" s="275"/>
      <c r="AN78" s="510"/>
    </row>
    <row r="79" spans="1:40" s="370" customFormat="1" ht="15" customHeight="1">
      <c r="A79" s="366" t="s">
        <v>527</v>
      </c>
      <c r="B79" s="367" t="s">
        <v>659</v>
      </c>
      <c r="C79" s="368">
        <v>130943</v>
      </c>
      <c r="D79" s="369">
        <v>1</v>
      </c>
      <c r="E79" s="275">
        <v>7740</v>
      </c>
      <c r="F79" s="510">
        <v>8150</v>
      </c>
      <c r="G79" s="275">
        <v>18450</v>
      </c>
      <c r="H79" s="510">
        <v>19400</v>
      </c>
      <c r="I79" s="275">
        <v>7596</v>
      </c>
      <c r="J79" s="510">
        <v>7994</v>
      </c>
      <c r="K79" s="275">
        <v>18306</v>
      </c>
      <c r="L79" s="510">
        <v>19244</v>
      </c>
      <c r="M79" s="275"/>
      <c r="N79" s="510"/>
      <c r="O79" s="275"/>
      <c r="P79" s="510"/>
      <c r="Q79" s="275"/>
      <c r="R79" s="510"/>
      <c r="S79" s="275"/>
      <c r="T79" s="510"/>
      <c r="U79" s="275"/>
      <c r="V79" s="510"/>
      <c r="W79" s="275"/>
      <c r="X79" s="510"/>
      <c r="Y79" s="275"/>
      <c r="Z79" s="510"/>
      <c r="AA79" s="275"/>
      <c r="AB79" s="510"/>
      <c r="AC79" s="275"/>
      <c r="AD79" s="510"/>
      <c r="AE79" s="275"/>
      <c r="AF79" s="510"/>
      <c r="AG79" s="275"/>
      <c r="AH79" s="510"/>
      <c r="AI79" s="275"/>
      <c r="AJ79" s="510"/>
      <c r="AK79" s="275"/>
      <c r="AL79" s="510"/>
      <c r="AM79" s="275"/>
      <c r="AN79" s="510"/>
    </row>
    <row r="80" spans="1:40" s="370" customFormat="1" ht="15" customHeight="1">
      <c r="A80" s="366" t="s">
        <v>527</v>
      </c>
      <c r="B80" s="367" t="s">
        <v>660</v>
      </c>
      <c r="C80" s="368">
        <v>130934</v>
      </c>
      <c r="D80" s="369">
        <v>4</v>
      </c>
      <c r="E80" s="275">
        <v>5746</v>
      </c>
      <c r="F80" s="510">
        <v>6146</v>
      </c>
      <c r="G80" s="275">
        <v>12044</v>
      </c>
      <c r="H80" s="510">
        <v>13100</v>
      </c>
      <c r="I80" s="275">
        <v>5746</v>
      </c>
      <c r="J80" s="510">
        <v>6542</v>
      </c>
      <c r="K80" s="275">
        <v>12044</v>
      </c>
      <c r="L80" s="510">
        <v>14066</v>
      </c>
      <c r="M80" s="275"/>
      <c r="N80" s="510"/>
      <c r="O80" s="275"/>
      <c r="P80" s="510"/>
      <c r="Q80" s="275"/>
      <c r="R80" s="510"/>
      <c r="S80" s="275"/>
      <c r="T80" s="510"/>
      <c r="U80" s="275"/>
      <c r="V80" s="510"/>
      <c r="W80" s="275"/>
      <c r="X80" s="510"/>
      <c r="Y80" s="275"/>
      <c r="Z80" s="510"/>
      <c r="AA80" s="275"/>
      <c r="AB80" s="510"/>
      <c r="AC80" s="275"/>
      <c r="AD80" s="510"/>
      <c r="AE80" s="275"/>
      <c r="AF80" s="510"/>
      <c r="AG80" s="275"/>
      <c r="AH80" s="510"/>
      <c r="AI80" s="275"/>
      <c r="AJ80" s="510"/>
      <c r="AK80" s="275"/>
      <c r="AL80" s="510"/>
      <c r="AM80" s="275"/>
      <c r="AN80" s="510"/>
    </row>
    <row r="81" spans="1:40" s="370" customFormat="1" ht="15" customHeight="1">
      <c r="A81" s="366" t="s">
        <v>527</v>
      </c>
      <c r="B81" s="366" t="s">
        <v>661</v>
      </c>
      <c r="C81" s="368">
        <v>130891</v>
      </c>
      <c r="D81" s="369">
        <v>9</v>
      </c>
      <c r="E81" s="275">
        <v>2364</v>
      </c>
      <c r="F81" s="510">
        <v>2490</v>
      </c>
      <c r="G81" s="275">
        <v>5470</v>
      </c>
      <c r="H81" s="510">
        <v>5748</v>
      </c>
      <c r="I81" s="275"/>
      <c r="J81" s="510"/>
      <c r="K81" s="275"/>
      <c r="L81" s="510"/>
      <c r="M81" s="275"/>
      <c r="N81" s="510"/>
      <c r="O81" s="275"/>
      <c r="P81" s="510"/>
      <c r="Q81" s="275"/>
      <c r="R81" s="510"/>
      <c r="S81" s="275"/>
      <c r="T81" s="510"/>
      <c r="U81" s="275"/>
      <c r="V81" s="510"/>
      <c r="W81" s="275"/>
      <c r="X81" s="510"/>
      <c r="Y81" s="275"/>
      <c r="Z81" s="510"/>
      <c r="AA81" s="275"/>
      <c r="AB81" s="510"/>
      <c r="AC81" s="275"/>
      <c r="AD81" s="510"/>
      <c r="AE81" s="275"/>
      <c r="AF81" s="510"/>
      <c r="AG81" s="275"/>
      <c r="AH81" s="510"/>
      <c r="AI81" s="275"/>
      <c r="AJ81" s="510"/>
      <c r="AK81" s="275"/>
      <c r="AL81" s="510"/>
      <c r="AM81" s="275"/>
      <c r="AN81" s="510"/>
    </row>
    <row r="82" spans="1:40" s="370" customFormat="1" ht="15" customHeight="1">
      <c r="A82" s="366" t="s">
        <v>527</v>
      </c>
      <c r="B82" s="367" t="s">
        <v>662</v>
      </c>
      <c r="C82" s="368">
        <v>130916</v>
      </c>
      <c r="D82" s="369">
        <v>9</v>
      </c>
      <c r="E82" s="275">
        <v>2364</v>
      </c>
      <c r="F82" s="510">
        <v>2490</v>
      </c>
      <c r="G82" s="275">
        <v>5470</v>
      </c>
      <c r="H82" s="510">
        <v>5748</v>
      </c>
      <c r="I82" s="275"/>
      <c r="J82" s="510"/>
      <c r="K82" s="275"/>
      <c r="L82" s="510"/>
      <c r="M82" s="275"/>
      <c r="N82" s="510"/>
      <c r="O82" s="275"/>
      <c r="P82" s="510"/>
      <c r="Q82" s="275"/>
      <c r="R82" s="510"/>
      <c r="S82" s="275"/>
      <c r="T82" s="510"/>
      <c r="U82" s="275"/>
      <c r="V82" s="510"/>
      <c r="W82" s="275"/>
      <c r="X82" s="510"/>
      <c r="Y82" s="275"/>
      <c r="Z82" s="510"/>
      <c r="AA82" s="275"/>
      <c r="AB82" s="510"/>
      <c r="AC82" s="275"/>
      <c r="AD82" s="510"/>
      <c r="AE82" s="275"/>
      <c r="AF82" s="510"/>
      <c r="AG82" s="275"/>
      <c r="AH82" s="510"/>
      <c r="AI82" s="275"/>
      <c r="AJ82" s="510"/>
      <c r="AK82" s="275"/>
      <c r="AL82" s="510"/>
      <c r="AM82" s="275"/>
      <c r="AN82" s="510"/>
    </row>
    <row r="83" spans="1:40" s="371" customFormat="1" ht="15" customHeight="1">
      <c r="A83" s="366" t="s">
        <v>527</v>
      </c>
      <c r="B83" s="445" t="s">
        <v>663</v>
      </c>
      <c r="C83" s="368">
        <v>130907</v>
      </c>
      <c r="D83" s="369">
        <v>10</v>
      </c>
      <c r="E83" s="275">
        <v>2364</v>
      </c>
      <c r="F83" s="510">
        <v>2490</v>
      </c>
      <c r="G83" s="275">
        <v>5470</v>
      </c>
      <c r="H83" s="510">
        <v>5748</v>
      </c>
      <c r="I83" s="275"/>
      <c r="J83" s="510"/>
      <c r="K83" s="275"/>
      <c r="L83" s="510"/>
      <c r="M83" s="275"/>
      <c r="N83" s="510"/>
      <c r="O83" s="275"/>
      <c r="P83" s="510"/>
      <c r="Q83" s="275"/>
      <c r="R83" s="510"/>
      <c r="S83" s="275"/>
      <c r="T83" s="510"/>
      <c r="U83" s="275"/>
      <c r="V83" s="510"/>
      <c r="W83" s="275"/>
      <c r="X83" s="510"/>
      <c r="Y83" s="275"/>
      <c r="Z83" s="510"/>
      <c r="AA83" s="275"/>
      <c r="AB83" s="510"/>
      <c r="AC83" s="275"/>
      <c r="AD83" s="510"/>
      <c r="AE83" s="275"/>
      <c r="AF83" s="510"/>
      <c r="AG83" s="275"/>
      <c r="AH83" s="510"/>
      <c r="AI83" s="275"/>
      <c r="AJ83" s="510"/>
      <c r="AK83" s="275"/>
      <c r="AL83" s="510"/>
      <c r="AM83" s="275"/>
      <c r="AN83" s="510"/>
    </row>
    <row r="84" spans="1:40" s="183" customFormat="1" ht="15.75" customHeight="1">
      <c r="A84" s="179" t="s">
        <v>528</v>
      </c>
      <c r="B84" s="180" t="s">
        <v>1090</v>
      </c>
      <c r="C84" s="181">
        <v>134130</v>
      </c>
      <c r="D84" s="182">
        <v>1</v>
      </c>
      <c r="E84" s="275">
        <v>3206.4</v>
      </c>
      <c r="F84" s="510">
        <f>(3256.5+3372.15)/2</f>
        <v>3314.325</v>
      </c>
      <c r="G84" s="275">
        <v>17790.9</v>
      </c>
      <c r="H84" s="510">
        <f>(17841+18685.8)/2</f>
        <v>18263.4</v>
      </c>
      <c r="I84" s="275">
        <v>6826.56</v>
      </c>
      <c r="J84" s="510">
        <v>7478.4</v>
      </c>
      <c r="K84" s="275">
        <v>21951.12</v>
      </c>
      <c r="L84" s="510">
        <v>22603.2</v>
      </c>
      <c r="M84" s="275">
        <v>7888.56</v>
      </c>
      <c r="N84" s="510">
        <v>8646.72</v>
      </c>
      <c r="O84" s="275">
        <v>23380.32</v>
      </c>
      <c r="P84" s="510">
        <v>24138.72</v>
      </c>
      <c r="Q84" s="275">
        <v>21042.14</v>
      </c>
      <c r="R84" s="510">
        <v>23095.18</v>
      </c>
      <c r="S84" s="275">
        <v>50282.38</v>
      </c>
      <c r="T84" s="510">
        <v>52335.42</v>
      </c>
      <c r="U84" s="275">
        <v>19273.92</v>
      </c>
      <c r="V84" s="510">
        <v>21150.15</v>
      </c>
      <c r="W84" s="275">
        <v>45754.68</v>
      </c>
      <c r="X84" s="510">
        <v>47630.9</v>
      </c>
      <c r="Y84" s="275">
        <v>10479.54</v>
      </c>
      <c r="Z84" s="510">
        <v>11481.44</v>
      </c>
      <c r="AA84" s="275">
        <v>33623</v>
      </c>
      <c r="AB84" s="510">
        <v>34624.9</v>
      </c>
      <c r="AC84" s="275"/>
      <c r="AD84" s="510"/>
      <c r="AE84" s="275"/>
      <c r="AF84" s="510"/>
      <c r="AG84" s="275"/>
      <c r="AH84" s="510"/>
      <c r="AI84" s="275"/>
      <c r="AJ84" s="510"/>
      <c r="AK84" s="275">
        <v>16775.16</v>
      </c>
      <c r="AL84" s="510">
        <v>18401.5</v>
      </c>
      <c r="AM84" s="275">
        <v>37750.36</v>
      </c>
      <c r="AN84" s="510">
        <v>39376.7</v>
      </c>
    </row>
    <row r="85" spans="1:40" s="183" customFormat="1" ht="15.75" customHeight="1">
      <c r="A85" s="179" t="s">
        <v>528</v>
      </c>
      <c r="B85" s="180" t="s">
        <v>1091</v>
      </c>
      <c r="C85" s="181">
        <v>137351</v>
      </c>
      <c r="D85" s="182">
        <v>1</v>
      </c>
      <c r="E85" s="275">
        <v>3416.3</v>
      </c>
      <c r="F85" s="510">
        <f>(3456.5+3572.15)/2</f>
        <v>3514.325</v>
      </c>
      <c r="G85" s="275">
        <v>16115</v>
      </c>
      <c r="H85" s="510">
        <f>(16155.2+16289.6)/2</f>
        <v>16222.400000000001</v>
      </c>
      <c r="I85" s="275">
        <v>6121.52</v>
      </c>
      <c r="J85" s="510">
        <v>6676.64</v>
      </c>
      <c r="K85" s="275">
        <v>21603.2</v>
      </c>
      <c r="L85" s="510">
        <v>22131.2</v>
      </c>
      <c r="M85" s="275"/>
      <c r="N85" s="510"/>
      <c r="O85" s="275"/>
      <c r="P85" s="510"/>
      <c r="Q85" s="275">
        <v>19336.14</v>
      </c>
      <c r="R85" s="510">
        <v>21192.2</v>
      </c>
      <c r="S85" s="275">
        <v>50556.01</v>
      </c>
      <c r="T85" s="510">
        <v>53066.29</v>
      </c>
      <c r="U85" s="275"/>
      <c r="V85" s="510"/>
      <c r="W85" s="275"/>
      <c r="X85" s="510"/>
      <c r="Y85" s="275"/>
      <c r="Z85" s="510"/>
      <c r="AA85" s="275"/>
      <c r="AB85" s="510"/>
      <c r="AC85" s="275"/>
      <c r="AD85" s="510"/>
      <c r="AE85" s="275"/>
      <c r="AF85" s="510"/>
      <c r="AG85" s="275"/>
      <c r="AH85" s="510"/>
      <c r="AI85" s="275"/>
      <c r="AJ85" s="510"/>
      <c r="AK85" s="275"/>
      <c r="AL85" s="510"/>
      <c r="AM85" s="275"/>
      <c r="AN85" s="510"/>
    </row>
    <row r="86" spans="1:40" s="183" customFormat="1" ht="15.75" customHeight="1">
      <c r="A86" s="179" t="s">
        <v>528</v>
      </c>
      <c r="B86" s="180" t="s">
        <v>1089</v>
      </c>
      <c r="C86" s="181">
        <v>134097</v>
      </c>
      <c r="D86" s="182">
        <v>1</v>
      </c>
      <c r="E86" s="275">
        <v>3306.9</v>
      </c>
      <c r="F86" s="510">
        <f>(3354.9+3470.55)/2</f>
        <v>3412.7250000000004</v>
      </c>
      <c r="G86" s="275">
        <v>16438.5</v>
      </c>
      <c r="H86" s="510">
        <f>(16486.5+16602.3)/2</f>
        <v>16544.4</v>
      </c>
      <c r="I86" s="275">
        <v>5822.4</v>
      </c>
      <c r="J86" s="510">
        <v>6112.32</v>
      </c>
      <c r="K86" s="275">
        <v>20976</v>
      </c>
      <c r="L86" s="510">
        <v>21265.92</v>
      </c>
      <c r="M86" s="275">
        <v>7869.36</v>
      </c>
      <c r="N86" s="510">
        <v>8615.76</v>
      </c>
      <c r="O86" s="275">
        <v>23879.28</v>
      </c>
      <c r="P86" s="510">
        <v>24625.68</v>
      </c>
      <c r="Q86" s="275">
        <v>17824.38</v>
      </c>
      <c r="R86" s="510">
        <v>17881.98</v>
      </c>
      <c r="S86" s="275">
        <v>52375.57</v>
      </c>
      <c r="T86" s="510">
        <v>52433.17</v>
      </c>
      <c r="U86" s="275"/>
      <c r="V86" s="510"/>
      <c r="W86" s="275"/>
      <c r="X86" s="510"/>
      <c r="Y86" s="275"/>
      <c r="Z86" s="510"/>
      <c r="AA86" s="275"/>
      <c r="AB86" s="510"/>
      <c r="AC86" s="275"/>
      <c r="AD86" s="510"/>
      <c r="AE86" s="275"/>
      <c r="AF86" s="510"/>
      <c r="AG86" s="275"/>
      <c r="AH86" s="510"/>
      <c r="AI86" s="275"/>
      <c r="AJ86" s="510"/>
      <c r="AK86" s="275"/>
      <c r="AL86" s="510"/>
      <c r="AM86" s="275"/>
      <c r="AN86" s="510"/>
    </row>
    <row r="87" spans="1:40" s="183" customFormat="1" ht="15.75" customHeight="1">
      <c r="A87" s="179" t="s">
        <v>528</v>
      </c>
      <c r="B87" s="446" t="s">
        <v>1094</v>
      </c>
      <c r="C87" s="205">
        <v>132903</v>
      </c>
      <c r="D87" s="200">
        <v>1</v>
      </c>
      <c r="E87" s="275">
        <v>3492</v>
      </c>
      <c r="F87" s="510">
        <f>(3561.6+3677.25)/2</f>
        <v>3619.425</v>
      </c>
      <c r="G87" s="275">
        <v>17017.5</v>
      </c>
      <c r="H87" s="510">
        <f>(17763+17878.8)/2</f>
        <v>17820.9</v>
      </c>
      <c r="I87" s="275">
        <v>6167.04</v>
      </c>
      <c r="J87" s="510">
        <v>6484.08</v>
      </c>
      <c r="K87" s="275">
        <v>22790.4</v>
      </c>
      <c r="L87" s="510">
        <v>23938.32</v>
      </c>
      <c r="M87" s="275"/>
      <c r="N87" s="510"/>
      <c r="O87" s="275"/>
      <c r="P87" s="510"/>
      <c r="Q87" s="275"/>
      <c r="R87" s="510"/>
      <c r="S87" s="275"/>
      <c r="T87" s="510"/>
      <c r="U87" s="275"/>
      <c r="V87" s="510"/>
      <c r="W87" s="275"/>
      <c r="X87" s="510"/>
      <c r="Y87" s="275"/>
      <c r="Z87" s="510"/>
      <c r="AA87" s="275"/>
      <c r="AB87" s="510"/>
      <c r="AC87" s="275"/>
      <c r="AD87" s="510"/>
      <c r="AE87" s="275"/>
      <c r="AF87" s="510"/>
      <c r="AG87" s="275"/>
      <c r="AH87" s="510"/>
      <c r="AI87" s="275"/>
      <c r="AJ87" s="510"/>
      <c r="AK87" s="275"/>
      <c r="AL87" s="510"/>
      <c r="AM87" s="275"/>
      <c r="AN87" s="510"/>
    </row>
    <row r="88" spans="1:40" s="183" customFormat="1" ht="15.75" customHeight="1">
      <c r="A88" s="179" t="s">
        <v>528</v>
      </c>
      <c r="B88" s="184" t="s">
        <v>1093</v>
      </c>
      <c r="C88" s="181">
        <v>133951</v>
      </c>
      <c r="D88" s="182">
        <v>2</v>
      </c>
      <c r="E88" s="275">
        <v>3406.3</v>
      </c>
      <c r="F88" s="510">
        <f>(3460+3575.8)/2</f>
        <v>3517.9</v>
      </c>
      <c r="G88" s="275">
        <v>15805.3</v>
      </c>
      <c r="H88" s="510">
        <f>(15859+15974.8)/2</f>
        <v>15916.9</v>
      </c>
      <c r="I88" s="275">
        <v>6509.68</v>
      </c>
      <c r="J88" s="510">
        <v>6568</v>
      </c>
      <c r="K88" s="275">
        <v>18607.36</v>
      </c>
      <c r="L88" s="510">
        <v>18665.68</v>
      </c>
      <c r="M88" s="275">
        <v>7272.4</v>
      </c>
      <c r="N88" s="510">
        <v>7332.16</v>
      </c>
      <c r="O88" s="275">
        <v>18299.92</v>
      </c>
      <c r="P88" s="510">
        <v>18359.68</v>
      </c>
      <c r="Q88" s="275"/>
      <c r="R88" s="510"/>
      <c r="S88" s="275"/>
      <c r="T88" s="510"/>
      <c r="U88" s="275"/>
      <c r="V88" s="510"/>
      <c r="W88" s="275"/>
      <c r="X88" s="510"/>
      <c r="Y88" s="275"/>
      <c r="Z88" s="510"/>
      <c r="AA88" s="275"/>
      <c r="AB88" s="510"/>
      <c r="AC88" s="275"/>
      <c r="AD88" s="510"/>
      <c r="AE88" s="275"/>
      <c r="AF88" s="510"/>
      <c r="AG88" s="275"/>
      <c r="AH88" s="510"/>
      <c r="AI88" s="275"/>
      <c r="AJ88" s="510"/>
      <c r="AK88" s="275"/>
      <c r="AL88" s="510"/>
      <c r="AM88" s="275"/>
      <c r="AN88" s="510"/>
    </row>
    <row r="89" spans="1:40" s="183" customFormat="1" ht="15.75" customHeight="1">
      <c r="A89" s="179" t="s">
        <v>528</v>
      </c>
      <c r="B89" s="180" t="s">
        <v>1092</v>
      </c>
      <c r="C89" s="181">
        <v>133669</v>
      </c>
      <c r="D89" s="182">
        <v>2</v>
      </c>
      <c r="E89" s="275">
        <v>3427</v>
      </c>
      <c r="F89" s="510">
        <f>(3486.9+3600)/2</f>
        <v>3543.45</v>
      </c>
      <c r="G89" s="275">
        <v>16490.8</v>
      </c>
      <c r="H89" s="510">
        <v>16550.7</v>
      </c>
      <c r="I89" s="275">
        <v>5958.88</v>
      </c>
      <c r="J89" s="510">
        <v>6263.28</v>
      </c>
      <c r="K89" s="275">
        <v>22020.88</v>
      </c>
      <c r="L89" s="510">
        <v>22072.8</v>
      </c>
      <c r="M89" s="275"/>
      <c r="N89" s="510"/>
      <c r="O89" s="275"/>
      <c r="P89" s="510"/>
      <c r="Q89" s="275"/>
      <c r="R89" s="510"/>
      <c r="S89" s="275"/>
      <c r="T89" s="510"/>
      <c r="U89" s="275"/>
      <c r="V89" s="510"/>
      <c r="W89" s="275"/>
      <c r="X89" s="510"/>
      <c r="Y89" s="275"/>
      <c r="Z89" s="510"/>
      <c r="AA89" s="275"/>
      <c r="AB89" s="510"/>
      <c r="AC89" s="275"/>
      <c r="AD89" s="510"/>
      <c r="AE89" s="275"/>
      <c r="AF89" s="510"/>
      <c r="AG89" s="275"/>
      <c r="AH89" s="510"/>
      <c r="AI89" s="275"/>
      <c r="AJ89" s="510"/>
      <c r="AK89" s="275"/>
      <c r="AL89" s="510"/>
      <c r="AM89" s="275"/>
      <c r="AN89" s="510"/>
    </row>
    <row r="90" spans="1:40" s="183" customFormat="1" ht="15.75" customHeight="1">
      <c r="A90" s="179" t="s">
        <v>528</v>
      </c>
      <c r="B90" s="180" t="s">
        <v>1095</v>
      </c>
      <c r="C90" s="181">
        <v>133650</v>
      </c>
      <c r="D90" s="182">
        <v>3</v>
      </c>
      <c r="E90" s="275">
        <v>3264.5</v>
      </c>
      <c r="F90" s="510">
        <f>(3264.5+3374.75)/2</f>
        <v>3319.625</v>
      </c>
      <c r="G90" s="275">
        <v>15186.2</v>
      </c>
      <c r="H90" s="510">
        <v>15186.2</v>
      </c>
      <c r="I90" s="275">
        <v>5339.84</v>
      </c>
      <c r="J90" s="510">
        <v>5339.84</v>
      </c>
      <c r="K90" s="275">
        <v>20246</v>
      </c>
      <c r="L90" s="510">
        <v>20246</v>
      </c>
      <c r="M90" s="275">
        <v>5960</v>
      </c>
      <c r="N90" s="510">
        <v>5960</v>
      </c>
      <c r="O90" s="275">
        <v>21497.6</v>
      </c>
      <c r="P90" s="510">
        <v>21497.6</v>
      </c>
      <c r="Q90" s="275"/>
      <c r="R90" s="510"/>
      <c r="S90" s="275"/>
      <c r="T90" s="510"/>
      <c r="U90" s="275"/>
      <c r="V90" s="510"/>
      <c r="W90" s="275"/>
      <c r="X90" s="510"/>
      <c r="Y90" s="275">
        <v>5958.88</v>
      </c>
      <c r="Z90" s="510">
        <v>5960</v>
      </c>
      <c r="AA90" s="275">
        <v>22020.88</v>
      </c>
      <c r="AB90" s="510">
        <v>22021</v>
      </c>
      <c r="AC90" s="275"/>
      <c r="AD90" s="510"/>
      <c r="AE90" s="275"/>
      <c r="AF90" s="510"/>
      <c r="AG90" s="275"/>
      <c r="AH90" s="510"/>
      <c r="AI90" s="275"/>
      <c r="AJ90" s="510"/>
      <c r="AK90" s="275"/>
      <c r="AL90" s="510"/>
      <c r="AM90" s="275"/>
      <c r="AN90" s="510"/>
    </row>
    <row r="91" spans="1:40" s="183" customFormat="1" ht="15.75" customHeight="1">
      <c r="A91" s="179" t="s">
        <v>528</v>
      </c>
      <c r="B91" s="180" t="s">
        <v>1096</v>
      </c>
      <c r="C91" s="181">
        <v>136172</v>
      </c>
      <c r="D91" s="182">
        <v>3</v>
      </c>
      <c r="E91" s="275">
        <v>3352.5</v>
      </c>
      <c r="F91" s="510">
        <f>(3491.1+3606.75)/2</f>
        <v>3548.925</v>
      </c>
      <c r="G91" s="275">
        <v>14994.6</v>
      </c>
      <c r="H91" s="510">
        <f>(15133.2+15249)/2</f>
        <v>15191.1</v>
      </c>
      <c r="I91" s="275">
        <v>6019.92</v>
      </c>
      <c r="J91" s="510">
        <v>6390.48</v>
      </c>
      <c r="K91" s="275">
        <v>20212.08</v>
      </c>
      <c r="L91" s="510">
        <v>20582.64</v>
      </c>
      <c r="M91" s="275"/>
      <c r="N91" s="510"/>
      <c r="O91" s="275"/>
      <c r="P91" s="510"/>
      <c r="Q91" s="275"/>
      <c r="R91" s="510"/>
      <c r="S91" s="275"/>
      <c r="T91" s="510"/>
      <c r="U91" s="275"/>
      <c r="V91" s="510"/>
      <c r="W91" s="275"/>
      <c r="X91" s="510"/>
      <c r="Y91" s="275"/>
      <c r="Z91" s="510"/>
      <c r="AA91" s="275"/>
      <c r="AB91" s="510"/>
      <c r="AC91" s="275"/>
      <c r="AD91" s="510"/>
      <c r="AE91" s="275"/>
      <c r="AF91" s="510"/>
      <c r="AG91" s="275"/>
      <c r="AH91" s="510"/>
      <c r="AI91" s="275"/>
      <c r="AJ91" s="510"/>
      <c r="AK91" s="275"/>
      <c r="AL91" s="510"/>
      <c r="AM91" s="275"/>
      <c r="AN91" s="510"/>
    </row>
    <row r="92" spans="1:40" s="183" customFormat="1" ht="15.75" customHeight="1">
      <c r="A92" s="179" t="s">
        <v>528</v>
      </c>
      <c r="B92" s="180" t="s">
        <v>1097</v>
      </c>
      <c r="C92" s="181">
        <v>138354</v>
      </c>
      <c r="D92" s="182">
        <v>3</v>
      </c>
      <c r="E92" s="275">
        <v>3311.7</v>
      </c>
      <c r="F92" s="510">
        <f>(3351.3+3466.95)/2</f>
        <v>3409.125</v>
      </c>
      <c r="G92" s="275">
        <v>15818.1</v>
      </c>
      <c r="H92" s="510">
        <f>(16233+16348.8)/2</f>
        <v>16290.9</v>
      </c>
      <c r="I92" s="275">
        <v>5870.64</v>
      </c>
      <c r="J92" s="510">
        <v>6054.48</v>
      </c>
      <c r="K92" s="275">
        <v>21241.2</v>
      </c>
      <c r="L92" s="510">
        <v>21886.08</v>
      </c>
      <c r="M92" s="275"/>
      <c r="N92" s="510"/>
      <c r="O92" s="275"/>
      <c r="P92" s="510"/>
      <c r="Q92" s="275"/>
      <c r="R92" s="510"/>
      <c r="S92" s="275"/>
      <c r="T92" s="510"/>
      <c r="U92" s="275"/>
      <c r="V92" s="510"/>
      <c r="W92" s="275"/>
      <c r="X92" s="510"/>
      <c r="Y92" s="275"/>
      <c r="Z92" s="510"/>
      <c r="AA92" s="275"/>
      <c r="AB92" s="510"/>
      <c r="AC92" s="275"/>
      <c r="AD92" s="510"/>
      <c r="AE92" s="275"/>
      <c r="AF92" s="510"/>
      <c r="AG92" s="275"/>
      <c r="AH92" s="510"/>
      <c r="AI92" s="275"/>
      <c r="AJ92" s="510"/>
      <c r="AK92" s="275"/>
      <c r="AL92" s="510"/>
      <c r="AM92" s="275"/>
      <c r="AN92" s="510"/>
    </row>
    <row r="93" spans="1:40" s="183" customFormat="1" ht="15.75" customHeight="1">
      <c r="A93" s="179" t="s">
        <v>528</v>
      </c>
      <c r="B93" s="184" t="s">
        <v>1098</v>
      </c>
      <c r="C93" s="205">
        <v>433660</v>
      </c>
      <c r="D93" s="200">
        <v>5</v>
      </c>
      <c r="E93" s="275">
        <v>3559.8</v>
      </c>
      <c r="F93" s="510">
        <f>(3646.8+3777.45)/2</f>
        <v>3712.125</v>
      </c>
      <c r="G93" s="275">
        <v>15481.5</v>
      </c>
      <c r="H93" s="510">
        <f>(16164.6+16295.4)/2</f>
        <v>16230</v>
      </c>
      <c r="I93" s="275">
        <v>5532.48</v>
      </c>
      <c r="J93" s="510">
        <f>(5829.12+5841.12)/2</f>
        <v>5835.12</v>
      </c>
      <c r="K93" s="275">
        <v>20439.12</v>
      </c>
      <c r="L93" s="510">
        <f>(21481.2+21493.2)/2</f>
        <v>21487.2</v>
      </c>
      <c r="M93" s="275"/>
      <c r="N93" s="510"/>
      <c r="O93" s="275"/>
      <c r="P93" s="510"/>
      <c r="Q93" s="275"/>
      <c r="R93" s="510"/>
      <c r="S93" s="275"/>
      <c r="T93" s="510"/>
      <c r="U93" s="275"/>
      <c r="V93" s="510"/>
      <c r="W93" s="275"/>
      <c r="X93" s="510"/>
      <c r="Y93" s="275"/>
      <c r="Z93" s="510"/>
      <c r="AA93" s="275"/>
      <c r="AB93" s="510"/>
      <c r="AC93" s="275"/>
      <c r="AD93" s="510"/>
      <c r="AE93" s="275"/>
      <c r="AF93" s="510"/>
      <c r="AG93" s="275"/>
      <c r="AH93" s="510"/>
      <c r="AI93" s="275"/>
      <c r="AJ93" s="510"/>
      <c r="AK93" s="275"/>
      <c r="AL93" s="510"/>
      <c r="AM93" s="275"/>
      <c r="AN93" s="510"/>
    </row>
    <row r="94" spans="1:40" s="183" customFormat="1" ht="15.75" customHeight="1">
      <c r="A94" s="185" t="s">
        <v>528</v>
      </c>
      <c r="B94" s="185" t="s">
        <v>1099</v>
      </c>
      <c r="C94" s="186">
        <v>262129</v>
      </c>
      <c r="D94" s="182">
        <v>6</v>
      </c>
      <c r="E94" s="275">
        <v>3111.3</v>
      </c>
      <c r="F94" s="510">
        <f>(3143.4+3259.05)/2</f>
        <v>3201.2250000000004</v>
      </c>
      <c r="G94" s="275">
        <v>16636.5</v>
      </c>
      <c r="H94" s="510">
        <f>(18021+18136.8)/2</f>
        <v>18078.9</v>
      </c>
      <c r="I94" s="275"/>
      <c r="J94" s="510"/>
      <c r="K94" s="275"/>
      <c r="L94" s="510"/>
      <c r="M94" s="275"/>
      <c r="N94" s="510"/>
      <c r="O94" s="275"/>
      <c r="P94" s="510"/>
      <c r="Q94" s="275"/>
      <c r="R94" s="510"/>
      <c r="S94" s="275"/>
      <c r="T94" s="510"/>
      <c r="U94" s="275"/>
      <c r="V94" s="510"/>
      <c r="W94" s="275"/>
      <c r="X94" s="510"/>
      <c r="Y94" s="275"/>
      <c r="Z94" s="510"/>
      <c r="AA94" s="275"/>
      <c r="AB94" s="510"/>
      <c r="AC94" s="275"/>
      <c r="AD94" s="510"/>
      <c r="AE94" s="275"/>
      <c r="AF94" s="510"/>
      <c r="AG94" s="275"/>
      <c r="AH94" s="510"/>
      <c r="AI94" s="275"/>
      <c r="AJ94" s="510"/>
      <c r="AK94" s="275"/>
      <c r="AL94" s="510"/>
      <c r="AM94" s="275"/>
      <c r="AN94" s="510"/>
    </row>
    <row r="95" spans="1:40" s="183" customFormat="1" ht="15" customHeight="1">
      <c r="A95" s="315" t="s">
        <v>528</v>
      </c>
      <c r="B95" s="316" t="s">
        <v>391</v>
      </c>
      <c r="C95" s="317">
        <v>133021</v>
      </c>
      <c r="D95" s="318">
        <v>7</v>
      </c>
      <c r="E95" s="275">
        <v>2037</v>
      </c>
      <c r="F95" s="510">
        <v>2037</v>
      </c>
      <c r="G95" s="275">
        <v>6000.6</v>
      </c>
      <c r="H95" s="510">
        <v>6199.5</v>
      </c>
      <c r="I95" s="275"/>
      <c r="J95" s="510"/>
      <c r="K95" s="275"/>
      <c r="L95" s="510"/>
      <c r="M95" s="275"/>
      <c r="N95" s="510"/>
      <c r="O95" s="275"/>
      <c r="P95" s="510"/>
      <c r="Q95" s="275"/>
      <c r="R95" s="510"/>
      <c r="S95" s="275"/>
      <c r="T95" s="510"/>
      <c r="U95" s="275"/>
      <c r="V95" s="510"/>
      <c r="W95" s="275"/>
      <c r="X95" s="510"/>
      <c r="Y95" s="275"/>
      <c r="Z95" s="510"/>
      <c r="AA95" s="275"/>
      <c r="AB95" s="510"/>
      <c r="AC95" s="275"/>
      <c r="AD95" s="510"/>
      <c r="AE95" s="275"/>
      <c r="AF95" s="510"/>
      <c r="AG95" s="275"/>
      <c r="AH95" s="510"/>
      <c r="AI95" s="275"/>
      <c r="AJ95" s="510"/>
      <c r="AK95" s="275"/>
      <c r="AL95" s="510"/>
      <c r="AM95" s="275"/>
      <c r="AN95" s="510"/>
    </row>
    <row r="96" spans="1:40" s="183" customFormat="1" ht="15" customHeight="1">
      <c r="A96" s="315" t="s">
        <v>528</v>
      </c>
      <c r="B96" s="316" t="s">
        <v>402</v>
      </c>
      <c r="C96" s="317">
        <v>135717</v>
      </c>
      <c r="D96" s="318">
        <v>7</v>
      </c>
      <c r="E96" s="275">
        <v>2068.2</v>
      </c>
      <c r="F96" s="510">
        <v>2068.2</v>
      </c>
      <c r="G96" s="275">
        <v>6862.8</v>
      </c>
      <c r="H96" s="510">
        <v>6862.8</v>
      </c>
      <c r="I96" s="275"/>
      <c r="J96" s="510"/>
      <c r="K96" s="275"/>
      <c r="L96" s="510"/>
      <c r="M96" s="275"/>
      <c r="N96" s="510"/>
      <c r="O96" s="275"/>
      <c r="P96" s="510"/>
      <c r="Q96" s="275"/>
      <c r="R96" s="510"/>
      <c r="S96" s="275"/>
      <c r="T96" s="510"/>
      <c r="U96" s="275"/>
      <c r="V96" s="510"/>
      <c r="W96" s="275"/>
      <c r="X96" s="510"/>
      <c r="Y96" s="275"/>
      <c r="Z96" s="510"/>
      <c r="AA96" s="275"/>
      <c r="AB96" s="510"/>
      <c r="AC96" s="275"/>
      <c r="AD96" s="510"/>
      <c r="AE96" s="275"/>
      <c r="AF96" s="510"/>
      <c r="AG96" s="275"/>
      <c r="AH96" s="510"/>
      <c r="AI96" s="275"/>
      <c r="AJ96" s="510"/>
      <c r="AK96" s="275"/>
      <c r="AL96" s="510"/>
      <c r="AM96" s="275"/>
      <c r="AN96" s="510"/>
    </row>
    <row r="97" spans="1:40" s="183" customFormat="1" ht="15" customHeight="1">
      <c r="A97" s="315" t="s">
        <v>528</v>
      </c>
      <c r="B97" s="316" t="s">
        <v>47</v>
      </c>
      <c r="C97" s="317">
        <v>137078</v>
      </c>
      <c r="D97" s="318">
        <v>7</v>
      </c>
      <c r="E97" s="275">
        <v>2090.7</v>
      </c>
      <c r="F97" s="510">
        <v>2090.7</v>
      </c>
      <c r="G97" s="275">
        <v>7558.5</v>
      </c>
      <c r="H97" s="510">
        <v>7558.5</v>
      </c>
      <c r="I97" s="275"/>
      <c r="J97" s="510"/>
      <c r="K97" s="275"/>
      <c r="L97" s="510"/>
      <c r="M97" s="275"/>
      <c r="N97" s="510"/>
      <c r="O97" s="275"/>
      <c r="P97" s="510"/>
      <c r="Q97" s="275"/>
      <c r="R97" s="510"/>
      <c r="S97" s="275"/>
      <c r="T97" s="510"/>
      <c r="U97" s="275"/>
      <c r="V97" s="510"/>
      <c r="W97" s="275"/>
      <c r="X97" s="510"/>
      <c r="Y97" s="275"/>
      <c r="Z97" s="510"/>
      <c r="AA97" s="275"/>
      <c r="AB97" s="510"/>
      <c r="AC97" s="275"/>
      <c r="AD97" s="510"/>
      <c r="AE97" s="275"/>
      <c r="AF97" s="510"/>
      <c r="AG97" s="275"/>
      <c r="AH97" s="510"/>
      <c r="AI97" s="275"/>
      <c r="AJ97" s="510"/>
      <c r="AK97" s="275"/>
      <c r="AL97" s="510"/>
      <c r="AM97" s="275"/>
      <c r="AN97" s="510"/>
    </row>
    <row r="98" spans="1:40" s="183" customFormat="1" ht="15" customHeight="1">
      <c r="A98" s="315" t="s">
        <v>528</v>
      </c>
      <c r="B98" s="316" t="s">
        <v>388</v>
      </c>
      <c r="C98" s="317">
        <v>132693</v>
      </c>
      <c r="D98" s="318">
        <v>8</v>
      </c>
      <c r="E98" s="275">
        <v>2032.5</v>
      </c>
      <c r="F98" s="510">
        <v>2032.5</v>
      </c>
      <c r="G98" s="275">
        <v>7410</v>
      </c>
      <c r="H98" s="510">
        <v>7410</v>
      </c>
      <c r="I98" s="275"/>
      <c r="J98" s="510"/>
      <c r="K98" s="275"/>
      <c r="L98" s="510"/>
      <c r="M98" s="275"/>
      <c r="N98" s="510"/>
      <c r="O98" s="275"/>
      <c r="P98" s="510"/>
      <c r="Q98" s="275"/>
      <c r="R98" s="510"/>
      <c r="S98" s="275"/>
      <c r="T98" s="510"/>
      <c r="U98" s="275"/>
      <c r="V98" s="510"/>
      <c r="W98" s="275"/>
      <c r="X98" s="510"/>
      <c r="Y98" s="275"/>
      <c r="Z98" s="510"/>
      <c r="AA98" s="275"/>
      <c r="AB98" s="510"/>
      <c r="AC98" s="275"/>
      <c r="AD98" s="510"/>
      <c r="AE98" s="275"/>
      <c r="AF98" s="510"/>
      <c r="AG98" s="275"/>
      <c r="AH98" s="510"/>
      <c r="AI98" s="275"/>
      <c r="AJ98" s="510"/>
      <c r="AK98" s="275"/>
      <c r="AL98" s="510"/>
      <c r="AM98" s="275"/>
      <c r="AN98" s="510"/>
    </row>
    <row r="99" spans="1:40" s="183" customFormat="1" ht="15" customHeight="1">
      <c r="A99" s="315" t="s">
        <v>528</v>
      </c>
      <c r="B99" s="316" t="s">
        <v>389</v>
      </c>
      <c r="C99" s="317">
        <v>132709</v>
      </c>
      <c r="D99" s="318">
        <v>8</v>
      </c>
      <c r="E99" s="275">
        <v>2004</v>
      </c>
      <c r="F99" s="510">
        <v>2004</v>
      </c>
      <c r="G99" s="275">
        <v>7171.5</v>
      </c>
      <c r="H99" s="510">
        <v>7171.5</v>
      </c>
      <c r="I99" s="275"/>
      <c r="J99" s="510"/>
      <c r="K99" s="275"/>
      <c r="L99" s="510"/>
      <c r="M99" s="275"/>
      <c r="N99" s="510"/>
      <c r="O99" s="275"/>
      <c r="P99" s="510"/>
      <c r="Q99" s="275"/>
      <c r="R99" s="510"/>
      <c r="S99" s="275"/>
      <c r="T99" s="510"/>
      <c r="U99" s="275"/>
      <c r="V99" s="510"/>
      <c r="W99" s="275"/>
      <c r="X99" s="510"/>
      <c r="Y99" s="275"/>
      <c r="Z99" s="510"/>
      <c r="AA99" s="275"/>
      <c r="AB99" s="510"/>
      <c r="AC99" s="275"/>
      <c r="AD99" s="510"/>
      <c r="AE99" s="275"/>
      <c r="AF99" s="510"/>
      <c r="AG99" s="275"/>
      <c r="AH99" s="510"/>
      <c r="AI99" s="275"/>
      <c r="AJ99" s="510"/>
      <c r="AK99" s="275"/>
      <c r="AL99" s="510"/>
      <c r="AM99" s="275"/>
      <c r="AN99" s="510"/>
    </row>
    <row r="100" spans="1:40" s="183" customFormat="1" ht="15" customHeight="1">
      <c r="A100" s="315" t="s">
        <v>528</v>
      </c>
      <c r="B100" s="319" t="s">
        <v>392</v>
      </c>
      <c r="C100" s="317">
        <v>133386</v>
      </c>
      <c r="D100" s="318">
        <v>8</v>
      </c>
      <c r="E100" s="275">
        <v>2082.6</v>
      </c>
      <c r="F100" s="510">
        <v>2082.6</v>
      </c>
      <c r="G100" s="275">
        <v>7904.1</v>
      </c>
      <c r="H100" s="510">
        <v>8219.7</v>
      </c>
      <c r="I100" s="275"/>
      <c r="J100" s="510"/>
      <c r="K100" s="275"/>
      <c r="L100" s="510"/>
      <c r="M100" s="275"/>
      <c r="N100" s="510"/>
      <c r="O100" s="275"/>
      <c r="P100" s="510"/>
      <c r="Q100" s="275"/>
      <c r="R100" s="510"/>
      <c r="S100" s="275"/>
      <c r="T100" s="510"/>
      <c r="U100" s="275"/>
      <c r="V100" s="510"/>
      <c r="W100" s="275"/>
      <c r="X100" s="510"/>
      <c r="Y100" s="275"/>
      <c r="Z100" s="510"/>
      <c r="AA100" s="275"/>
      <c r="AB100" s="510"/>
      <c r="AC100" s="275"/>
      <c r="AD100" s="510"/>
      <c r="AE100" s="275"/>
      <c r="AF100" s="510"/>
      <c r="AG100" s="275"/>
      <c r="AH100" s="510"/>
      <c r="AI100" s="275"/>
      <c r="AJ100" s="510"/>
      <c r="AK100" s="275"/>
      <c r="AL100" s="510"/>
      <c r="AM100" s="275"/>
      <c r="AN100" s="510"/>
    </row>
    <row r="101" spans="1:40" s="183" customFormat="1" ht="15" customHeight="1">
      <c r="A101" s="315" t="s">
        <v>528</v>
      </c>
      <c r="B101" s="316" t="s">
        <v>393</v>
      </c>
      <c r="C101" s="317">
        <v>133508</v>
      </c>
      <c r="D101" s="318">
        <v>8</v>
      </c>
      <c r="E101" s="275">
        <v>2090.7</v>
      </c>
      <c r="F101" s="510">
        <v>2090.7</v>
      </c>
      <c r="G101" s="275">
        <v>7933.8</v>
      </c>
      <c r="H101" s="510">
        <v>7933.8</v>
      </c>
      <c r="I101" s="275"/>
      <c r="J101" s="510"/>
      <c r="K101" s="275"/>
      <c r="L101" s="510"/>
      <c r="M101" s="275"/>
      <c r="N101" s="510"/>
      <c r="O101" s="275"/>
      <c r="P101" s="510"/>
      <c r="Q101" s="275"/>
      <c r="R101" s="510"/>
      <c r="S101" s="275"/>
      <c r="T101" s="510"/>
      <c r="U101" s="275"/>
      <c r="V101" s="510"/>
      <c r="W101" s="275"/>
      <c r="X101" s="510"/>
      <c r="Y101" s="275"/>
      <c r="Z101" s="510"/>
      <c r="AA101" s="275"/>
      <c r="AB101" s="510"/>
      <c r="AC101" s="275"/>
      <c r="AD101" s="510"/>
      <c r="AE101" s="275"/>
      <c r="AF101" s="510"/>
      <c r="AG101" s="275"/>
      <c r="AH101" s="510"/>
      <c r="AI101" s="275"/>
      <c r="AJ101" s="510"/>
      <c r="AK101" s="275"/>
      <c r="AL101" s="510"/>
      <c r="AM101" s="275"/>
      <c r="AN101" s="510"/>
    </row>
    <row r="102" spans="1:40" s="183" customFormat="1" ht="15" customHeight="1">
      <c r="A102" s="315" t="s">
        <v>528</v>
      </c>
      <c r="B102" s="316" t="s">
        <v>394</v>
      </c>
      <c r="C102" s="317">
        <v>133702</v>
      </c>
      <c r="D102" s="318">
        <v>8</v>
      </c>
      <c r="E102" s="275">
        <v>1948.5</v>
      </c>
      <c r="F102" s="510">
        <v>1948.5</v>
      </c>
      <c r="G102" s="275">
        <v>7452</v>
      </c>
      <c r="H102" s="510">
        <v>7452</v>
      </c>
      <c r="I102" s="275"/>
      <c r="J102" s="510"/>
      <c r="K102" s="275"/>
      <c r="L102" s="510"/>
      <c r="M102" s="275"/>
      <c r="N102" s="510"/>
      <c r="O102" s="275"/>
      <c r="P102" s="510"/>
      <c r="Q102" s="275"/>
      <c r="R102" s="510"/>
      <c r="S102" s="275"/>
      <c r="T102" s="510"/>
      <c r="U102" s="275"/>
      <c r="V102" s="510"/>
      <c r="W102" s="275"/>
      <c r="X102" s="510"/>
      <c r="Y102" s="275"/>
      <c r="Z102" s="510"/>
      <c r="AA102" s="275"/>
      <c r="AB102" s="510"/>
      <c r="AC102" s="275"/>
      <c r="AD102" s="510"/>
      <c r="AE102" s="275"/>
      <c r="AF102" s="510"/>
      <c r="AG102" s="275"/>
      <c r="AH102" s="510"/>
      <c r="AI102" s="275"/>
      <c r="AJ102" s="510"/>
      <c r="AK102" s="275"/>
      <c r="AL102" s="510"/>
      <c r="AM102" s="275"/>
      <c r="AN102" s="510"/>
    </row>
    <row r="103" spans="1:40" s="183" customFormat="1" ht="15" customHeight="1">
      <c r="A103" s="315" t="s">
        <v>528</v>
      </c>
      <c r="B103" s="316" t="s">
        <v>397</v>
      </c>
      <c r="C103" s="317">
        <v>134495</v>
      </c>
      <c r="D103" s="318">
        <v>8</v>
      </c>
      <c r="E103" s="275">
        <v>2090.7</v>
      </c>
      <c r="F103" s="510">
        <v>2090.7</v>
      </c>
      <c r="G103" s="275">
        <v>7468.5</v>
      </c>
      <c r="H103" s="510">
        <v>7468.5</v>
      </c>
      <c r="I103" s="275"/>
      <c r="J103" s="510"/>
      <c r="K103" s="275"/>
      <c r="L103" s="510"/>
      <c r="M103" s="275"/>
      <c r="N103" s="510"/>
      <c r="O103" s="275"/>
      <c r="P103" s="510"/>
      <c r="Q103" s="275"/>
      <c r="R103" s="510"/>
      <c r="S103" s="275"/>
      <c r="T103" s="510"/>
      <c r="U103" s="275"/>
      <c r="V103" s="510"/>
      <c r="W103" s="275"/>
      <c r="X103" s="510"/>
      <c r="Y103" s="275"/>
      <c r="Z103" s="510"/>
      <c r="AA103" s="275"/>
      <c r="AB103" s="510"/>
      <c r="AC103" s="275"/>
      <c r="AD103" s="510"/>
      <c r="AE103" s="275"/>
      <c r="AF103" s="510"/>
      <c r="AG103" s="275"/>
      <c r="AH103" s="510"/>
      <c r="AI103" s="275"/>
      <c r="AJ103" s="510"/>
      <c r="AK103" s="275"/>
      <c r="AL103" s="510"/>
      <c r="AM103" s="275"/>
      <c r="AN103" s="510"/>
    </row>
    <row r="104" spans="1:40" s="183" customFormat="1" ht="15" customHeight="1">
      <c r="A104" s="315" t="s">
        <v>528</v>
      </c>
      <c r="B104" s="316" t="s">
        <v>398</v>
      </c>
      <c r="C104" s="317">
        <v>134608</v>
      </c>
      <c r="D104" s="318">
        <v>8</v>
      </c>
      <c r="E104" s="275">
        <v>1980</v>
      </c>
      <c r="F104" s="510">
        <v>1980</v>
      </c>
      <c r="G104" s="275">
        <v>7350</v>
      </c>
      <c r="H104" s="510">
        <v>7350</v>
      </c>
      <c r="I104" s="275"/>
      <c r="J104" s="510"/>
      <c r="K104" s="275"/>
      <c r="L104" s="510"/>
      <c r="M104" s="275"/>
      <c r="N104" s="510"/>
      <c r="O104" s="275"/>
      <c r="P104" s="510"/>
      <c r="Q104" s="275"/>
      <c r="R104" s="510"/>
      <c r="S104" s="275"/>
      <c r="T104" s="510"/>
      <c r="U104" s="275"/>
      <c r="V104" s="510"/>
      <c r="W104" s="275"/>
      <c r="X104" s="510"/>
      <c r="Y104" s="275"/>
      <c r="Z104" s="510"/>
      <c r="AA104" s="275"/>
      <c r="AB104" s="510"/>
      <c r="AC104" s="275"/>
      <c r="AD104" s="510"/>
      <c r="AE104" s="275"/>
      <c r="AF104" s="510"/>
      <c r="AG104" s="275"/>
      <c r="AH104" s="510"/>
      <c r="AI104" s="275"/>
      <c r="AJ104" s="510"/>
      <c r="AK104" s="275"/>
      <c r="AL104" s="510"/>
      <c r="AM104" s="275"/>
      <c r="AN104" s="510"/>
    </row>
    <row r="105" spans="1:40" s="183" customFormat="1" ht="15" customHeight="1">
      <c r="A105" s="315" t="s">
        <v>528</v>
      </c>
      <c r="B105" s="316" t="s">
        <v>401</v>
      </c>
      <c r="C105" s="317">
        <v>135391</v>
      </c>
      <c r="D105" s="318">
        <v>8</v>
      </c>
      <c r="E105" s="275">
        <v>2090.7</v>
      </c>
      <c r="F105" s="510">
        <v>2090.7</v>
      </c>
      <c r="G105" s="275">
        <v>7708.5</v>
      </c>
      <c r="H105" s="510">
        <v>7708.5</v>
      </c>
      <c r="I105" s="275"/>
      <c r="J105" s="510"/>
      <c r="K105" s="275"/>
      <c r="L105" s="510"/>
      <c r="M105" s="275"/>
      <c r="N105" s="510"/>
      <c r="O105" s="275"/>
      <c r="P105" s="510"/>
      <c r="Q105" s="275"/>
      <c r="R105" s="510"/>
      <c r="S105" s="275"/>
      <c r="T105" s="510"/>
      <c r="U105" s="275"/>
      <c r="V105" s="510"/>
      <c r="W105" s="275"/>
      <c r="X105" s="510"/>
      <c r="Y105" s="275"/>
      <c r="Z105" s="510"/>
      <c r="AA105" s="275"/>
      <c r="AB105" s="510"/>
      <c r="AC105" s="275"/>
      <c r="AD105" s="510"/>
      <c r="AE105" s="275"/>
      <c r="AF105" s="510"/>
      <c r="AG105" s="275"/>
      <c r="AH105" s="510"/>
      <c r="AI105" s="275"/>
      <c r="AJ105" s="510"/>
      <c r="AK105" s="275"/>
      <c r="AL105" s="510"/>
      <c r="AM105" s="275"/>
      <c r="AN105" s="510"/>
    </row>
    <row r="106" spans="1:40" s="183" customFormat="1" ht="15" customHeight="1">
      <c r="A106" s="315" t="s">
        <v>528</v>
      </c>
      <c r="B106" s="322" t="s">
        <v>405</v>
      </c>
      <c r="C106" s="323">
        <v>136358</v>
      </c>
      <c r="D106" s="324">
        <v>8</v>
      </c>
      <c r="E106" s="275">
        <v>1995</v>
      </c>
      <c r="F106" s="510">
        <v>1995</v>
      </c>
      <c r="G106" s="275">
        <v>7110</v>
      </c>
      <c r="H106" s="510">
        <v>7110</v>
      </c>
      <c r="I106" s="275"/>
      <c r="J106" s="510"/>
      <c r="K106" s="275"/>
      <c r="L106" s="510"/>
      <c r="M106" s="275"/>
      <c r="N106" s="510"/>
      <c r="O106" s="275"/>
      <c r="P106" s="510"/>
      <c r="Q106" s="275"/>
      <c r="R106" s="510"/>
      <c r="S106" s="275"/>
      <c r="T106" s="510"/>
      <c r="U106" s="275"/>
      <c r="V106" s="510"/>
      <c r="W106" s="275"/>
      <c r="X106" s="510"/>
      <c r="Y106" s="275"/>
      <c r="Z106" s="510"/>
      <c r="AA106" s="275"/>
      <c r="AB106" s="510"/>
      <c r="AC106" s="275"/>
      <c r="AD106" s="510"/>
      <c r="AE106" s="275"/>
      <c r="AF106" s="510"/>
      <c r="AG106" s="275"/>
      <c r="AH106" s="510"/>
      <c r="AI106" s="275"/>
      <c r="AJ106" s="510"/>
      <c r="AK106" s="275"/>
      <c r="AL106" s="510"/>
      <c r="AM106" s="275"/>
      <c r="AN106" s="510"/>
    </row>
    <row r="107" spans="1:40" s="183" customFormat="1" ht="15" customHeight="1">
      <c r="A107" s="315" t="s">
        <v>528</v>
      </c>
      <c r="B107" s="316" t="s">
        <v>44</v>
      </c>
      <c r="C107" s="317">
        <v>136473</v>
      </c>
      <c r="D107" s="318">
        <v>8</v>
      </c>
      <c r="E107" s="275">
        <v>1976.1</v>
      </c>
      <c r="F107" s="510">
        <v>1976.1</v>
      </c>
      <c r="G107" s="275">
        <v>7122.6</v>
      </c>
      <c r="H107" s="510">
        <v>7122.6</v>
      </c>
      <c r="I107" s="275"/>
      <c r="J107" s="510"/>
      <c r="K107" s="275"/>
      <c r="L107" s="510"/>
      <c r="M107" s="275"/>
      <c r="N107" s="510"/>
      <c r="O107" s="275"/>
      <c r="P107" s="510"/>
      <c r="Q107" s="275"/>
      <c r="R107" s="510"/>
      <c r="S107" s="275"/>
      <c r="T107" s="510"/>
      <c r="U107" s="275"/>
      <c r="V107" s="510"/>
      <c r="W107" s="275"/>
      <c r="X107" s="510"/>
      <c r="Y107" s="275"/>
      <c r="Z107" s="510"/>
      <c r="AA107" s="275"/>
      <c r="AB107" s="510"/>
      <c r="AC107" s="275"/>
      <c r="AD107" s="510"/>
      <c r="AE107" s="275"/>
      <c r="AF107" s="510"/>
      <c r="AG107" s="275"/>
      <c r="AH107" s="510"/>
      <c r="AI107" s="275"/>
      <c r="AJ107" s="510"/>
      <c r="AK107" s="275"/>
      <c r="AL107" s="510"/>
      <c r="AM107" s="275"/>
      <c r="AN107" s="510"/>
    </row>
    <row r="108" spans="1:40" s="183" customFormat="1" ht="15" customHeight="1">
      <c r="A108" s="315" t="s">
        <v>528</v>
      </c>
      <c r="B108" s="316" t="s">
        <v>48</v>
      </c>
      <c r="C108" s="317">
        <v>137096</v>
      </c>
      <c r="D108" s="318">
        <v>8</v>
      </c>
      <c r="E108" s="275">
        <v>2005.5</v>
      </c>
      <c r="F108" s="510">
        <v>2005.5</v>
      </c>
      <c r="G108" s="275">
        <v>7576.5</v>
      </c>
      <c r="H108" s="510">
        <v>7576.5</v>
      </c>
      <c r="I108" s="275"/>
      <c r="J108" s="510"/>
      <c r="K108" s="275"/>
      <c r="L108" s="510"/>
      <c r="M108" s="275"/>
      <c r="N108" s="510"/>
      <c r="O108" s="275"/>
      <c r="P108" s="510"/>
      <c r="Q108" s="275"/>
      <c r="R108" s="510"/>
      <c r="S108" s="275"/>
      <c r="T108" s="510"/>
      <c r="U108" s="275"/>
      <c r="V108" s="510"/>
      <c r="W108" s="275"/>
      <c r="X108" s="510"/>
      <c r="Y108" s="275"/>
      <c r="Z108" s="510"/>
      <c r="AA108" s="275"/>
      <c r="AB108" s="510"/>
      <c r="AC108" s="275"/>
      <c r="AD108" s="510"/>
      <c r="AE108" s="275"/>
      <c r="AF108" s="510"/>
      <c r="AG108" s="275"/>
      <c r="AH108" s="510"/>
      <c r="AI108" s="275"/>
      <c r="AJ108" s="510"/>
      <c r="AK108" s="275"/>
      <c r="AL108" s="510"/>
      <c r="AM108" s="275"/>
      <c r="AN108" s="510"/>
    </row>
    <row r="109" spans="1:40" s="183" customFormat="1" ht="15" customHeight="1">
      <c r="A109" s="315" t="s">
        <v>528</v>
      </c>
      <c r="B109" s="316" t="s">
        <v>49</v>
      </c>
      <c r="C109" s="317">
        <v>137209</v>
      </c>
      <c r="D109" s="318">
        <v>8</v>
      </c>
      <c r="E109" s="275">
        <v>2081.1</v>
      </c>
      <c r="F109" s="510">
        <v>2081.1</v>
      </c>
      <c r="G109" s="275">
        <v>7570.8</v>
      </c>
      <c r="H109" s="510">
        <v>7570.5</v>
      </c>
      <c r="I109" s="275"/>
      <c r="J109" s="510"/>
      <c r="K109" s="275"/>
      <c r="L109" s="510"/>
      <c r="M109" s="275"/>
      <c r="N109" s="510"/>
      <c r="O109" s="275"/>
      <c r="P109" s="510"/>
      <c r="Q109" s="275"/>
      <c r="R109" s="510"/>
      <c r="S109" s="275"/>
      <c r="T109" s="510"/>
      <c r="U109" s="275"/>
      <c r="V109" s="510"/>
      <c r="W109" s="275"/>
      <c r="X109" s="510"/>
      <c r="Y109" s="275"/>
      <c r="Z109" s="510"/>
      <c r="AA109" s="275"/>
      <c r="AB109" s="510"/>
      <c r="AC109" s="275"/>
      <c r="AD109" s="510"/>
      <c r="AE109" s="275"/>
      <c r="AF109" s="510"/>
      <c r="AG109" s="275"/>
      <c r="AH109" s="510"/>
      <c r="AI109" s="275"/>
      <c r="AJ109" s="510"/>
      <c r="AK109" s="275"/>
      <c r="AL109" s="510"/>
      <c r="AM109" s="275"/>
      <c r="AN109" s="510"/>
    </row>
    <row r="110" spans="1:40" s="183" customFormat="1" ht="15" customHeight="1">
      <c r="A110" s="315" t="s">
        <v>528</v>
      </c>
      <c r="B110" s="316" t="s">
        <v>51</v>
      </c>
      <c r="C110" s="317">
        <v>137759</v>
      </c>
      <c r="D110" s="318">
        <v>8</v>
      </c>
      <c r="E110" s="275">
        <v>1875</v>
      </c>
      <c r="F110" s="510">
        <v>1875</v>
      </c>
      <c r="G110" s="275">
        <v>6705</v>
      </c>
      <c r="H110" s="510">
        <v>6705</v>
      </c>
      <c r="I110" s="275"/>
      <c r="J110" s="510"/>
      <c r="K110" s="275"/>
      <c r="L110" s="510"/>
      <c r="M110" s="275"/>
      <c r="N110" s="510"/>
      <c r="O110" s="275"/>
      <c r="P110" s="510"/>
      <c r="Q110" s="275"/>
      <c r="R110" s="510"/>
      <c r="S110" s="275"/>
      <c r="T110" s="510"/>
      <c r="U110" s="275"/>
      <c r="V110" s="510"/>
      <c r="W110" s="275"/>
      <c r="X110" s="510"/>
      <c r="Y110" s="275"/>
      <c r="Z110" s="510"/>
      <c r="AA110" s="275"/>
      <c r="AB110" s="510"/>
      <c r="AC110" s="275"/>
      <c r="AD110" s="510"/>
      <c r="AE110" s="275"/>
      <c r="AF110" s="510"/>
      <c r="AG110" s="275"/>
      <c r="AH110" s="510"/>
      <c r="AI110" s="275"/>
      <c r="AJ110" s="510"/>
      <c r="AK110" s="275"/>
      <c r="AL110" s="510"/>
      <c r="AM110" s="275"/>
      <c r="AN110" s="510"/>
    </row>
    <row r="111" spans="1:40" s="183" customFormat="1" ht="15" customHeight="1">
      <c r="A111" s="315" t="s">
        <v>528</v>
      </c>
      <c r="B111" s="316" t="s">
        <v>52</v>
      </c>
      <c r="C111" s="317">
        <v>138187</v>
      </c>
      <c r="D111" s="318">
        <v>8</v>
      </c>
      <c r="E111" s="275">
        <v>2090.7</v>
      </c>
      <c r="F111" s="510">
        <v>2090.7</v>
      </c>
      <c r="G111" s="275">
        <v>7858.5</v>
      </c>
      <c r="H111" s="510">
        <v>7858.5</v>
      </c>
      <c r="I111" s="275"/>
      <c r="J111" s="510"/>
      <c r="K111" s="275"/>
      <c r="L111" s="510"/>
      <c r="M111" s="275"/>
      <c r="N111" s="510"/>
      <c r="O111" s="275"/>
      <c r="P111" s="510"/>
      <c r="Q111" s="275"/>
      <c r="R111" s="510"/>
      <c r="S111" s="275"/>
      <c r="T111" s="510"/>
      <c r="U111" s="275"/>
      <c r="V111" s="510"/>
      <c r="W111" s="275"/>
      <c r="X111" s="510"/>
      <c r="Y111" s="275"/>
      <c r="Z111" s="510"/>
      <c r="AA111" s="275"/>
      <c r="AB111" s="510"/>
      <c r="AC111" s="275"/>
      <c r="AD111" s="510"/>
      <c r="AE111" s="275"/>
      <c r="AF111" s="510"/>
      <c r="AG111" s="275"/>
      <c r="AH111" s="510"/>
      <c r="AI111" s="275"/>
      <c r="AJ111" s="510"/>
      <c r="AK111" s="275"/>
      <c r="AL111" s="510"/>
      <c r="AM111" s="275"/>
      <c r="AN111" s="510"/>
    </row>
    <row r="112" spans="1:40" s="183" customFormat="1" ht="15" customHeight="1">
      <c r="A112" s="315" t="s">
        <v>528</v>
      </c>
      <c r="B112" s="316" t="s">
        <v>390</v>
      </c>
      <c r="C112" s="317">
        <v>132851</v>
      </c>
      <c r="D112" s="318">
        <v>9</v>
      </c>
      <c r="E112" s="275">
        <v>2038.2</v>
      </c>
      <c r="F112" s="510">
        <v>2038.2</v>
      </c>
      <c r="G112" s="275">
        <v>7382.4</v>
      </c>
      <c r="H112" s="510">
        <v>7705.2</v>
      </c>
      <c r="I112" s="275"/>
      <c r="J112" s="510"/>
      <c r="K112" s="275"/>
      <c r="L112" s="510"/>
      <c r="M112" s="275"/>
      <c r="N112" s="510"/>
      <c r="O112" s="275"/>
      <c r="P112" s="510"/>
      <c r="Q112" s="275"/>
      <c r="R112" s="510"/>
      <c r="S112" s="275"/>
      <c r="T112" s="510"/>
      <c r="U112" s="275"/>
      <c r="V112" s="510"/>
      <c r="W112" s="275"/>
      <c r="X112" s="510"/>
      <c r="Y112" s="275"/>
      <c r="Z112" s="510"/>
      <c r="AA112" s="275"/>
      <c r="AB112" s="510"/>
      <c r="AC112" s="275"/>
      <c r="AD112" s="510"/>
      <c r="AE112" s="275"/>
      <c r="AF112" s="510"/>
      <c r="AG112" s="275"/>
      <c r="AH112" s="510"/>
      <c r="AI112" s="275"/>
      <c r="AJ112" s="510"/>
      <c r="AK112" s="275"/>
      <c r="AL112" s="510"/>
      <c r="AM112" s="275"/>
      <c r="AN112" s="510"/>
    </row>
    <row r="113" spans="1:40" s="183" customFormat="1" ht="15" customHeight="1">
      <c r="A113" s="315" t="s">
        <v>528</v>
      </c>
      <c r="B113" s="316" t="s">
        <v>396</v>
      </c>
      <c r="C113" s="317">
        <v>134343</v>
      </c>
      <c r="D113" s="318">
        <v>9</v>
      </c>
      <c r="E113" s="275">
        <v>1968</v>
      </c>
      <c r="F113" s="510">
        <v>1968</v>
      </c>
      <c r="G113" s="275">
        <v>7109.1</v>
      </c>
      <c r="H113" s="510">
        <v>7109.1</v>
      </c>
      <c r="I113" s="275"/>
      <c r="J113" s="510"/>
      <c r="K113" s="275"/>
      <c r="L113" s="510"/>
      <c r="M113" s="275"/>
      <c r="N113" s="510"/>
      <c r="O113" s="275"/>
      <c r="P113" s="510"/>
      <c r="Q113" s="275"/>
      <c r="R113" s="510"/>
      <c r="S113" s="275"/>
      <c r="T113" s="510"/>
      <c r="U113" s="275"/>
      <c r="V113" s="510"/>
      <c r="W113" s="275"/>
      <c r="X113" s="510"/>
      <c r="Y113" s="275"/>
      <c r="Z113" s="510"/>
      <c r="AA113" s="275"/>
      <c r="AB113" s="510"/>
      <c r="AC113" s="275"/>
      <c r="AD113" s="510"/>
      <c r="AE113" s="275"/>
      <c r="AF113" s="510"/>
      <c r="AG113" s="275"/>
      <c r="AH113" s="510"/>
      <c r="AI113" s="275"/>
      <c r="AJ113" s="510"/>
      <c r="AK113" s="275"/>
      <c r="AL113" s="510"/>
      <c r="AM113" s="275"/>
      <c r="AN113" s="510"/>
    </row>
    <row r="114" spans="1:40" s="183" customFormat="1" ht="15" customHeight="1">
      <c r="A114" s="315" t="s">
        <v>528</v>
      </c>
      <c r="B114" s="316" t="s">
        <v>399</v>
      </c>
      <c r="C114" s="317">
        <v>135160</v>
      </c>
      <c r="D114" s="318">
        <v>9</v>
      </c>
      <c r="E114" s="275">
        <v>1985.7</v>
      </c>
      <c r="F114" s="510">
        <v>1985.7</v>
      </c>
      <c r="G114" s="275">
        <v>7638</v>
      </c>
      <c r="H114" s="510">
        <v>7638</v>
      </c>
      <c r="I114" s="275"/>
      <c r="J114" s="510"/>
      <c r="K114" s="275"/>
      <c r="L114" s="510"/>
      <c r="M114" s="275"/>
      <c r="N114" s="510"/>
      <c r="O114" s="275"/>
      <c r="P114" s="510"/>
      <c r="Q114" s="275"/>
      <c r="R114" s="510"/>
      <c r="S114" s="275"/>
      <c r="T114" s="510"/>
      <c r="U114" s="275"/>
      <c r="V114" s="510"/>
      <c r="W114" s="275"/>
      <c r="X114" s="510"/>
      <c r="Y114" s="275"/>
      <c r="Z114" s="510"/>
      <c r="AA114" s="275"/>
      <c r="AB114" s="510"/>
      <c r="AC114" s="275"/>
      <c r="AD114" s="510"/>
      <c r="AE114" s="275"/>
      <c r="AF114" s="510"/>
      <c r="AG114" s="275"/>
      <c r="AH114" s="510"/>
      <c r="AI114" s="275"/>
      <c r="AJ114" s="510"/>
      <c r="AK114" s="275"/>
      <c r="AL114" s="510"/>
      <c r="AM114" s="275"/>
      <c r="AN114" s="510"/>
    </row>
    <row r="115" spans="1:40" s="183" customFormat="1" ht="15" customHeight="1">
      <c r="A115" s="315" t="s">
        <v>528</v>
      </c>
      <c r="B115" s="316" t="s">
        <v>400</v>
      </c>
      <c r="C115" s="317">
        <v>135188</v>
      </c>
      <c r="D115" s="318">
        <v>9</v>
      </c>
      <c r="E115" s="275">
        <v>2008.2</v>
      </c>
      <c r="F115" s="510">
        <v>2038.2</v>
      </c>
      <c r="G115" s="275">
        <v>7551.6</v>
      </c>
      <c r="H115" s="510">
        <v>7581.6</v>
      </c>
      <c r="I115" s="275"/>
      <c r="J115" s="510"/>
      <c r="K115" s="275"/>
      <c r="L115" s="510"/>
      <c r="M115" s="275"/>
      <c r="N115" s="510"/>
      <c r="O115" s="275"/>
      <c r="P115" s="510"/>
      <c r="Q115" s="275"/>
      <c r="R115" s="510"/>
      <c r="S115" s="275"/>
      <c r="T115" s="510"/>
      <c r="U115" s="275"/>
      <c r="V115" s="510"/>
      <c r="W115" s="275"/>
      <c r="X115" s="510"/>
      <c r="Y115" s="275"/>
      <c r="Z115" s="510"/>
      <c r="AA115" s="275"/>
      <c r="AB115" s="510"/>
      <c r="AC115" s="275"/>
      <c r="AD115" s="510"/>
      <c r="AE115" s="275"/>
      <c r="AF115" s="510"/>
      <c r="AG115" s="275"/>
      <c r="AH115" s="510"/>
      <c r="AI115" s="275"/>
      <c r="AJ115" s="510"/>
      <c r="AK115" s="275"/>
      <c r="AL115" s="510"/>
      <c r="AM115" s="275"/>
      <c r="AN115" s="510"/>
    </row>
    <row r="116" spans="1:40" s="183" customFormat="1" ht="15" customHeight="1">
      <c r="A116" s="315" t="s">
        <v>528</v>
      </c>
      <c r="B116" s="319" t="s">
        <v>404</v>
      </c>
      <c r="C116" s="320">
        <v>136233</v>
      </c>
      <c r="D116" s="321">
        <v>9</v>
      </c>
      <c r="E116" s="275">
        <v>1763.4</v>
      </c>
      <c r="F116" s="510">
        <v>1763.4</v>
      </c>
      <c r="G116" s="275">
        <v>6730.2</v>
      </c>
      <c r="H116" s="510">
        <v>6730.2</v>
      </c>
      <c r="I116" s="275"/>
      <c r="J116" s="510"/>
      <c r="K116" s="275"/>
      <c r="L116" s="510"/>
      <c r="M116" s="275"/>
      <c r="N116" s="510"/>
      <c r="O116" s="275"/>
      <c r="P116" s="510"/>
      <c r="Q116" s="275"/>
      <c r="R116" s="510"/>
      <c r="S116" s="275"/>
      <c r="T116" s="510"/>
      <c r="U116" s="275"/>
      <c r="V116" s="510"/>
      <c r="W116" s="275"/>
      <c r="X116" s="510"/>
      <c r="Y116" s="275"/>
      <c r="Z116" s="510"/>
      <c r="AA116" s="275"/>
      <c r="AB116" s="510"/>
      <c r="AC116" s="275"/>
      <c r="AD116" s="510"/>
      <c r="AE116" s="275"/>
      <c r="AF116" s="510"/>
      <c r="AG116" s="275"/>
      <c r="AH116" s="510"/>
      <c r="AI116" s="275"/>
      <c r="AJ116" s="510"/>
      <c r="AK116" s="275"/>
      <c r="AL116" s="510"/>
      <c r="AM116" s="275"/>
      <c r="AN116" s="510"/>
    </row>
    <row r="117" spans="1:40" s="183" customFormat="1" ht="15" customHeight="1">
      <c r="A117" s="315" t="s">
        <v>528</v>
      </c>
      <c r="B117" s="319" t="s">
        <v>406</v>
      </c>
      <c r="C117" s="317">
        <v>136400</v>
      </c>
      <c r="D117" s="318">
        <v>9</v>
      </c>
      <c r="E117" s="275">
        <v>1967.4</v>
      </c>
      <c r="F117" s="510">
        <v>1967.4</v>
      </c>
      <c r="G117" s="275">
        <v>7368.3</v>
      </c>
      <c r="H117" s="510">
        <v>7368.3</v>
      </c>
      <c r="I117" s="275"/>
      <c r="J117" s="510"/>
      <c r="K117" s="275"/>
      <c r="L117" s="510"/>
      <c r="M117" s="275"/>
      <c r="N117" s="510"/>
      <c r="O117" s="275"/>
      <c r="P117" s="510"/>
      <c r="Q117" s="275"/>
      <c r="R117" s="510"/>
      <c r="S117" s="275"/>
      <c r="T117" s="510"/>
      <c r="U117" s="275"/>
      <c r="V117" s="510"/>
      <c r="W117" s="275"/>
      <c r="X117" s="510"/>
      <c r="Y117" s="275"/>
      <c r="Z117" s="510"/>
      <c r="AA117" s="275"/>
      <c r="AB117" s="510"/>
      <c r="AC117" s="275"/>
      <c r="AD117" s="510"/>
      <c r="AE117" s="275"/>
      <c r="AF117" s="510"/>
      <c r="AG117" s="275"/>
      <c r="AH117" s="510"/>
      <c r="AI117" s="275"/>
      <c r="AJ117" s="510"/>
      <c r="AK117" s="275"/>
      <c r="AL117" s="510"/>
      <c r="AM117" s="275"/>
      <c r="AN117" s="510"/>
    </row>
    <row r="118" spans="1:40" s="183" customFormat="1" ht="15" customHeight="1">
      <c r="A118" s="315" t="s">
        <v>528</v>
      </c>
      <c r="B118" s="319" t="s">
        <v>45</v>
      </c>
      <c r="C118" s="317">
        <v>136516</v>
      </c>
      <c r="D118" s="318">
        <v>9</v>
      </c>
      <c r="E118" s="275">
        <v>2006.1</v>
      </c>
      <c r="F118" s="510">
        <v>2006.1</v>
      </c>
      <c r="G118" s="275">
        <v>7392.6</v>
      </c>
      <c r="H118" s="510">
        <v>7392.6</v>
      </c>
      <c r="I118" s="275"/>
      <c r="J118" s="510"/>
      <c r="K118" s="275"/>
      <c r="L118" s="510"/>
      <c r="M118" s="275"/>
      <c r="N118" s="510"/>
      <c r="O118" s="275"/>
      <c r="P118" s="510"/>
      <c r="Q118" s="275"/>
      <c r="R118" s="510"/>
      <c r="S118" s="275"/>
      <c r="T118" s="510"/>
      <c r="U118" s="275"/>
      <c r="V118" s="510"/>
      <c r="W118" s="275"/>
      <c r="X118" s="510"/>
      <c r="Y118" s="275"/>
      <c r="Z118" s="510"/>
      <c r="AA118" s="275"/>
      <c r="AB118" s="510"/>
      <c r="AC118" s="275"/>
      <c r="AD118" s="510"/>
      <c r="AE118" s="275"/>
      <c r="AF118" s="510"/>
      <c r="AG118" s="275"/>
      <c r="AH118" s="510"/>
      <c r="AI118" s="275"/>
      <c r="AJ118" s="510"/>
      <c r="AK118" s="275"/>
      <c r="AL118" s="510"/>
      <c r="AM118" s="275"/>
      <c r="AN118" s="510"/>
    </row>
    <row r="119" spans="1:40" s="183" customFormat="1" ht="15" customHeight="1">
      <c r="A119" s="315" t="s">
        <v>528</v>
      </c>
      <c r="B119" s="316" t="s">
        <v>50</v>
      </c>
      <c r="C119" s="317">
        <v>137315</v>
      </c>
      <c r="D119" s="318">
        <v>9</v>
      </c>
      <c r="E119" s="275">
        <v>2038.5</v>
      </c>
      <c r="F119" s="510">
        <v>2038.5</v>
      </c>
      <c r="G119" s="275">
        <v>7671.9</v>
      </c>
      <c r="H119" s="510">
        <v>7671.9</v>
      </c>
      <c r="I119" s="275"/>
      <c r="J119" s="510"/>
      <c r="K119" s="275"/>
      <c r="L119" s="510"/>
      <c r="M119" s="275"/>
      <c r="N119" s="510"/>
      <c r="O119" s="275"/>
      <c r="P119" s="510"/>
      <c r="Q119" s="275"/>
      <c r="R119" s="510"/>
      <c r="S119" s="275"/>
      <c r="T119" s="510"/>
      <c r="U119" s="275"/>
      <c r="V119" s="510"/>
      <c r="W119" s="275"/>
      <c r="X119" s="510"/>
      <c r="Y119" s="275"/>
      <c r="Z119" s="510"/>
      <c r="AA119" s="275"/>
      <c r="AB119" s="510"/>
      <c r="AC119" s="275"/>
      <c r="AD119" s="510"/>
      <c r="AE119" s="275"/>
      <c r="AF119" s="510"/>
      <c r="AG119" s="275"/>
      <c r="AH119" s="510"/>
      <c r="AI119" s="275"/>
      <c r="AJ119" s="510"/>
      <c r="AK119" s="275"/>
      <c r="AL119" s="510"/>
      <c r="AM119" s="275"/>
      <c r="AN119" s="510"/>
    </row>
    <row r="120" spans="1:40" s="183" customFormat="1" ht="15" customHeight="1">
      <c r="A120" s="315" t="s">
        <v>528</v>
      </c>
      <c r="B120" s="316" t="s">
        <v>46</v>
      </c>
      <c r="C120" s="317">
        <v>137281</v>
      </c>
      <c r="D120" s="318">
        <v>9</v>
      </c>
      <c r="E120" s="275">
        <v>2090.7</v>
      </c>
      <c r="F120" s="510">
        <v>2090.7</v>
      </c>
      <c r="G120" s="275">
        <v>7858.5</v>
      </c>
      <c r="H120" s="510">
        <v>7858.5</v>
      </c>
      <c r="I120" s="275"/>
      <c r="J120" s="510"/>
      <c r="K120" s="275"/>
      <c r="L120" s="510"/>
      <c r="M120" s="275"/>
      <c r="N120" s="510"/>
      <c r="O120" s="275"/>
      <c r="P120" s="510"/>
      <c r="Q120" s="275"/>
      <c r="R120" s="510"/>
      <c r="S120" s="275"/>
      <c r="T120" s="510"/>
      <c r="U120" s="275"/>
      <c r="V120" s="510"/>
      <c r="W120" s="275"/>
      <c r="X120" s="510"/>
      <c r="Y120" s="275"/>
      <c r="Z120" s="510"/>
      <c r="AA120" s="275"/>
      <c r="AB120" s="510"/>
      <c r="AC120" s="275"/>
      <c r="AD120" s="510"/>
      <c r="AE120" s="275"/>
      <c r="AF120" s="510"/>
      <c r="AG120" s="275"/>
      <c r="AH120" s="510"/>
      <c r="AI120" s="275"/>
      <c r="AJ120" s="510"/>
      <c r="AK120" s="275"/>
      <c r="AL120" s="510"/>
      <c r="AM120" s="275"/>
      <c r="AN120" s="510"/>
    </row>
    <row r="121" spans="1:40" s="183" customFormat="1" ht="15" customHeight="1">
      <c r="A121" s="315" t="s">
        <v>528</v>
      </c>
      <c r="B121" s="316" t="s">
        <v>395</v>
      </c>
      <c r="C121" s="317">
        <v>133960</v>
      </c>
      <c r="D121" s="318">
        <v>10</v>
      </c>
      <c r="E121" s="275">
        <v>2124.6</v>
      </c>
      <c r="F121" s="510">
        <v>2124.6</v>
      </c>
      <c r="G121" s="275">
        <v>8068.8</v>
      </c>
      <c r="H121" s="510">
        <v>8068.8</v>
      </c>
      <c r="I121" s="275"/>
      <c r="J121" s="510"/>
      <c r="K121" s="275"/>
      <c r="L121" s="510"/>
      <c r="M121" s="275"/>
      <c r="N121" s="510"/>
      <c r="O121" s="275"/>
      <c r="P121" s="510"/>
      <c r="Q121" s="275"/>
      <c r="R121" s="510"/>
      <c r="S121" s="275"/>
      <c r="T121" s="510"/>
      <c r="U121" s="275"/>
      <c r="V121" s="510"/>
      <c r="W121" s="275"/>
      <c r="X121" s="510"/>
      <c r="Y121" s="275"/>
      <c r="Z121" s="510"/>
      <c r="AA121" s="275"/>
      <c r="AB121" s="510"/>
      <c r="AC121" s="275"/>
      <c r="AD121" s="510"/>
      <c r="AE121" s="275"/>
      <c r="AF121" s="510"/>
      <c r="AG121" s="275"/>
      <c r="AH121" s="510"/>
      <c r="AI121" s="275"/>
      <c r="AJ121" s="510"/>
      <c r="AK121" s="275"/>
      <c r="AL121" s="510"/>
      <c r="AM121" s="275"/>
      <c r="AN121" s="510"/>
    </row>
    <row r="122" spans="1:40" s="183" customFormat="1" ht="15" customHeight="1">
      <c r="A122" s="315" t="s">
        <v>528</v>
      </c>
      <c r="B122" s="316" t="s">
        <v>403</v>
      </c>
      <c r="C122" s="317">
        <v>136145</v>
      </c>
      <c r="D122" s="318">
        <v>10</v>
      </c>
      <c r="E122" s="275">
        <v>1974</v>
      </c>
      <c r="F122" s="510">
        <v>1974</v>
      </c>
      <c r="G122" s="275">
        <v>6840</v>
      </c>
      <c r="H122" s="510">
        <v>6840</v>
      </c>
      <c r="I122" s="275"/>
      <c r="J122" s="510"/>
      <c r="K122" s="275"/>
      <c r="L122" s="510"/>
      <c r="M122" s="275"/>
      <c r="N122" s="510"/>
      <c r="O122" s="275"/>
      <c r="P122" s="510"/>
      <c r="Q122" s="275"/>
      <c r="R122" s="510"/>
      <c r="S122" s="275"/>
      <c r="T122" s="510"/>
      <c r="U122" s="275"/>
      <c r="V122" s="510"/>
      <c r="W122" s="275"/>
      <c r="X122" s="510"/>
      <c r="Y122" s="275"/>
      <c r="Z122" s="510"/>
      <c r="AA122" s="275"/>
      <c r="AB122" s="510"/>
      <c r="AC122" s="275"/>
      <c r="AD122" s="510"/>
      <c r="AE122" s="275"/>
      <c r="AF122" s="510"/>
      <c r="AG122" s="275"/>
      <c r="AH122" s="510"/>
      <c r="AI122" s="275"/>
      <c r="AJ122" s="510"/>
      <c r="AK122" s="275"/>
      <c r="AL122" s="510"/>
      <c r="AM122" s="275"/>
      <c r="AN122" s="510"/>
    </row>
    <row r="123" spans="1:40" s="183" customFormat="1" ht="15" customHeight="1">
      <c r="A123" s="372" t="s">
        <v>536</v>
      </c>
      <c r="B123" s="373" t="s">
        <v>665</v>
      </c>
      <c r="C123" s="374">
        <v>139959</v>
      </c>
      <c r="D123" s="374">
        <v>1</v>
      </c>
      <c r="E123" s="275">
        <v>4964</v>
      </c>
      <c r="F123" s="510">
        <v>5622</v>
      </c>
      <c r="G123" s="275">
        <v>18040</v>
      </c>
      <c r="H123" s="510">
        <v>20726</v>
      </c>
      <c r="I123" s="275">
        <v>5658</v>
      </c>
      <c r="J123" s="510">
        <v>6170</v>
      </c>
      <c r="K123" s="275">
        <v>20778</v>
      </c>
      <c r="L123" s="510">
        <v>21424</v>
      </c>
      <c r="M123" s="275">
        <f>(5466*2)+(536*2)</f>
        <v>12004</v>
      </c>
      <c r="N123" s="535">
        <v>12058</v>
      </c>
      <c r="O123" s="275">
        <f>(13964*2)+(536*2)</f>
        <v>29000</v>
      </c>
      <c r="P123" s="536">
        <v>29054</v>
      </c>
      <c r="Q123" s="275"/>
      <c r="R123" s="510"/>
      <c r="S123" s="275"/>
      <c r="T123" s="510"/>
      <c r="U123" s="275"/>
      <c r="V123" s="510"/>
      <c r="W123" s="275"/>
      <c r="X123" s="510"/>
      <c r="Y123" s="275">
        <f>(2*536)+(4602*2)</f>
        <v>10276</v>
      </c>
      <c r="Z123" s="539">
        <v>10330</v>
      </c>
      <c r="AA123" s="275"/>
      <c r="AB123" s="510"/>
      <c r="AC123" s="275"/>
      <c r="AD123" s="510"/>
      <c r="AE123" s="275"/>
      <c r="AF123" s="510"/>
      <c r="AG123" s="275"/>
      <c r="AH123" s="510"/>
      <c r="AI123" s="275"/>
      <c r="AJ123" s="510"/>
      <c r="AK123" s="275">
        <f>(2*536)+(5683*2)</f>
        <v>12438</v>
      </c>
      <c r="AL123" s="510">
        <f>(6024*2)+(587*2)</f>
        <v>13222</v>
      </c>
      <c r="AM123" s="275"/>
      <c r="AN123" s="510"/>
    </row>
    <row r="124" spans="1:40" s="183" customFormat="1" ht="15" customHeight="1">
      <c r="A124" s="372" t="s">
        <v>536</v>
      </c>
      <c r="B124" s="372" t="s">
        <v>664</v>
      </c>
      <c r="C124" s="196">
        <v>139940</v>
      </c>
      <c r="D124" s="196">
        <v>1</v>
      </c>
      <c r="E124" s="275">
        <v>4818</v>
      </c>
      <c r="F124" s="510">
        <v>5484</v>
      </c>
      <c r="G124" s="275">
        <v>16496</v>
      </c>
      <c r="H124" s="510">
        <v>18972</v>
      </c>
      <c r="I124" s="275">
        <v>5512</v>
      </c>
      <c r="J124" s="510">
        <v>6286</v>
      </c>
      <c r="K124" s="275">
        <v>19264</v>
      </c>
      <c r="L124" s="510">
        <v>22170</v>
      </c>
      <c r="M124" s="275">
        <f>+(4214*2)+(463*2)</f>
        <v>9354</v>
      </c>
      <c r="N124" s="535">
        <v>9416</v>
      </c>
      <c r="O124" s="275">
        <f>+(13407*2)+(463*2)</f>
        <v>27740</v>
      </c>
      <c r="P124" s="536">
        <v>27802</v>
      </c>
      <c r="Q124" s="275"/>
      <c r="R124" s="510"/>
      <c r="S124" s="275"/>
      <c r="T124" s="510"/>
      <c r="U124" s="275"/>
      <c r="V124" s="510"/>
      <c r="W124" s="275"/>
      <c r="X124" s="510"/>
      <c r="Y124" s="275"/>
      <c r="Z124" s="537"/>
      <c r="AA124" s="275"/>
      <c r="AB124" s="510"/>
      <c r="AC124" s="275"/>
      <c r="AD124" s="510"/>
      <c r="AE124" s="275"/>
      <c r="AF124" s="510"/>
      <c r="AG124" s="275"/>
      <c r="AH124" s="510"/>
      <c r="AI124" s="275"/>
      <c r="AJ124" s="510"/>
      <c r="AK124" s="275"/>
      <c r="AL124" s="510"/>
      <c r="AM124" s="275"/>
      <c r="AN124" s="510"/>
    </row>
    <row r="125" spans="1:40" s="183" customFormat="1" ht="15" customHeight="1">
      <c r="A125" s="372" t="s">
        <v>536</v>
      </c>
      <c r="B125" s="372" t="s">
        <v>666</v>
      </c>
      <c r="C125" s="196">
        <v>139755</v>
      </c>
      <c r="D125" s="196">
        <v>2</v>
      </c>
      <c r="E125" s="275">
        <v>4926</v>
      </c>
      <c r="F125" s="510">
        <v>5642</v>
      </c>
      <c r="G125" s="275">
        <v>20272</v>
      </c>
      <c r="H125" s="510">
        <v>23366</v>
      </c>
      <c r="I125" s="275">
        <v>5620</v>
      </c>
      <c r="J125" s="510">
        <v>6444</v>
      </c>
      <c r="K125" s="275">
        <v>20244</v>
      </c>
      <c r="L125" s="510">
        <v>23334</v>
      </c>
      <c r="M125" s="275"/>
      <c r="N125" s="510"/>
      <c r="O125" s="275"/>
      <c r="P125" s="510"/>
      <c r="Q125" s="275"/>
      <c r="R125" s="510"/>
      <c r="S125" s="275"/>
      <c r="T125" s="510"/>
      <c r="U125" s="275"/>
      <c r="V125" s="510"/>
      <c r="W125" s="275"/>
      <c r="X125" s="510"/>
      <c r="Y125" s="275"/>
      <c r="Z125" s="510"/>
      <c r="AA125" s="275"/>
      <c r="AB125" s="510"/>
      <c r="AC125" s="275"/>
      <c r="AD125" s="510"/>
      <c r="AE125" s="275"/>
      <c r="AF125" s="510"/>
      <c r="AG125" s="275"/>
      <c r="AH125" s="510"/>
      <c r="AI125" s="275"/>
      <c r="AJ125" s="510"/>
      <c r="AK125" s="275"/>
      <c r="AL125" s="510"/>
      <c r="AM125" s="275"/>
      <c r="AN125" s="510"/>
    </row>
    <row r="126" spans="1:40" s="183" customFormat="1" ht="15" customHeight="1">
      <c r="A126" s="372" t="s">
        <v>536</v>
      </c>
      <c r="B126" s="372" t="s">
        <v>667</v>
      </c>
      <c r="C126" s="196">
        <v>139931</v>
      </c>
      <c r="D126" s="196">
        <v>3</v>
      </c>
      <c r="E126" s="275">
        <v>3612</v>
      </c>
      <c r="F126" s="510">
        <v>4082</v>
      </c>
      <c r="G126" s="275">
        <v>11294</v>
      </c>
      <c r="H126" s="510">
        <v>12954</v>
      </c>
      <c r="I126" s="275">
        <v>4096</v>
      </c>
      <c r="J126" s="510">
        <v>4640</v>
      </c>
      <c r="K126" s="275">
        <v>13224</v>
      </c>
      <c r="L126" s="510">
        <v>15184</v>
      </c>
      <c r="M126" s="275"/>
      <c r="N126" s="510"/>
      <c r="O126" s="275"/>
      <c r="P126" s="510"/>
      <c r="Q126" s="275"/>
      <c r="R126" s="510"/>
      <c r="S126" s="275"/>
      <c r="T126" s="510"/>
      <c r="U126" s="275"/>
      <c r="V126" s="510"/>
      <c r="W126" s="275"/>
      <c r="X126" s="510"/>
      <c r="Y126" s="275"/>
      <c r="Z126" s="510"/>
      <c r="AA126" s="275"/>
      <c r="AB126" s="510"/>
      <c r="AC126" s="275"/>
      <c r="AD126" s="510"/>
      <c r="AE126" s="275"/>
      <c r="AF126" s="510"/>
      <c r="AG126" s="275"/>
      <c r="AH126" s="510"/>
      <c r="AI126" s="275"/>
      <c r="AJ126" s="510"/>
      <c r="AK126" s="275"/>
      <c r="AL126" s="510"/>
      <c r="AM126" s="275"/>
      <c r="AN126" s="510"/>
    </row>
    <row r="127" spans="1:40" s="183" customFormat="1" ht="15" customHeight="1">
      <c r="A127" s="372" t="s">
        <v>536</v>
      </c>
      <c r="B127" s="375" t="s">
        <v>668</v>
      </c>
      <c r="C127" s="196">
        <v>141334</v>
      </c>
      <c r="D127" s="196">
        <v>3</v>
      </c>
      <c r="E127" s="275">
        <v>3460</v>
      </c>
      <c r="F127" s="510">
        <v>3918</v>
      </c>
      <c r="G127" s="275">
        <v>11142</v>
      </c>
      <c r="H127" s="510">
        <v>12790</v>
      </c>
      <c r="I127" s="275">
        <v>3944</v>
      </c>
      <c r="J127" s="510">
        <v>4218</v>
      </c>
      <c r="K127" s="275">
        <v>13072</v>
      </c>
      <c r="L127" s="510">
        <v>13986</v>
      </c>
      <c r="M127" s="275"/>
      <c r="N127" s="510"/>
      <c r="O127" s="275"/>
      <c r="P127" s="510"/>
      <c r="Q127" s="275"/>
      <c r="R127" s="510"/>
      <c r="S127" s="275"/>
      <c r="T127" s="510"/>
      <c r="U127" s="275"/>
      <c r="V127" s="510"/>
      <c r="W127" s="275"/>
      <c r="X127" s="510"/>
      <c r="Y127" s="275"/>
      <c r="Z127" s="510"/>
      <c r="AA127" s="275"/>
      <c r="AB127" s="510"/>
      <c r="AC127" s="275"/>
      <c r="AD127" s="510"/>
      <c r="AE127" s="275"/>
      <c r="AF127" s="510"/>
      <c r="AG127" s="275"/>
      <c r="AH127" s="510"/>
      <c r="AI127" s="275"/>
      <c r="AJ127" s="510"/>
      <c r="AK127" s="275"/>
      <c r="AL127" s="510"/>
      <c r="AM127" s="275"/>
      <c r="AN127" s="510"/>
    </row>
    <row r="128" spans="1:40" s="183" customFormat="1" ht="15" customHeight="1">
      <c r="A128" s="372" t="s">
        <v>536</v>
      </c>
      <c r="B128" s="375" t="s">
        <v>669</v>
      </c>
      <c r="C128" s="196">
        <v>141264</v>
      </c>
      <c r="D128" s="196">
        <v>3</v>
      </c>
      <c r="E128" s="275">
        <v>3490</v>
      </c>
      <c r="F128" s="510">
        <v>4038</v>
      </c>
      <c r="G128" s="275">
        <v>11172</v>
      </c>
      <c r="H128" s="510">
        <v>12910</v>
      </c>
      <c r="I128" s="275">
        <v>3974</v>
      </c>
      <c r="J128" s="510">
        <v>4596</v>
      </c>
      <c r="K128" s="275">
        <v>13102</v>
      </c>
      <c r="L128" s="510">
        <v>15140</v>
      </c>
      <c r="M128" s="275"/>
      <c r="N128" s="510"/>
      <c r="O128" s="275"/>
      <c r="P128" s="510"/>
      <c r="Q128" s="275"/>
      <c r="R128" s="510"/>
      <c r="S128" s="275"/>
      <c r="T128" s="510"/>
      <c r="U128" s="275"/>
      <c r="V128" s="510"/>
      <c r="W128" s="275"/>
      <c r="X128" s="510"/>
      <c r="Y128" s="275"/>
      <c r="Z128" s="510"/>
      <c r="AA128" s="275"/>
      <c r="AB128" s="510"/>
      <c r="AC128" s="275"/>
      <c r="AD128" s="510"/>
      <c r="AE128" s="275"/>
      <c r="AF128" s="510"/>
      <c r="AG128" s="275"/>
      <c r="AH128" s="510"/>
      <c r="AI128" s="275"/>
      <c r="AJ128" s="510"/>
      <c r="AK128" s="275"/>
      <c r="AL128" s="510"/>
      <c r="AM128" s="275"/>
      <c r="AN128" s="510"/>
    </row>
    <row r="129" spans="1:40" s="183" customFormat="1" ht="15" customHeight="1">
      <c r="A129" s="372" t="s">
        <v>536</v>
      </c>
      <c r="B129" s="372" t="s">
        <v>670</v>
      </c>
      <c r="C129" s="196">
        <v>138716</v>
      </c>
      <c r="D129" s="196">
        <v>4</v>
      </c>
      <c r="E129" s="275">
        <v>3154</v>
      </c>
      <c r="F129" s="510">
        <v>3470</v>
      </c>
      <c r="G129" s="275">
        <v>10836</v>
      </c>
      <c r="H129" s="510">
        <v>12074</v>
      </c>
      <c r="I129" s="275">
        <v>3638</v>
      </c>
      <c r="J129" s="510">
        <v>4012</v>
      </c>
      <c r="K129" s="275">
        <v>12766</v>
      </c>
      <c r="L129" s="510">
        <v>14236</v>
      </c>
      <c r="M129" s="275"/>
      <c r="N129" s="510"/>
      <c r="O129" s="275"/>
      <c r="P129" s="510"/>
      <c r="Q129" s="275"/>
      <c r="R129" s="510"/>
      <c r="S129" s="275"/>
      <c r="T129" s="510"/>
      <c r="U129" s="275"/>
      <c r="V129" s="510"/>
      <c r="W129" s="275"/>
      <c r="X129" s="510"/>
      <c r="Y129" s="275"/>
      <c r="Z129" s="510"/>
      <c r="AA129" s="275"/>
      <c r="AB129" s="510"/>
      <c r="AC129" s="275"/>
      <c r="AD129" s="510"/>
      <c r="AE129" s="275"/>
      <c r="AF129" s="510"/>
      <c r="AG129" s="275"/>
      <c r="AH129" s="510"/>
      <c r="AI129" s="275"/>
      <c r="AJ129" s="510"/>
      <c r="AK129" s="275"/>
      <c r="AL129" s="510"/>
      <c r="AM129" s="275"/>
      <c r="AN129" s="510"/>
    </row>
    <row r="130" spans="1:40" s="183" customFormat="1" ht="15" customHeight="1">
      <c r="A130" s="372" t="s">
        <v>536</v>
      </c>
      <c r="B130" s="372" t="s">
        <v>671</v>
      </c>
      <c r="C130" s="196">
        <v>138789</v>
      </c>
      <c r="D130" s="196">
        <v>4</v>
      </c>
      <c r="E130" s="275">
        <v>3074</v>
      </c>
      <c r="F130" s="510">
        <v>3424</v>
      </c>
      <c r="G130" s="275">
        <v>10756</v>
      </c>
      <c r="H130" s="510">
        <v>12028</v>
      </c>
      <c r="I130" s="275">
        <v>3558</v>
      </c>
      <c r="J130" s="510">
        <v>3784</v>
      </c>
      <c r="K130" s="275">
        <v>12686</v>
      </c>
      <c r="L130" s="510">
        <v>13460</v>
      </c>
      <c r="M130" s="275"/>
      <c r="N130" s="510"/>
      <c r="O130" s="275"/>
      <c r="P130" s="510"/>
      <c r="Q130" s="275"/>
      <c r="R130" s="510"/>
      <c r="S130" s="275"/>
      <c r="T130" s="510"/>
      <c r="U130" s="275"/>
      <c r="V130" s="510"/>
      <c r="W130" s="275"/>
      <c r="X130" s="510"/>
      <c r="Y130" s="275"/>
      <c r="Z130" s="510"/>
      <c r="AA130" s="275"/>
      <c r="AB130" s="510"/>
      <c r="AC130" s="275"/>
      <c r="AD130" s="510"/>
      <c r="AE130" s="275"/>
      <c r="AF130" s="510"/>
      <c r="AG130" s="275"/>
      <c r="AH130" s="510"/>
      <c r="AI130" s="275"/>
      <c r="AJ130" s="510"/>
      <c r="AK130" s="275"/>
      <c r="AL130" s="510"/>
      <c r="AM130" s="275"/>
      <c r="AN130" s="510"/>
    </row>
    <row r="131" spans="1:40" s="183" customFormat="1" ht="15" customHeight="1">
      <c r="A131" s="372" t="s">
        <v>536</v>
      </c>
      <c r="B131" s="372" t="s">
        <v>672</v>
      </c>
      <c r="C131" s="196">
        <v>139366</v>
      </c>
      <c r="D131" s="196">
        <v>4</v>
      </c>
      <c r="E131" s="275">
        <v>3188</v>
      </c>
      <c r="F131" s="510">
        <v>3514</v>
      </c>
      <c r="G131" s="275">
        <v>10870</v>
      </c>
      <c r="H131" s="510">
        <v>12118</v>
      </c>
      <c r="I131" s="275">
        <v>3672</v>
      </c>
      <c r="J131" s="510">
        <v>4056</v>
      </c>
      <c r="K131" s="275">
        <v>12800</v>
      </c>
      <c r="L131" s="510">
        <v>14280</v>
      </c>
      <c r="M131" s="275"/>
      <c r="N131" s="510"/>
      <c r="O131" s="275"/>
      <c r="P131" s="510"/>
      <c r="Q131" s="275"/>
      <c r="R131" s="510"/>
      <c r="S131" s="275"/>
      <c r="T131" s="510"/>
      <c r="U131" s="275"/>
      <c r="V131" s="510"/>
      <c r="W131" s="275"/>
      <c r="X131" s="510"/>
      <c r="Y131" s="275"/>
      <c r="Z131" s="510"/>
      <c r="AA131" s="275"/>
      <c r="AB131" s="510"/>
      <c r="AC131" s="275"/>
      <c r="AD131" s="510"/>
      <c r="AE131" s="275"/>
      <c r="AF131" s="510"/>
      <c r="AG131" s="275"/>
      <c r="AH131" s="510"/>
      <c r="AI131" s="275"/>
      <c r="AJ131" s="510"/>
      <c r="AK131" s="275"/>
      <c r="AL131" s="510"/>
      <c r="AM131" s="275"/>
      <c r="AN131" s="510"/>
    </row>
    <row r="132" spans="1:40" s="183" customFormat="1" ht="15" customHeight="1">
      <c r="A132" s="372" t="s">
        <v>536</v>
      </c>
      <c r="B132" s="372" t="s">
        <v>673</v>
      </c>
      <c r="C132" s="196">
        <v>139861</v>
      </c>
      <c r="D132" s="196">
        <v>4</v>
      </c>
      <c r="E132" s="275">
        <v>4424</v>
      </c>
      <c r="F132" s="510">
        <v>5066</v>
      </c>
      <c r="G132" s="275">
        <v>15352</v>
      </c>
      <c r="H132" s="510">
        <v>17688</v>
      </c>
      <c r="I132" s="275">
        <v>5070</v>
      </c>
      <c r="J132" s="510">
        <v>5812</v>
      </c>
      <c r="K132" s="275">
        <v>17936</v>
      </c>
      <c r="L132" s="510">
        <v>20672</v>
      </c>
      <c r="M132" s="275"/>
      <c r="N132" s="510"/>
      <c r="O132" s="275"/>
      <c r="P132" s="510"/>
      <c r="Q132" s="275"/>
      <c r="R132" s="510"/>
      <c r="S132" s="275"/>
      <c r="T132" s="510"/>
      <c r="U132" s="275"/>
      <c r="V132" s="510"/>
      <c r="W132" s="275"/>
      <c r="X132" s="510"/>
      <c r="Y132" s="275"/>
      <c r="Z132" s="510"/>
      <c r="AA132" s="275"/>
      <c r="AB132" s="510"/>
      <c r="AC132" s="275"/>
      <c r="AD132" s="510"/>
      <c r="AE132" s="275"/>
      <c r="AF132" s="510"/>
      <c r="AG132" s="275"/>
      <c r="AH132" s="510"/>
      <c r="AI132" s="275"/>
      <c r="AJ132" s="510"/>
      <c r="AK132" s="275"/>
      <c r="AL132" s="510"/>
      <c r="AM132" s="275"/>
      <c r="AN132" s="510"/>
    </row>
    <row r="133" spans="1:40" s="183" customFormat="1" ht="15" customHeight="1">
      <c r="A133" s="372" t="s">
        <v>536</v>
      </c>
      <c r="B133" s="372" t="s">
        <v>674</v>
      </c>
      <c r="C133" s="196">
        <v>140164</v>
      </c>
      <c r="D133" s="196">
        <v>4</v>
      </c>
      <c r="E133" s="275">
        <v>3266</v>
      </c>
      <c r="F133" s="510">
        <v>3806</v>
      </c>
      <c r="G133" s="275">
        <v>10948</v>
      </c>
      <c r="H133" s="510">
        <v>12678</v>
      </c>
      <c r="I133" s="275">
        <v>3750</v>
      </c>
      <c r="J133" s="510">
        <v>4516</v>
      </c>
      <c r="K133" s="275">
        <v>12878</v>
      </c>
      <c r="L133" s="510">
        <v>15518</v>
      </c>
      <c r="M133" s="275"/>
      <c r="N133" s="510"/>
      <c r="O133" s="275"/>
      <c r="P133" s="510"/>
      <c r="Q133" s="275"/>
      <c r="R133" s="510"/>
      <c r="S133" s="275"/>
      <c r="T133" s="510"/>
      <c r="U133" s="275"/>
      <c r="V133" s="510"/>
      <c r="W133" s="275"/>
      <c r="X133" s="510"/>
      <c r="Y133" s="275"/>
      <c r="Z133" s="510"/>
      <c r="AA133" s="275"/>
      <c r="AB133" s="510"/>
      <c r="AC133" s="275"/>
      <c r="AD133" s="510"/>
      <c r="AE133" s="275"/>
      <c r="AF133" s="510"/>
      <c r="AG133" s="275"/>
      <c r="AH133" s="510"/>
      <c r="AI133" s="275"/>
      <c r="AJ133" s="510"/>
      <c r="AK133" s="275"/>
      <c r="AL133" s="510"/>
      <c r="AM133" s="275"/>
      <c r="AN133" s="510"/>
    </row>
    <row r="134" spans="1:40" s="183" customFormat="1" ht="15" customHeight="1">
      <c r="A134" s="372" t="s">
        <v>536</v>
      </c>
      <c r="B134" s="372" t="s">
        <v>0</v>
      </c>
      <c r="C134" s="196">
        <v>138983</v>
      </c>
      <c r="D134" s="196">
        <v>5</v>
      </c>
      <c r="E134" s="275">
        <v>3066</v>
      </c>
      <c r="F134" s="510">
        <v>3404</v>
      </c>
      <c r="G134" s="275">
        <v>10748</v>
      </c>
      <c r="H134" s="510">
        <v>12008</v>
      </c>
      <c r="I134" s="275">
        <v>3550</v>
      </c>
      <c r="J134" s="510">
        <v>3728</v>
      </c>
      <c r="K134" s="275">
        <v>12678</v>
      </c>
      <c r="L134" s="510">
        <v>13328</v>
      </c>
      <c r="M134" s="275"/>
      <c r="N134" s="510"/>
      <c r="O134" s="275"/>
      <c r="P134" s="510"/>
      <c r="Q134" s="275"/>
      <c r="R134" s="510"/>
      <c r="S134" s="275"/>
      <c r="T134" s="510"/>
      <c r="U134" s="275"/>
      <c r="V134" s="510"/>
      <c r="W134" s="275"/>
      <c r="X134" s="510"/>
      <c r="Y134" s="275"/>
      <c r="Z134" s="510"/>
      <c r="AA134" s="275"/>
      <c r="AB134" s="510"/>
      <c r="AC134" s="275"/>
      <c r="AD134" s="510"/>
      <c r="AE134" s="275"/>
      <c r="AF134" s="510"/>
      <c r="AG134" s="275"/>
      <c r="AH134" s="510"/>
      <c r="AI134" s="275"/>
      <c r="AJ134" s="510"/>
      <c r="AK134" s="275"/>
      <c r="AL134" s="510"/>
      <c r="AM134" s="275"/>
      <c r="AN134" s="510"/>
    </row>
    <row r="135" spans="1:40" s="183" customFormat="1" ht="15" customHeight="1">
      <c r="A135" s="372" t="s">
        <v>536</v>
      </c>
      <c r="B135" s="372" t="s">
        <v>1</v>
      </c>
      <c r="C135" s="196">
        <v>139719</v>
      </c>
      <c r="D135" s="196">
        <v>5</v>
      </c>
      <c r="E135" s="275">
        <v>3210</v>
      </c>
      <c r="F135" s="510">
        <v>3558</v>
      </c>
      <c r="G135" s="275">
        <v>10892</v>
      </c>
      <c r="H135" s="510">
        <v>12162</v>
      </c>
      <c r="I135" s="275">
        <v>3694</v>
      </c>
      <c r="J135" s="510">
        <v>3918</v>
      </c>
      <c r="K135" s="275">
        <v>12822</v>
      </c>
      <c r="L135" s="510">
        <v>13594</v>
      </c>
      <c r="M135" s="275"/>
      <c r="N135" s="510"/>
      <c r="O135" s="275"/>
      <c r="P135" s="510"/>
      <c r="Q135" s="275"/>
      <c r="R135" s="510"/>
      <c r="S135" s="275"/>
      <c r="T135" s="510"/>
      <c r="U135" s="275"/>
      <c r="V135" s="510"/>
      <c r="W135" s="275"/>
      <c r="X135" s="510"/>
      <c r="Y135" s="275"/>
      <c r="Z135" s="510"/>
      <c r="AA135" s="275"/>
      <c r="AB135" s="510"/>
      <c r="AC135" s="275"/>
      <c r="AD135" s="510"/>
      <c r="AE135" s="275"/>
      <c r="AF135" s="510"/>
      <c r="AG135" s="275"/>
      <c r="AH135" s="510"/>
      <c r="AI135" s="275"/>
      <c r="AJ135" s="510"/>
      <c r="AK135" s="275"/>
      <c r="AL135" s="510"/>
      <c r="AM135" s="275"/>
      <c r="AN135" s="510"/>
    </row>
    <row r="136" spans="1:40" s="183" customFormat="1" ht="15" customHeight="1">
      <c r="A136" s="372" t="s">
        <v>536</v>
      </c>
      <c r="B136" s="372" t="s">
        <v>2</v>
      </c>
      <c r="C136" s="196">
        <v>139764</v>
      </c>
      <c r="D136" s="196">
        <v>5</v>
      </c>
      <c r="E136" s="275">
        <v>3206</v>
      </c>
      <c r="F136" s="510">
        <v>3546</v>
      </c>
      <c r="G136" s="275">
        <v>10888</v>
      </c>
      <c r="H136" s="510">
        <v>12150</v>
      </c>
      <c r="I136" s="275">
        <v>3690</v>
      </c>
      <c r="J136" s="510">
        <v>3906</v>
      </c>
      <c r="K136" s="275">
        <v>12818</v>
      </c>
      <c r="L136" s="510">
        <v>13582</v>
      </c>
      <c r="M136" s="275"/>
      <c r="N136" s="510"/>
      <c r="O136" s="275"/>
      <c r="P136" s="510"/>
      <c r="Q136" s="275"/>
      <c r="R136" s="510"/>
      <c r="S136" s="275"/>
      <c r="T136" s="510"/>
      <c r="U136" s="275"/>
      <c r="V136" s="510"/>
      <c r="W136" s="275"/>
      <c r="X136" s="510"/>
      <c r="Y136" s="275"/>
      <c r="Z136" s="510"/>
      <c r="AA136" s="275"/>
      <c r="AB136" s="510"/>
      <c r="AC136" s="275"/>
      <c r="AD136" s="510"/>
      <c r="AE136" s="275"/>
      <c r="AF136" s="510"/>
      <c r="AG136" s="275"/>
      <c r="AH136" s="510"/>
      <c r="AI136" s="275"/>
      <c r="AJ136" s="510"/>
      <c r="AK136" s="275"/>
      <c r="AL136" s="510"/>
      <c r="AM136" s="275"/>
      <c r="AN136" s="510"/>
    </row>
    <row r="137" spans="1:40" s="183" customFormat="1" ht="15" customHeight="1">
      <c r="A137" s="372" t="s">
        <v>536</v>
      </c>
      <c r="B137" s="372" t="s">
        <v>3</v>
      </c>
      <c r="C137" s="196">
        <v>140669</v>
      </c>
      <c r="D137" s="196">
        <v>5</v>
      </c>
      <c r="E137" s="275">
        <v>3262</v>
      </c>
      <c r="F137" s="510">
        <v>3620</v>
      </c>
      <c r="G137" s="275">
        <v>10944</v>
      </c>
      <c r="H137" s="510">
        <v>12224</v>
      </c>
      <c r="I137" s="275">
        <v>3746</v>
      </c>
      <c r="J137" s="510">
        <v>4162</v>
      </c>
      <c r="K137" s="275">
        <v>12874</v>
      </c>
      <c r="L137" s="510">
        <v>14386</v>
      </c>
      <c r="M137" s="275"/>
      <c r="N137" s="510"/>
      <c r="O137" s="275"/>
      <c r="P137" s="510"/>
      <c r="Q137" s="275"/>
      <c r="R137" s="510"/>
      <c r="S137" s="275"/>
      <c r="T137" s="510"/>
      <c r="U137" s="275"/>
      <c r="V137" s="510"/>
      <c r="W137" s="275"/>
      <c r="X137" s="510"/>
      <c r="Y137" s="275"/>
      <c r="Z137" s="510"/>
      <c r="AA137" s="275"/>
      <c r="AB137" s="510"/>
      <c r="AC137" s="275"/>
      <c r="AD137" s="510"/>
      <c r="AE137" s="275"/>
      <c r="AF137" s="510"/>
      <c r="AG137" s="275"/>
      <c r="AH137" s="510"/>
      <c r="AI137" s="275"/>
      <c r="AJ137" s="510"/>
      <c r="AK137" s="275"/>
      <c r="AL137" s="510"/>
      <c r="AM137" s="275"/>
      <c r="AN137" s="510"/>
    </row>
    <row r="138" spans="1:40" s="183" customFormat="1" ht="15" customHeight="1">
      <c r="A138" s="372" t="s">
        <v>536</v>
      </c>
      <c r="B138" s="372" t="s">
        <v>4</v>
      </c>
      <c r="C138" s="196">
        <v>140960</v>
      </c>
      <c r="D138" s="196">
        <v>5</v>
      </c>
      <c r="E138" s="275">
        <v>3178</v>
      </c>
      <c r="F138" s="510">
        <v>3486</v>
      </c>
      <c r="G138" s="275">
        <v>10860</v>
      </c>
      <c r="H138" s="510">
        <v>12090</v>
      </c>
      <c r="I138" s="275">
        <v>3662</v>
      </c>
      <c r="J138" s="510">
        <v>3846</v>
      </c>
      <c r="K138" s="275">
        <v>12790</v>
      </c>
      <c r="L138" s="510">
        <v>13522</v>
      </c>
      <c r="M138" s="275"/>
      <c r="N138" s="510"/>
      <c r="O138" s="275"/>
      <c r="P138" s="510"/>
      <c r="Q138" s="275"/>
      <c r="R138" s="510"/>
      <c r="S138" s="275"/>
      <c r="T138" s="510"/>
      <c r="U138" s="275"/>
      <c r="V138" s="510"/>
      <c r="W138" s="275"/>
      <c r="X138" s="510"/>
      <c r="Y138" s="275"/>
      <c r="Z138" s="510"/>
      <c r="AA138" s="275"/>
      <c r="AB138" s="510"/>
      <c r="AC138" s="275"/>
      <c r="AD138" s="510"/>
      <c r="AE138" s="275"/>
      <c r="AF138" s="510"/>
      <c r="AG138" s="275"/>
      <c r="AH138" s="510"/>
      <c r="AI138" s="275"/>
      <c r="AJ138" s="510"/>
      <c r="AK138" s="275"/>
      <c r="AL138" s="510"/>
      <c r="AM138" s="275"/>
      <c r="AN138" s="510"/>
    </row>
    <row r="139" spans="1:40" s="183" customFormat="1" ht="15" customHeight="1">
      <c r="A139" s="372" t="s">
        <v>536</v>
      </c>
      <c r="B139" s="375" t="s">
        <v>5</v>
      </c>
      <c r="C139" s="196">
        <v>139311</v>
      </c>
      <c r="D139" s="196">
        <v>6</v>
      </c>
      <c r="E139" s="275">
        <v>3124</v>
      </c>
      <c r="F139" s="510">
        <v>3582</v>
      </c>
      <c r="G139" s="275">
        <v>10806</v>
      </c>
      <c r="H139" s="510">
        <v>12186</v>
      </c>
      <c r="I139" s="275"/>
      <c r="J139" s="510">
        <v>4194</v>
      </c>
      <c r="K139" s="275"/>
      <c r="L139" s="510">
        <v>14754</v>
      </c>
      <c r="M139" s="275"/>
      <c r="N139" s="510"/>
      <c r="O139" s="275"/>
      <c r="P139" s="510"/>
      <c r="Q139" s="275"/>
      <c r="R139" s="510"/>
      <c r="S139" s="275"/>
      <c r="T139" s="510"/>
      <c r="U139" s="275"/>
      <c r="V139" s="510"/>
      <c r="W139" s="275"/>
      <c r="X139" s="510"/>
      <c r="Y139" s="275"/>
      <c r="Z139" s="510"/>
      <c r="AA139" s="275"/>
      <c r="AB139" s="510"/>
      <c r="AC139" s="275"/>
      <c r="AD139" s="510"/>
      <c r="AE139" s="275"/>
      <c r="AF139" s="510"/>
      <c r="AG139" s="275"/>
      <c r="AH139" s="510"/>
      <c r="AI139" s="275"/>
      <c r="AJ139" s="510"/>
      <c r="AK139" s="275"/>
      <c r="AL139" s="510"/>
      <c r="AM139" s="275"/>
      <c r="AN139" s="510"/>
    </row>
    <row r="140" spans="1:40" s="183" customFormat="1" ht="15" customHeight="1">
      <c r="A140" s="372" t="s">
        <v>536</v>
      </c>
      <c r="B140" s="447" t="s">
        <v>408</v>
      </c>
      <c r="C140" s="380">
        <v>447689</v>
      </c>
      <c r="D140" s="377">
        <v>6</v>
      </c>
      <c r="E140" s="275"/>
      <c r="F140" s="510"/>
      <c r="G140" s="275"/>
      <c r="H140" s="510"/>
      <c r="I140" s="275"/>
      <c r="J140" s="510"/>
      <c r="K140" s="275"/>
      <c r="L140" s="510"/>
      <c r="M140" s="275"/>
      <c r="N140" s="510"/>
      <c r="O140" s="275"/>
      <c r="P140" s="510"/>
      <c r="Q140" s="275"/>
      <c r="R140" s="510"/>
      <c r="S140" s="275"/>
      <c r="T140" s="510"/>
      <c r="U140" s="275"/>
      <c r="V140" s="510"/>
      <c r="W140" s="275"/>
      <c r="X140" s="510"/>
      <c r="Y140" s="275"/>
      <c r="Z140" s="510"/>
      <c r="AA140" s="275"/>
      <c r="AB140" s="510"/>
      <c r="AC140" s="275"/>
      <c r="AD140" s="510"/>
      <c r="AE140" s="275"/>
      <c r="AF140" s="510"/>
      <c r="AG140" s="275"/>
      <c r="AH140" s="510"/>
      <c r="AI140" s="275"/>
      <c r="AJ140" s="510"/>
      <c r="AK140" s="275"/>
      <c r="AL140" s="510"/>
      <c r="AM140" s="275"/>
      <c r="AN140" s="510"/>
    </row>
    <row r="141" spans="1:40" s="183" customFormat="1" ht="15" customHeight="1">
      <c r="A141" s="372" t="s">
        <v>536</v>
      </c>
      <c r="B141" s="375" t="s">
        <v>6</v>
      </c>
      <c r="C141" s="376">
        <v>140322</v>
      </c>
      <c r="D141" s="377">
        <v>6</v>
      </c>
      <c r="E141" s="275">
        <v>1792</v>
      </c>
      <c r="F141" s="510">
        <v>2060</v>
      </c>
      <c r="G141" s="275">
        <v>6600</v>
      </c>
      <c r="H141" s="510">
        <v>7676</v>
      </c>
      <c r="I141" s="275"/>
      <c r="J141" s="510"/>
      <c r="K141" s="275"/>
      <c r="L141" s="510"/>
      <c r="M141" s="275"/>
      <c r="N141" s="510"/>
      <c r="O141" s="275"/>
      <c r="P141" s="510"/>
      <c r="Q141" s="275"/>
      <c r="R141" s="510"/>
      <c r="S141" s="275"/>
      <c r="T141" s="510"/>
      <c r="U141" s="275"/>
      <c r="V141" s="510"/>
      <c r="W141" s="275"/>
      <c r="X141" s="510"/>
      <c r="Y141" s="275"/>
      <c r="Z141" s="510"/>
      <c r="AA141" s="275"/>
      <c r="AB141" s="510"/>
      <c r="AC141" s="275"/>
      <c r="AD141" s="510"/>
      <c r="AE141" s="275"/>
      <c r="AF141" s="510"/>
      <c r="AG141" s="275"/>
      <c r="AH141" s="510"/>
      <c r="AI141" s="275"/>
      <c r="AJ141" s="510"/>
      <c r="AK141" s="275"/>
      <c r="AL141" s="510"/>
      <c r="AM141" s="275"/>
      <c r="AN141" s="510"/>
    </row>
    <row r="142" spans="1:40" s="183" customFormat="1" ht="15" customHeight="1">
      <c r="A142" s="372" t="s">
        <v>536</v>
      </c>
      <c r="B142" s="372" t="s">
        <v>7</v>
      </c>
      <c r="C142" s="196">
        <v>139463</v>
      </c>
      <c r="D142" s="196">
        <v>7</v>
      </c>
      <c r="E142" s="275">
        <v>1762</v>
      </c>
      <c r="F142" s="510">
        <v>2088</v>
      </c>
      <c r="G142" s="275">
        <v>6570</v>
      </c>
      <c r="H142" s="510">
        <v>7704</v>
      </c>
      <c r="I142" s="275"/>
      <c r="J142" s="510"/>
      <c r="K142" s="275"/>
      <c r="L142" s="510"/>
      <c r="M142" s="275"/>
      <c r="N142" s="510"/>
      <c r="O142" s="275"/>
      <c r="P142" s="510"/>
      <c r="Q142" s="275"/>
      <c r="R142" s="510"/>
      <c r="S142" s="275"/>
      <c r="T142" s="510"/>
      <c r="U142" s="275"/>
      <c r="V142" s="510"/>
      <c r="W142" s="275"/>
      <c r="X142" s="510"/>
      <c r="Y142" s="275"/>
      <c r="Z142" s="510"/>
      <c r="AA142" s="275"/>
      <c r="AB142" s="510"/>
      <c r="AC142" s="275"/>
      <c r="AD142" s="510"/>
      <c r="AE142" s="275"/>
      <c r="AF142" s="510"/>
      <c r="AG142" s="275"/>
      <c r="AH142" s="510"/>
      <c r="AI142" s="275"/>
      <c r="AJ142" s="510"/>
      <c r="AK142" s="275"/>
      <c r="AL142" s="510"/>
      <c r="AM142" s="275"/>
      <c r="AN142" s="510"/>
    </row>
    <row r="143" spans="1:40" s="183" customFormat="1" ht="15" customHeight="1">
      <c r="A143" s="372" t="s">
        <v>536</v>
      </c>
      <c r="B143" s="372" t="s">
        <v>8</v>
      </c>
      <c r="C143" s="196">
        <v>244437</v>
      </c>
      <c r="D143" s="196">
        <v>8</v>
      </c>
      <c r="E143" s="275">
        <v>2088</v>
      </c>
      <c r="F143" s="510">
        <v>2234</v>
      </c>
      <c r="G143" s="275">
        <v>6896</v>
      </c>
      <c r="H143" s="510">
        <v>7474</v>
      </c>
      <c r="I143" s="275"/>
      <c r="J143" s="510"/>
      <c r="K143" s="275"/>
      <c r="L143" s="510"/>
      <c r="M143" s="275"/>
      <c r="N143" s="510"/>
      <c r="O143" s="275"/>
      <c r="P143" s="510"/>
      <c r="Q143" s="275"/>
      <c r="R143" s="510"/>
      <c r="S143" s="275"/>
      <c r="T143" s="510"/>
      <c r="U143" s="275"/>
      <c r="V143" s="510"/>
      <c r="W143" s="275"/>
      <c r="X143" s="510"/>
      <c r="Y143" s="275"/>
      <c r="Z143" s="510"/>
      <c r="AA143" s="275"/>
      <c r="AB143" s="510"/>
      <c r="AC143" s="275"/>
      <c r="AD143" s="510"/>
      <c r="AE143" s="275"/>
      <c r="AF143" s="510"/>
      <c r="AG143" s="275"/>
      <c r="AH143" s="510"/>
      <c r="AI143" s="275"/>
      <c r="AJ143" s="510"/>
      <c r="AK143" s="275"/>
      <c r="AL143" s="510"/>
      <c r="AM143" s="275"/>
      <c r="AN143" s="510"/>
    </row>
    <row r="144" spans="1:40" s="183" customFormat="1" ht="15" customHeight="1">
      <c r="A144" s="372" t="s">
        <v>536</v>
      </c>
      <c r="B144" s="372" t="s">
        <v>9</v>
      </c>
      <c r="C144" s="196">
        <v>138558</v>
      </c>
      <c r="D144" s="196">
        <v>9</v>
      </c>
      <c r="E144" s="275">
        <v>2106</v>
      </c>
      <c r="F144" s="510">
        <v>2374</v>
      </c>
      <c r="G144" s="275">
        <v>6914</v>
      </c>
      <c r="H144" s="510">
        <v>7990</v>
      </c>
      <c r="I144" s="275"/>
      <c r="J144" s="510"/>
      <c r="K144" s="275"/>
      <c r="L144" s="510"/>
      <c r="M144" s="275"/>
      <c r="N144" s="510"/>
      <c r="O144" s="275"/>
      <c r="P144" s="510"/>
      <c r="Q144" s="275"/>
      <c r="R144" s="510"/>
      <c r="S144" s="275"/>
      <c r="T144" s="510"/>
      <c r="U144" s="275"/>
      <c r="V144" s="510"/>
      <c r="W144" s="275"/>
      <c r="X144" s="510"/>
      <c r="Y144" s="275"/>
      <c r="Z144" s="510"/>
      <c r="AA144" s="275"/>
      <c r="AB144" s="510"/>
      <c r="AC144" s="275"/>
      <c r="AD144" s="510"/>
      <c r="AE144" s="275"/>
      <c r="AF144" s="510"/>
      <c r="AG144" s="275"/>
      <c r="AH144" s="510"/>
      <c r="AI144" s="275"/>
      <c r="AJ144" s="510"/>
      <c r="AK144" s="275"/>
      <c r="AL144" s="510"/>
      <c r="AM144" s="275"/>
      <c r="AN144" s="510"/>
    </row>
    <row r="145" spans="1:40" s="183" customFormat="1" ht="15" customHeight="1">
      <c r="A145" s="372" t="s">
        <v>536</v>
      </c>
      <c r="B145" s="447" t="s">
        <v>17</v>
      </c>
      <c r="C145" s="380">
        <v>139250</v>
      </c>
      <c r="D145" s="206">
        <v>9</v>
      </c>
      <c r="E145" s="275">
        <v>1816</v>
      </c>
      <c r="F145" s="510">
        <v>1962</v>
      </c>
      <c r="G145" s="275">
        <v>6624</v>
      </c>
      <c r="H145" s="510">
        <v>7202</v>
      </c>
      <c r="I145" s="275"/>
      <c r="J145" s="510"/>
      <c r="K145" s="275"/>
      <c r="L145" s="510"/>
      <c r="M145" s="275"/>
      <c r="N145" s="510"/>
      <c r="O145" s="275"/>
      <c r="P145" s="510"/>
      <c r="Q145" s="275"/>
      <c r="R145" s="510"/>
      <c r="S145" s="275"/>
      <c r="T145" s="510"/>
      <c r="U145" s="275"/>
      <c r="V145" s="510"/>
      <c r="W145" s="275"/>
      <c r="X145" s="510"/>
      <c r="Y145" s="275"/>
      <c r="Z145" s="510"/>
      <c r="AA145" s="275"/>
      <c r="AB145" s="510"/>
      <c r="AC145" s="275"/>
      <c r="AD145" s="510"/>
      <c r="AE145" s="275"/>
      <c r="AF145" s="510"/>
      <c r="AG145" s="275"/>
      <c r="AH145" s="510"/>
      <c r="AI145" s="275"/>
      <c r="AJ145" s="510"/>
      <c r="AK145" s="275"/>
      <c r="AL145" s="510"/>
      <c r="AM145" s="275"/>
      <c r="AN145" s="510"/>
    </row>
    <row r="146" spans="1:40" s="183" customFormat="1" ht="15" customHeight="1">
      <c r="A146" s="372" t="s">
        <v>536</v>
      </c>
      <c r="B146" s="372" t="s">
        <v>10</v>
      </c>
      <c r="C146" s="196">
        <v>138691</v>
      </c>
      <c r="D146" s="196">
        <v>9</v>
      </c>
      <c r="E146" s="275">
        <v>1914</v>
      </c>
      <c r="F146" s="510">
        <v>2090</v>
      </c>
      <c r="G146" s="275">
        <v>6722</v>
      </c>
      <c r="H146" s="510">
        <v>7330</v>
      </c>
      <c r="I146" s="275"/>
      <c r="J146" s="510"/>
      <c r="K146" s="275"/>
      <c r="L146" s="510"/>
      <c r="M146" s="275"/>
      <c r="N146" s="510"/>
      <c r="O146" s="275"/>
      <c r="P146" s="510"/>
      <c r="Q146" s="275"/>
      <c r="R146" s="510"/>
      <c r="S146" s="275"/>
      <c r="T146" s="510"/>
      <c r="U146" s="275"/>
      <c r="V146" s="510"/>
      <c r="W146" s="275"/>
      <c r="X146" s="510"/>
      <c r="Y146" s="275"/>
      <c r="Z146" s="510"/>
      <c r="AA146" s="275"/>
      <c r="AB146" s="510"/>
      <c r="AC146" s="275"/>
      <c r="AD146" s="510"/>
      <c r="AE146" s="275"/>
      <c r="AF146" s="510"/>
      <c r="AG146" s="275"/>
      <c r="AH146" s="510"/>
      <c r="AI146" s="275"/>
      <c r="AJ146" s="510"/>
      <c r="AK146" s="275"/>
      <c r="AL146" s="510"/>
      <c r="AM146" s="275"/>
      <c r="AN146" s="510"/>
    </row>
    <row r="147" spans="1:40" s="183" customFormat="1" ht="15" customHeight="1">
      <c r="A147" s="372" t="s">
        <v>536</v>
      </c>
      <c r="B147" s="448" t="s">
        <v>11</v>
      </c>
      <c r="C147" s="196">
        <v>139773</v>
      </c>
      <c r="D147" s="196">
        <v>9</v>
      </c>
      <c r="E147" s="275">
        <v>1824</v>
      </c>
      <c r="F147" s="510">
        <v>2092</v>
      </c>
      <c r="G147" s="275">
        <v>6632</v>
      </c>
      <c r="H147" s="510">
        <v>7708</v>
      </c>
      <c r="I147" s="275"/>
      <c r="J147" s="510"/>
      <c r="K147" s="275"/>
      <c r="L147" s="510"/>
      <c r="M147" s="275"/>
      <c r="N147" s="510"/>
      <c r="O147" s="275"/>
      <c r="P147" s="510"/>
      <c r="Q147" s="275"/>
      <c r="R147" s="510"/>
      <c r="S147" s="275"/>
      <c r="T147" s="510"/>
      <c r="U147" s="275"/>
      <c r="V147" s="510"/>
      <c r="W147" s="275"/>
      <c r="X147" s="510"/>
      <c r="Y147" s="275"/>
      <c r="Z147" s="510"/>
      <c r="AA147" s="275"/>
      <c r="AB147" s="510"/>
      <c r="AC147" s="275"/>
      <c r="AD147" s="510"/>
      <c r="AE147" s="275"/>
      <c r="AF147" s="510"/>
      <c r="AG147" s="275"/>
      <c r="AH147" s="510"/>
      <c r="AI147" s="275"/>
      <c r="AJ147" s="510"/>
      <c r="AK147" s="275"/>
      <c r="AL147" s="510"/>
      <c r="AM147" s="275"/>
      <c r="AN147" s="510"/>
    </row>
    <row r="148" spans="1:40" s="183" customFormat="1" ht="15" customHeight="1">
      <c r="A148" s="372" t="s">
        <v>536</v>
      </c>
      <c r="B148" s="375" t="s">
        <v>12</v>
      </c>
      <c r="C148" s="196">
        <v>139700</v>
      </c>
      <c r="D148" s="196">
        <v>9</v>
      </c>
      <c r="E148" s="275">
        <v>1802</v>
      </c>
      <c r="F148" s="510">
        <v>1948</v>
      </c>
      <c r="G148" s="275">
        <v>6610</v>
      </c>
      <c r="H148" s="510">
        <v>7188</v>
      </c>
      <c r="I148" s="275"/>
      <c r="J148" s="510"/>
      <c r="K148" s="275"/>
      <c r="L148" s="510"/>
      <c r="M148" s="275"/>
      <c r="N148" s="510"/>
      <c r="O148" s="275"/>
      <c r="P148" s="510"/>
      <c r="Q148" s="275"/>
      <c r="R148" s="510"/>
      <c r="S148" s="275"/>
      <c r="T148" s="510"/>
      <c r="U148" s="275"/>
      <c r="V148" s="510"/>
      <c r="W148" s="275"/>
      <c r="X148" s="510"/>
      <c r="Y148" s="275"/>
      <c r="Z148" s="510"/>
      <c r="AA148" s="275"/>
      <c r="AB148" s="510"/>
      <c r="AC148" s="275"/>
      <c r="AD148" s="510"/>
      <c r="AE148" s="275"/>
      <c r="AF148" s="510"/>
      <c r="AG148" s="275"/>
      <c r="AH148" s="510"/>
      <c r="AI148" s="275"/>
      <c r="AJ148" s="510"/>
      <c r="AK148" s="275"/>
      <c r="AL148" s="510"/>
      <c r="AM148" s="275"/>
      <c r="AN148" s="510"/>
    </row>
    <row r="149" spans="1:40" s="183" customFormat="1" ht="15" customHeight="1">
      <c r="A149" s="372" t="s">
        <v>536</v>
      </c>
      <c r="B149" s="372" t="s">
        <v>13</v>
      </c>
      <c r="C149" s="196">
        <v>139968</v>
      </c>
      <c r="D149" s="196">
        <v>9</v>
      </c>
      <c r="E149" s="275">
        <v>1840</v>
      </c>
      <c r="F149" s="510">
        <v>2152</v>
      </c>
      <c r="G149" s="275">
        <v>6648</v>
      </c>
      <c r="H149" s="510">
        <v>7768</v>
      </c>
      <c r="I149" s="275"/>
      <c r="J149" s="510"/>
      <c r="K149" s="275"/>
      <c r="L149" s="510"/>
      <c r="M149" s="275"/>
      <c r="N149" s="510"/>
      <c r="O149" s="275"/>
      <c r="P149" s="510"/>
      <c r="Q149" s="275"/>
      <c r="R149" s="510"/>
      <c r="S149" s="275"/>
      <c r="T149" s="510"/>
      <c r="U149" s="275"/>
      <c r="V149" s="510"/>
      <c r="W149" s="275"/>
      <c r="X149" s="510"/>
      <c r="Y149" s="275"/>
      <c r="Z149" s="510"/>
      <c r="AA149" s="275"/>
      <c r="AB149" s="510"/>
      <c r="AC149" s="275"/>
      <c r="AD149" s="510"/>
      <c r="AE149" s="275"/>
      <c r="AF149" s="510"/>
      <c r="AG149" s="275"/>
      <c r="AH149" s="510"/>
      <c r="AI149" s="275"/>
      <c r="AJ149" s="510"/>
      <c r="AK149" s="275"/>
      <c r="AL149" s="510"/>
      <c r="AM149" s="275"/>
      <c r="AN149" s="510"/>
    </row>
    <row r="150" spans="1:40" s="183" customFormat="1" ht="15" customHeight="1">
      <c r="A150" s="372" t="s">
        <v>536</v>
      </c>
      <c r="B150" s="378" t="s">
        <v>14</v>
      </c>
      <c r="C150" s="376">
        <v>140483</v>
      </c>
      <c r="D150" s="196">
        <v>9</v>
      </c>
      <c r="E150" s="275">
        <v>2028</v>
      </c>
      <c r="F150" s="510">
        <v>2296</v>
      </c>
      <c r="G150" s="275">
        <v>6836</v>
      </c>
      <c r="H150" s="510">
        <v>7912</v>
      </c>
      <c r="I150" s="275"/>
      <c r="J150" s="510"/>
      <c r="K150" s="275"/>
      <c r="L150" s="510"/>
      <c r="M150" s="275"/>
      <c r="N150" s="510"/>
      <c r="O150" s="275"/>
      <c r="P150" s="510"/>
      <c r="Q150" s="275"/>
      <c r="R150" s="510"/>
      <c r="S150" s="275"/>
      <c r="T150" s="510"/>
      <c r="U150" s="275"/>
      <c r="V150" s="510"/>
      <c r="W150" s="275"/>
      <c r="X150" s="510"/>
      <c r="Y150" s="275"/>
      <c r="Z150" s="510"/>
      <c r="AA150" s="275"/>
      <c r="AB150" s="510"/>
      <c r="AC150" s="275"/>
      <c r="AD150" s="510"/>
      <c r="AE150" s="275"/>
      <c r="AF150" s="510"/>
      <c r="AG150" s="275"/>
      <c r="AH150" s="510"/>
      <c r="AI150" s="275"/>
      <c r="AJ150" s="510"/>
      <c r="AK150" s="275"/>
      <c r="AL150" s="510"/>
      <c r="AM150" s="275"/>
      <c r="AN150" s="510"/>
    </row>
    <row r="151" spans="1:40" s="183" customFormat="1" ht="15" customHeight="1">
      <c r="A151" s="372" t="s">
        <v>536</v>
      </c>
      <c r="B151" s="372" t="s">
        <v>15</v>
      </c>
      <c r="C151" s="196">
        <v>138901</v>
      </c>
      <c r="D151" s="196">
        <v>10</v>
      </c>
      <c r="E151" s="275">
        <v>1844</v>
      </c>
      <c r="F151" s="510">
        <v>2010</v>
      </c>
      <c r="G151" s="275">
        <v>6652</v>
      </c>
      <c r="H151" s="510">
        <v>7250</v>
      </c>
      <c r="I151" s="275"/>
      <c r="J151" s="510"/>
      <c r="K151" s="275"/>
      <c r="L151" s="510"/>
      <c r="M151" s="275"/>
      <c r="N151" s="510"/>
      <c r="O151" s="275"/>
      <c r="P151" s="510"/>
      <c r="Q151" s="275"/>
      <c r="R151" s="510"/>
      <c r="S151" s="275"/>
      <c r="T151" s="510"/>
      <c r="U151" s="275"/>
      <c r="V151" s="510"/>
      <c r="W151" s="275"/>
      <c r="X151" s="510"/>
      <c r="Y151" s="275"/>
      <c r="Z151" s="510"/>
      <c r="AA151" s="275"/>
      <c r="AB151" s="510"/>
      <c r="AC151" s="275"/>
      <c r="AD151" s="510"/>
      <c r="AE151" s="275"/>
      <c r="AF151" s="510"/>
      <c r="AG151" s="275"/>
      <c r="AH151" s="510"/>
      <c r="AI151" s="275"/>
      <c r="AJ151" s="510"/>
      <c r="AK151" s="275"/>
      <c r="AL151" s="510"/>
      <c r="AM151" s="275"/>
      <c r="AN151" s="510"/>
    </row>
    <row r="152" spans="1:40" s="183" customFormat="1" ht="15" customHeight="1">
      <c r="A152" s="372" t="s">
        <v>536</v>
      </c>
      <c r="B152" s="379" t="s">
        <v>16</v>
      </c>
      <c r="C152" s="380">
        <v>139010</v>
      </c>
      <c r="D152" s="206">
        <v>10</v>
      </c>
      <c r="E152" s="275">
        <v>1768</v>
      </c>
      <c r="F152" s="510">
        <v>1950</v>
      </c>
      <c r="G152" s="275">
        <v>6576</v>
      </c>
      <c r="H152" s="510">
        <v>7190</v>
      </c>
      <c r="I152" s="275"/>
      <c r="J152" s="510"/>
      <c r="K152" s="275"/>
      <c r="L152" s="510"/>
      <c r="M152" s="275"/>
      <c r="N152" s="510"/>
      <c r="O152" s="275"/>
      <c r="P152" s="510"/>
      <c r="Q152" s="275"/>
      <c r="R152" s="510"/>
      <c r="S152" s="275"/>
      <c r="T152" s="510"/>
      <c r="U152" s="275"/>
      <c r="V152" s="510"/>
      <c r="W152" s="275"/>
      <c r="X152" s="510"/>
      <c r="Y152" s="275"/>
      <c r="Z152" s="510"/>
      <c r="AA152" s="275"/>
      <c r="AB152" s="510"/>
      <c r="AC152" s="275"/>
      <c r="AD152" s="510"/>
      <c r="AE152" s="275"/>
      <c r="AF152" s="510"/>
      <c r="AG152" s="275"/>
      <c r="AH152" s="510"/>
      <c r="AI152" s="275"/>
      <c r="AJ152" s="510"/>
      <c r="AK152" s="275"/>
      <c r="AL152" s="510"/>
      <c r="AM152" s="275"/>
      <c r="AN152" s="510"/>
    </row>
    <row r="153" spans="1:40" s="183" customFormat="1" ht="15" customHeight="1">
      <c r="A153" s="372" t="s">
        <v>536</v>
      </c>
      <c r="B153" s="372" t="s">
        <v>18</v>
      </c>
      <c r="C153" s="196">
        <v>139621</v>
      </c>
      <c r="D153" s="196">
        <v>10</v>
      </c>
      <c r="E153" s="275">
        <v>1756</v>
      </c>
      <c r="F153" s="510">
        <v>1922</v>
      </c>
      <c r="G153" s="275">
        <v>6564</v>
      </c>
      <c r="H153" s="510">
        <v>7162</v>
      </c>
      <c r="I153" s="275"/>
      <c r="J153" s="510"/>
      <c r="K153" s="275"/>
      <c r="L153" s="510"/>
      <c r="M153" s="275"/>
      <c r="N153" s="510"/>
      <c r="O153" s="275"/>
      <c r="P153" s="510"/>
      <c r="Q153" s="275"/>
      <c r="R153" s="510"/>
      <c r="S153" s="275"/>
      <c r="T153" s="510"/>
      <c r="U153" s="275"/>
      <c r="V153" s="510"/>
      <c r="W153" s="275"/>
      <c r="X153" s="510"/>
      <c r="Y153" s="275"/>
      <c r="Z153" s="510"/>
      <c r="AA153" s="275"/>
      <c r="AB153" s="510"/>
      <c r="AC153" s="275"/>
      <c r="AD153" s="510"/>
      <c r="AE153" s="275"/>
      <c r="AF153" s="510"/>
      <c r="AG153" s="275"/>
      <c r="AH153" s="510"/>
      <c r="AI153" s="275"/>
      <c r="AJ153" s="510"/>
      <c r="AK153" s="275"/>
      <c r="AL153" s="510"/>
      <c r="AM153" s="275"/>
      <c r="AN153" s="510"/>
    </row>
    <row r="154" spans="1:40" s="183" customFormat="1" ht="15" customHeight="1">
      <c r="A154" s="372" t="s">
        <v>536</v>
      </c>
      <c r="B154" s="372" t="s">
        <v>19</v>
      </c>
      <c r="C154" s="196">
        <v>140997</v>
      </c>
      <c r="D154" s="196">
        <v>10</v>
      </c>
      <c r="E154" s="275">
        <v>1890</v>
      </c>
      <c r="F154" s="510">
        <v>2154</v>
      </c>
      <c r="G154" s="275">
        <v>6698</v>
      </c>
      <c r="H154" s="510">
        <v>7394</v>
      </c>
      <c r="I154" s="275"/>
      <c r="J154" s="510"/>
      <c r="K154" s="275"/>
      <c r="L154" s="510"/>
      <c r="M154" s="275"/>
      <c r="N154" s="510"/>
      <c r="O154" s="275"/>
      <c r="P154" s="510"/>
      <c r="Q154" s="275"/>
      <c r="R154" s="510"/>
      <c r="S154" s="275"/>
      <c r="T154" s="510"/>
      <c r="U154" s="275"/>
      <c r="V154" s="510"/>
      <c r="W154" s="275"/>
      <c r="X154" s="510"/>
      <c r="Y154" s="275"/>
      <c r="Z154" s="510"/>
      <c r="AA154" s="275"/>
      <c r="AB154" s="510"/>
      <c r="AC154" s="275"/>
      <c r="AD154" s="510"/>
      <c r="AE154" s="275"/>
      <c r="AF154" s="510"/>
      <c r="AG154" s="275"/>
      <c r="AH154" s="510"/>
      <c r="AI154" s="275"/>
      <c r="AJ154" s="510"/>
      <c r="AK154" s="275"/>
      <c r="AL154" s="510"/>
      <c r="AM154" s="275"/>
      <c r="AN154" s="510"/>
    </row>
    <row r="155" spans="1:40" s="183" customFormat="1" ht="15" customHeight="1">
      <c r="A155" s="372" t="s">
        <v>536</v>
      </c>
      <c r="B155" s="372" t="s">
        <v>20</v>
      </c>
      <c r="C155" s="196">
        <v>141307</v>
      </c>
      <c r="D155" s="196">
        <v>10</v>
      </c>
      <c r="E155" s="275">
        <v>1758</v>
      </c>
      <c r="F155" s="510">
        <v>1904</v>
      </c>
      <c r="G155" s="275">
        <v>6566</v>
      </c>
      <c r="H155" s="510">
        <v>7144</v>
      </c>
      <c r="I155" s="275"/>
      <c r="J155" s="510"/>
      <c r="K155" s="275"/>
      <c r="L155" s="510"/>
      <c r="M155" s="275"/>
      <c r="N155" s="510"/>
      <c r="O155" s="275"/>
      <c r="P155" s="510"/>
      <c r="Q155" s="275"/>
      <c r="R155" s="510"/>
      <c r="S155" s="275"/>
      <c r="T155" s="510"/>
      <c r="U155" s="275"/>
      <c r="V155" s="510"/>
      <c r="W155" s="275"/>
      <c r="X155" s="510"/>
      <c r="Y155" s="275"/>
      <c r="Z155" s="510"/>
      <c r="AA155" s="275"/>
      <c r="AB155" s="510"/>
      <c r="AC155" s="275"/>
      <c r="AD155" s="510"/>
      <c r="AE155" s="275"/>
      <c r="AF155" s="510"/>
      <c r="AG155" s="275"/>
      <c r="AH155" s="510"/>
      <c r="AI155" s="275"/>
      <c r="AJ155" s="510"/>
      <c r="AK155" s="275"/>
      <c r="AL155" s="510"/>
      <c r="AM155" s="275"/>
      <c r="AN155" s="510"/>
    </row>
    <row r="156" spans="1:40" s="183" customFormat="1" ht="15" customHeight="1">
      <c r="A156" s="372" t="s">
        <v>536</v>
      </c>
      <c r="B156" s="372" t="s">
        <v>21</v>
      </c>
      <c r="C156" s="196">
        <v>140401</v>
      </c>
      <c r="D156" s="196">
        <v>15</v>
      </c>
      <c r="E156" s="275">
        <v>4538</v>
      </c>
      <c r="F156" s="510">
        <v>5184</v>
      </c>
      <c r="G156" s="275">
        <v>16216</v>
      </c>
      <c r="H156" s="510">
        <v>18672</v>
      </c>
      <c r="I156" s="275">
        <v>5232</v>
      </c>
      <c r="J156" s="510">
        <v>5734</v>
      </c>
      <c r="K156" s="275">
        <v>18984</v>
      </c>
      <c r="L156" s="510">
        <v>20860</v>
      </c>
      <c r="M156" s="275"/>
      <c r="N156" s="510"/>
      <c r="O156" s="275"/>
      <c r="P156" s="510"/>
      <c r="Q156" s="275">
        <f>(6775*2)+(323*2)</f>
        <v>14196</v>
      </c>
      <c r="R156" s="539">
        <v>14238</v>
      </c>
      <c r="S156" s="275">
        <f>(15488*2)+(323*2)</f>
        <v>31622</v>
      </c>
      <c r="T156" s="539">
        <v>14238</v>
      </c>
      <c r="U156" s="275">
        <f>(4970*2)+(323*2)</f>
        <v>10586</v>
      </c>
      <c r="V156" s="510">
        <f>(5467*2)+(356*2)</f>
        <v>11646</v>
      </c>
      <c r="W156" s="275">
        <f>(19862*2)+(323*2)</f>
        <v>40370</v>
      </c>
      <c r="X156" s="539">
        <v>40412</v>
      </c>
      <c r="Y156" s="275"/>
      <c r="Z156" s="510"/>
      <c r="AA156" s="275"/>
      <c r="AB156" s="510"/>
      <c r="AC156" s="275"/>
      <c r="AD156" s="510"/>
      <c r="AE156" s="275"/>
      <c r="AF156" s="510"/>
      <c r="AG156" s="275"/>
      <c r="AH156" s="510"/>
      <c r="AI156" s="275"/>
      <c r="AJ156" s="510"/>
      <c r="AK156" s="275"/>
      <c r="AL156" s="510"/>
      <c r="AM156" s="275"/>
      <c r="AN156" s="510"/>
    </row>
    <row r="157" spans="1:40" s="183" customFormat="1" ht="15" customHeight="1">
      <c r="A157" s="372" t="s">
        <v>536</v>
      </c>
      <c r="B157" s="372" t="s">
        <v>22</v>
      </c>
      <c r="C157" s="196">
        <v>141097</v>
      </c>
      <c r="D157" s="196">
        <v>15</v>
      </c>
      <c r="E157" s="275">
        <v>3374</v>
      </c>
      <c r="F157" s="510">
        <v>3872</v>
      </c>
      <c r="G157" s="275">
        <v>11788</v>
      </c>
      <c r="H157" s="510">
        <v>13950</v>
      </c>
      <c r="I157" s="275">
        <v>3870</v>
      </c>
      <c r="J157" s="510">
        <v>4444</v>
      </c>
      <c r="K157" s="275">
        <v>13780</v>
      </c>
      <c r="L157" s="510">
        <v>15890</v>
      </c>
      <c r="M157" s="275"/>
      <c r="N157" s="510"/>
      <c r="O157" s="275"/>
      <c r="P157" s="510"/>
      <c r="Q157" s="275"/>
      <c r="R157" s="510"/>
      <c r="S157" s="275"/>
      <c r="T157" s="510"/>
      <c r="U157" s="275"/>
      <c r="V157" s="510"/>
      <c r="W157" s="275"/>
      <c r="X157" s="510"/>
      <c r="Y157" s="275"/>
      <c r="Z157" s="510"/>
      <c r="AA157" s="275"/>
      <c r="AB157" s="510"/>
      <c r="AC157" s="275"/>
      <c r="AD157" s="510"/>
      <c r="AE157" s="275"/>
      <c r="AF157" s="510"/>
      <c r="AG157" s="275"/>
      <c r="AH157" s="510"/>
      <c r="AI157" s="275"/>
      <c r="AJ157" s="510"/>
      <c r="AK157" s="275"/>
      <c r="AL157" s="510"/>
      <c r="AM157" s="275"/>
      <c r="AN157" s="510"/>
    </row>
    <row r="158" spans="1:40" s="183" customFormat="1" ht="15" customHeight="1">
      <c r="A158" s="99" t="s">
        <v>536</v>
      </c>
      <c r="B158" s="100" t="s">
        <v>965</v>
      </c>
      <c r="C158" s="101">
        <v>138682</v>
      </c>
      <c r="D158" s="101">
        <v>12</v>
      </c>
      <c r="E158" s="275">
        <v>1366</v>
      </c>
      <c r="F158" s="510">
        <v>1539</v>
      </c>
      <c r="G158" s="275">
        <v>2475</v>
      </c>
      <c r="H158" s="510">
        <v>2835</v>
      </c>
      <c r="I158" s="275"/>
      <c r="J158" s="510"/>
      <c r="K158" s="275"/>
      <c r="L158" s="510"/>
      <c r="M158" s="275"/>
      <c r="N158" s="510"/>
      <c r="O158" s="275"/>
      <c r="P158" s="510"/>
      <c r="Q158" s="275"/>
      <c r="R158" s="537"/>
      <c r="S158" s="275"/>
      <c r="T158" s="538"/>
      <c r="U158" s="275"/>
      <c r="V158" s="510"/>
      <c r="W158" s="275"/>
      <c r="X158" s="538"/>
      <c r="Y158" s="275"/>
      <c r="Z158" s="510"/>
      <c r="AA158" s="275"/>
      <c r="AB158" s="510"/>
      <c r="AC158" s="275"/>
      <c r="AD158" s="510"/>
      <c r="AE158" s="275"/>
      <c r="AF158" s="510"/>
      <c r="AG158" s="275"/>
      <c r="AH158" s="510"/>
      <c r="AI158" s="275"/>
      <c r="AJ158" s="510"/>
      <c r="AK158" s="275"/>
      <c r="AL158" s="510"/>
      <c r="AM158" s="275"/>
      <c r="AN158" s="510"/>
    </row>
    <row r="159" spans="1:40" s="183" customFormat="1" ht="15" customHeight="1">
      <c r="A159" s="99" t="s">
        <v>536</v>
      </c>
      <c r="B159" s="100" t="s">
        <v>967</v>
      </c>
      <c r="C159" s="101">
        <v>246813</v>
      </c>
      <c r="D159" s="101">
        <v>12</v>
      </c>
      <c r="E159" s="275">
        <v>1359</v>
      </c>
      <c r="F159" s="510">
        <v>1539</v>
      </c>
      <c r="G159" s="275">
        <v>2475</v>
      </c>
      <c r="H159" s="510">
        <v>2835</v>
      </c>
      <c r="I159" s="275"/>
      <c r="J159" s="510"/>
      <c r="K159" s="275"/>
      <c r="L159" s="510"/>
      <c r="M159" s="275"/>
      <c r="N159" s="510"/>
      <c r="O159" s="275"/>
      <c r="P159" s="510"/>
      <c r="Q159" s="275"/>
      <c r="R159" s="510"/>
      <c r="S159" s="275"/>
      <c r="T159" s="510"/>
      <c r="U159" s="275"/>
      <c r="V159" s="510"/>
      <c r="W159" s="275"/>
      <c r="X159" s="510"/>
      <c r="Y159" s="275"/>
      <c r="Z159" s="510"/>
      <c r="AA159" s="275"/>
      <c r="AB159" s="510"/>
      <c r="AC159" s="275"/>
      <c r="AD159" s="510"/>
      <c r="AE159" s="275"/>
      <c r="AF159" s="510"/>
      <c r="AG159" s="275"/>
      <c r="AH159" s="510"/>
      <c r="AI159" s="275"/>
      <c r="AJ159" s="510"/>
      <c r="AK159" s="275"/>
      <c r="AL159" s="510"/>
      <c r="AM159" s="275"/>
      <c r="AN159" s="510"/>
    </row>
    <row r="160" spans="1:40" s="183" customFormat="1" ht="15" customHeight="1">
      <c r="A160" s="99" t="s">
        <v>536</v>
      </c>
      <c r="B160" s="100" t="s">
        <v>968</v>
      </c>
      <c r="C160" s="101">
        <v>138840</v>
      </c>
      <c r="D160" s="101">
        <v>12</v>
      </c>
      <c r="E160" s="275">
        <v>1362</v>
      </c>
      <c r="F160" s="510">
        <v>1542</v>
      </c>
      <c r="G160" s="275">
        <v>2478</v>
      </c>
      <c r="H160" s="510">
        <v>2838</v>
      </c>
      <c r="I160" s="275"/>
      <c r="J160" s="510"/>
      <c r="K160" s="275"/>
      <c r="L160" s="510"/>
      <c r="M160" s="275"/>
      <c r="N160" s="510"/>
      <c r="O160" s="275"/>
      <c r="P160" s="510"/>
      <c r="Q160" s="275"/>
      <c r="R160" s="510"/>
      <c r="S160" s="275"/>
      <c r="T160" s="510"/>
      <c r="U160" s="275"/>
      <c r="V160" s="510"/>
      <c r="W160" s="275"/>
      <c r="X160" s="510"/>
      <c r="Y160" s="275"/>
      <c r="Z160" s="510"/>
      <c r="AA160" s="275"/>
      <c r="AB160" s="510"/>
      <c r="AC160" s="275"/>
      <c r="AD160" s="510"/>
      <c r="AE160" s="275"/>
      <c r="AF160" s="510"/>
      <c r="AG160" s="275"/>
      <c r="AH160" s="510"/>
      <c r="AI160" s="275"/>
      <c r="AJ160" s="510"/>
      <c r="AK160" s="275"/>
      <c r="AL160" s="510"/>
      <c r="AM160" s="275"/>
      <c r="AN160" s="510"/>
    </row>
    <row r="161" spans="1:40" s="183" customFormat="1" ht="15" customHeight="1">
      <c r="A161" s="99" t="s">
        <v>536</v>
      </c>
      <c r="B161" s="100" t="s">
        <v>969</v>
      </c>
      <c r="C161" s="101">
        <v>138956</v>
      </c>
      <c r="D161" s="101">
        <v>12</v>
      </c>
      <c r="E161" s="275">
        <v>1371</v>
      </c>
      <c r="F161" s="510">
        <v>1551</v>
      </c>
      <c r="G161" s="275">
        <v>2487</v>
      </c>
      <c r="H161" s="510">
        <v>2847</v>
      </c>
      <c r="I161" s="275"/>
      <c r="J161" s="510"/>
      <c r="K161" s="275"/>
      <c r="L161" s="510"/>
      <c r="M161" s="275"/>
      <c r="N161" s="510"/>
      <c r="O161" s="275"/>
      <c r="P161" s="510"/>
      <c r="Q161" s="275"/>
      <c r="R161" s="510"/>
      <c r="S161" s="275"/>
      <c r="T161" s="510"/>
      <c r="U161" s="275"/>
      <c r="V161" s="510"/>
      <c r="W161" s="275"/>
      <c r="X161" s="510"/>
      <c r="Y161" s="275"/>
      <c r="Z161" s="510"/>
      <c r="AA161" s="275"/>
      <c r="AB161" s="510"/>
      <c r="AC161" s="275"/>
      <c r="AD161" s="510"/>
      <c r="AE161" s="275"/>
      <c r="AF161" s="510"/>
      <c r="AG161" s="275"/>
      <c r="AH161" s="510"/>
      <c r="AI161" s="275"/>
      <c r="AJ161" s="510"/>
      <c r="AK161" s="275"/>
      <c r="AL161" s="510"/>
      <c r="AM161" s="275"/>
      <c r="AN161" s="510"/>
    </row>
    <row r="162" spans="1:40" s="183" customFormat="1" ht="15" customHeight="1">
      <c r="A162" s="99" t="s">
        <v>536</v>
      </c>
      <c r="B162" s="100" t="s">
        <v>344</v>
      </c>
      <c r="C162" s="101">
        <v>140304</v>
      </c>
      <c r="D162" s="101">
        <v>12</v>
      </c>
      <c r="E162" s="275">
        <v>1359</v>
      </c>
      <c r="F162" s="510">
        <v>1539</v>
      </c>
      <c r="G162" s="275">
        <v>2475</v>
      </c>
      <c r="H162" s="510">
        <v>2835</v>
      </c>
      <c r="I162" s="275"/>
      <c r="J162" s="510"/>
      <c r="K162" s="275"/>
      <c r="L162" s="510"/>
      <c r="M162" s="275"/>
      <c r="N162" s="510"/>
      <c r="O162" s="275"/>
      <c r="P162" s="510"/>
      <c r="Q162" s="275"/>
      <c r="R162" s="510"/>
      <c r="S162" s="275"/>
      <c r="T162" s="510"/>
      <c r="U162" s="275"/>
      <c r="V162" s="510"/>
      <c r="W162" s="275"/>
      <c r="X162" s="510"/>
      <c r="Y162" s="275"/>
      <c r="Z162" s="510"/>
      <c r="AA162" s="275"/>
      <c r="AB162" s="510"/>
      <c r="AC162" s="275"/>
      <c r="AD162" s="510"/>
      <c r="AE162" s="275"/>
      <c r="AF162" s="510"/>
      <c r="AG162" s="275"/>
      <c r="AH162" s="510"/>
      <c r="AI162" s="275"/>
      <c r="AJ162" s="510"/>
      <c r="AK162" s="275"/>
      <c r="AL162" s="510"/>
      <c r="AM162" s="275"/>
      <c r="AN162" s="510"/>
    </row>
    <row r="163" spans="1:40" s="183" customFormat="1" ht="15" customHeight="1">
      <c r="A163" s="99" t="s">
        <v>536</v>
      </c>
      <c r="B163" s="100" t="s">
        <v>345</v>
      </c>
      <c r="C163" s="101">
        <v>140331</v>
      </c>
      <c r="D163" s="101">
        <v>12</v>
      </c>
      <c r="E163" s="275">
        <v>1380</v>
      </c>
      <c r="F163" s="510">
        <v>1560</v>
      </c>
      <c r="G163" s="275">
        <v>2496</v>
      </c>
      <c r="H163" s="510">
        <v>2856</v>
      </c>
      <c r="I163" s="275"/>
      <c r="J163" s="510"/>
      <c r="K163" s="275"/>
      <c r="L163" s="510"/>
      <c r="M163" s="275"/>
      <c r="N163" s="510"/>
      <c r="O163" s="275"/>
      <c r="P163" s="510"/>
      <c r="Q163" s="275"/>
      <c r="R163" s="510"/>
      <c r="S163" s="275"/>
      <c r="T163" s="510"/>
      <c r="U163" s="275"/>
      <c r="V163" s="510"/>
      <c r="W163" s="275"/>
      <c r="X163" s="510"/>
      <c r="Y163" s="275"/>
      <c r="Z163" s="510"/>
      <c r="AA163" s="275"/>
      <c r="AB163" s="510"/>
      <c r="AC163" s="275"/>
      <c r="AD163" s="510"/>
      <c r="AE163" s="275"/>
      <c r="AF163" s="510"/>
      <c r="AG163" s="275"/>
      <c r="AH163" s="510"/>
      <c r="AI163" s="275"/>
      <c r="AJ163" s="510"/>
      <c r="AK163" s="275"/>
      <c r="AL163" s="510"/>
      <c r="AM163" s="275"/>
      <c r="AN163" s="510"/>
    </row>
    <row r="164" spans="1:40" s="183" customFormat="1" ht="15" customHeight="1">
      <c r="A164" s="99" t="s">
        <v>536</v>
      </c>
      <c r="B164" s="100" t="s">
        <v>346</v>
      </c>
      <c r="C164" s="101">
        <v>139357</v>
      </c>
      <c r="D164" s="101">
        <v>12</v>
      </c>
      <c r="E164" s="275">
        <v>1362</v>
      </c>
      <c r="F164" s="510">
        <v>1542</v>
      </c>
      <c r="G164" s="275">
        <v>2478</v>
      </c>
      <c r="H164" s="510">
        <v>2838</v>
      </c>
      <c r="I164" s="275"/>
      <c r="J164" s="510"/>
      <c r="K164" s="275"/>
      <c r="L164" s="510"/>
      <c r="M164" s="275"/>
      <c r="N164" s="510"/>
      <c r="O164" s="275"/>
      <c r="P164" s="510"/>
      <c r="Q164" s="275"/>
      <c r="R164" s="510"/>
      <c r="S164" s="275"/>
      <c r="T164" s="510"/>
      <c r="U164" s="275"/>
      <c r="V164" s="510"/>
      <c r="W164" s="275"/>
      <c r="X164" s="510"/>
      <c r="Y164" s="275"/>
      <c r="Z164" s="510"/>
      <c r="AA164" s="275"/>
      <c r="AB164" s="510"/>
      <c r="AC164" s="275"/>
      <c r="AD164" s="510"/>
      <c r="AE164" s="275"/>
      <c r="AF164" s="510"/>
      <c r="AG164" s="275"/>
      <c r="AH164" s="510"/>
      <c r="AI164" s="275"/>
      <c r="AJ164" s="510"/>
      <c r="AK164" s="275"/>
      <c r="AL164" s="510"/>
      <c r="AM164" s="275"/>
      <c r="AN164" s="510"/>
    </row>
    <row r="165" spans="1:40" s="183" customFormat="1" ht="15" customHeight="1">
      <c r="A165" s="99" t="s">
        <v>536</v>
      </c>
      <c r="B165" s="100" t="s">
        <v>347</v>
      </c>
      <c r="C165" s="101">
        <v>139384</v>
      </c>
      <c r="D165" s="101">
        <v>12</v>
      </c>
      <c r="E165" s="275">
        <v>1359</v>
      </c>
      <c r="F165" s="510">
        <v>1539</v>
      </c>
      <c r="G165" s="275">
        <v>2475</v>
      </c>
      <c r="H165" s="510">
        <v>2835</v>
      </c>
      <c r="I165" s="275"/>
      <c r="J165" s="510"/>
      <c r="K165" s="275"/>
      <c r="L165" s="510"/>
      <c r="M165" s="275"/>
      <c r="N165" s="510"/>
      <c r="O165" s="275"/>
      <c r="P165" s="510"/>
      <c r="Q165" s="275"/>
      <c r="R165" s="510"/>
      <c r="S165" s="275"/>
      <c r="T165" s="510"/>
      <c r="U165" s="275"/>
      <c r="V165" s="510"/>
      <c r="W165" s="275"/>
      <c r="X165" s="510"/>
      <c r="Y165" s="275"/>
      <c r="Z165" s="510"/>
      <c r="AA165" s="275"/>
      <c r="AB165" s="510"/>
      <c r="AC165" s="275"/>
      <c r="AD165" s="510"/>
      <c r="AE165" s="275"/>
      <c r="AF165" s="510"/>
      <c r="AG165" s="275"/>
      <c r="AH165" s="510"/>
      <c r="AI165" s="275"/>
      <c r="AJ165" s="510"/>
      <c r="AK165" s="275"/>
      <c r="AL165" s="510"/>
      <c r="AM165" s="275"/>
      <c r="AN165" s="510"/>
    </row>
    <row r="166" spans="1:40" s="183" customFormat="1" ht="15" customHeight="1">
      <c r="A166" s="99" t="s">
        <v>536</v>
      </c>
      <c r="B166" s="100" t="s">
        <v>348</v>
      </c>
      <c r="C166" s="101">
        <v>244446</v>
      </c>
      <c r="D166" s="101">
        <v>12</v>
      </c>
      <c r="E166" s="275">
        <v>1407</v>
      </c>
      <c r="F166" s="510">
        <v>1632</v>
      </c>
      <c r="G166" s="275">
        <v>2523</v>
      </c>
      <c r="H166" s="510">
        <v>2928</v>
      </c>
      <c r="I166" s="275"/>
      <c r="J166" s="510"/>
      <c r="K166" s="275"/>
      <c r="L166" s="510"/>
      <c r="M166" s="275"/>
      <c r="N166" s="510"/>
      <c r="O166" s="275"/>
      <c r="P166" s="510"/>
      <c r="Q166" s="275"/>
      <c r="R166" s="510"/>
      <c r="S166" s="275"/>
      <c r="T166" s="510"/>
      <c r="U166" s="275"/>
      <c r="V166" s="510"/>
      <c r="W166" s="275"/>
      <c r="X166" s="510"/>
      <c r="Y166" s="275"/>
      <c r="Z166" s="510"/>
      <c r="AA166" s="275"/>
      <c r="AB166" s="510"/>
      <c r="AC166" s="275"/>
      <c r="AD166" s="510"/>
      <c r="AE166" s="275"/>
      <c r="AF166" s="510"/>
      <c r="AG166" s="275"/>
      <c r="AH166" s="510"/>
      <c r="AI166" s="275"/>
      <c r="AJ166" s="510"/>
      <c r="AK166" s="275"/>
      <c r="AL166" s="510"/>
      <c r="AM166" s="275"/>
      <c r="AN166" s="510"/>
    </row>
    <row r="167" spans="1:40" s="183" customFormat="1" ht="15" customHeight="1">
      <c r="A167" s="99" t="s">
        <v>536</v>
      </c>
      <c r="B167" s="187" t="s">
        <v>349</v>
      </c>
      <c r="C167" s="201">
        <v>139126</v>
      </c>
      <c r="D167" s="202">
        <v>12</v>
      </c>
      <c r="E167" s="275">
        <v>1380</v>
      </c>
      <c r="F167" s="510">
        <v>1560</v>
      </c>
      <c r="G167" s="275">
        <v>2496</v>
      </c>
      <c r="H167" s="510">
        <v>2856</v>
      </c>
      <c r="I167" s="275"/>
      <c r="J167" s="510"/>
      <c r="K167" s="275"/>
      <c r="L167" s="510"/>
      <c r="M167" s="275"/>
      <c r="N167" s="510"/>
      <c r="O167" s="275"/>
      <c r="P167" s="510"/>
      <c r="Q167" s="275"/>
      <c r="R167" s="510"/>
      <c r="S167" s="275"/>
      <c r="T167" s="510"/>
      <c r="U167" s="275"/>
      <c r="V167" s="510"/>
      <c r="W167" s="275"/>
      <c r="X167" s="510"/>
      <c r="Y167" s="275"/>
      <c r="Z167" s="510"/>
      <c r="AA167" s="275"/>
      <c r="AB167" s="510"/>
      <c r="AC167" s="275"/>
      <c r="AD167" s="510"/>
      <c r="AE167" s="275"/>
      <c r="AF167" s="510"/>
      <c r="AG167" s="275"/>
      <c r="AH167" s="510"/>
      <c r="AI167" s="275"/>
      <c r="AJ167" s="510"/>
      <c r="AK167" s="275"/>
      <c r="AL167" s="510"/>
      <c r="AM167" s="275"/>
      <c r="AN167" s="510"/>
    </row>
    <row r="168" spans="1:40" s="183" customFormat="1" ht="15" customHeight="1">
      <c r="A168" s="99" t="s">
        <v>536</v>
      </c>
      <c r="B168" s="100" t="s">
        <v>351</v>
      </c>
      <c r="C168" s="101">
        <v>139986</v>
      </c>
      <c r="D168" s="101">
        <v>12</v>
      </c>
      <c r="E168" s="275">
        <v>1359</v>
      </c>
      <c r="F168" s="510">
        <v>1539</v>
      </c>
      <c r="G168" s="275">
        <v>2475</v>
      </c>
      <c r="H168" s="510">
        <v>2835</v>
      </c>
      <c r="I168" s="275"/>
      <c r="J168" s="510"/>
      <c r="K168" s="275"/>
      <c r="L168" s="510"/>
      <c r="M168" s="275"/>
      <c r="N168" s="510"/>
      <c r="O168" s="275"/>
      <c r="P168" s="510"/>
      <c r="Q168" s="275"/>
      <c r="R168" s="510"/>
      <c r="S168" s="275"/>
      <c r="T168" s="510"/>
      <c r="U168" s="275"/>
      <c r="V168" s="510"/>
      <c r="W168" s="275"/>
      <c r="X168" s="510"/>
      <c r="Y168" s="275"/>
      <c r="Z168" s="510"/>
      <c r="AA168" s="275"/>
      <c r="AB168" s="510"/>
      <c r="AC168" s="275"/>
      <c r="AD168" s="510"/>
      <c r="AE168" s="275"/>
      <c r="AF168" s="510"/>
      <c r="AG168" s="275"/>
      <c r="AH168" s="510"/>
      <c r="AI168" s="275"/>
      <c r="AJ168" s="510"/>
      <c r="AK168" s="275"/>
      <c r="AL168" s="510"/>
      <c r="AM168" s="275"/>
      <c r="AN168" s="510"/>
    </row>
    <row r="169" spans="1:40" s="183" customFormat="1" ht="15" customHeight="1">
      <c r="A169" s="99" t="s">
        <v>536</v>
      </c>
      <c r="B169" s="100" t="s">
        <v>352</v>
      </c>
      <c r="C169" s="101">
        <v>140012</v>
      </c>
      <c r="D169" s="101">
        <v>12</v>
      </c>
      <c r="E169" s="275">
        <v>1425</v>
      </c>
      <c r="F169" s="510">
        <v>1605</v>
      </c>
      <c r="G169" s="275">
        <v>2541</v>
      </c>
      <c r="H169" s="510">
        <v>2901</v>
      </c>
      <c r="I169" s="275"/>
      <c r="J169" s="510"/>
      <c r="K169" s="275"/>
      <c r="L169" s="510"/>
      <c r="M169" s="275"/>
      <c r="N169" s="510"/>
      <c r="O169" s="275"/>
      <c r="P169" s="510"/>
      <c r="Q169" s="275"/>
      <c r="R169" s="510"/>
      <c r="S169" s="275"/>
      <c r="T169" s="510"/>
      <c r="U169" s="275"/>
      <c r="V169" s="510"/>
      <c r="W169" s="275"/>
      <c r="X169" s="510"/>
      <c r="Y169" s="275"/>
      <c r="Z169" s="510"/>
      <c r="AA169" s="275"/>
      <c r="AB169" s="510"/>
      <c r="AC169" s="275"/>
      <c r="AD169" s="510"/>
      <c r="AE169" s="275"/>
      <c r="AF169" s="510"/>
      <c r="AG169" s="275"/>
      <c r="AH169" s="510"/>
      <c r="AI169" s="275"/>
      <c r="AJ169" s="510"/>
      <c r="AK169" s="275"/>
      <c r="AL169" s="510"/>
      <c r="AM169" s="275"/>
      <c r="AN169" s="510"/>
    </row>
    <row r="170" spans="1:40" s="183" customFormat="1" ht="15" customHeight="1">
      <c r="A170" s="99" t="s">
        <v>536</v>
      </c>
      <c r="B170" s="100" t="s">
        <v>353</v>
      </c>
      <c r="C170" s="101">
        <v>140076</v>
      </c>
      <c r="D170" s="101">
        <v>12</v>
      </c>
      <c r="E170" s="275">
        <v>1371</v>
      </c>
      <c r="F170" s="510">
        <v>1551</v>
      </c>
      <c r="G170" s="275">
        <v>2487</v>
      </c>
      <c r="H170" s="510">
        <v>2847</v>
      </c>
      <c r="I170" s="275"/>
      <c r="J170" s="510"/>
      <c r="K170" s="275"/>
      <c r="L170" s="510"/>
      <c r="M170" s="275"/>
      <c r="N170" s="510"/>
      <c r="O170" s="275"/>
      <c r="P170" s="510"/>
      <c r="Q170" s="275"/>
      <c r="R170" s="510"/>
      <c r="S170" s="275"/>
      <c r="T170" s="510"/>
      <c r="U170" s="275"/>
      <c r="V170" s="510"/>
      <c r="W170" s="275"/>
      <c r="X170" s="510"/>
      <c r="Y170" s="275"/>
      <c r="Z170" s="510"/>
      <c r="AA170" s="275"/>
      <c r="AB170" s="510"/>
      <c r="AC170" s="275"/>
      <c r="AD170" s="510"/>
      <c r="AE170" s="275"/>
      <c r="AF170" s="510"/>
      <c r="AG170" s="275"/>
      <c r="AH170" s="510"/>
      <c r="AI170" s="275"/>
      <c r="AJ170" s="510"/>
      <c r="AK170" s="275"/>
      <c r="AL170" s="510"/>
      <c r="AM170" s="275"/>
      <c r="AN170" s="510"/>
    </row>
    <row r="171" spans="1:40" s="183" customFormat="1" ht="15" customHeight="1">
      <c r="A171" s="99" t="s">
        <v>536</v>
      </c>
      <c r="B171" s="100" t="s">
        <v>354</v>
      </c>
      <c r="C171" s="101">
        <v>140243</v>
      </c>
      <c r="D171" s="101">
        <v>12</v>
      </c>
      <c r="E171" s="275">
        <v>1386</v>
      </c>
      <c r="F171" s="510">
        <v>1566</v>
      </c>
      <c r="G171" s="275">
        <v>2502</v>
      </c>
      <c r="H171" s="510">
        <v>2862</v>
      </c>
      <c r="I171" s="275"/>
      <c r="J171" s="510"/>
      <c r="K171" s="275"/>
      <c r="L171" s="510"/>
      <c r="M171" s="275"/>
      <c r="N171" s="510"/>
      <c r="O171" s="275"/>
      <c r="P171" s="510"/>
      <c r="Q171" s="275"/>
      <c r="R171" s="510"/>
      <c r="S171" s="275"/>
      <c r="T171" s="510"/>
      <c r="U171" s="275"/>
      <c r="V171" s="510"/>
      <c r="W171" s="275"/>
      <c r="X171" s="510"/>
      <c r="Y171" s="275"/>
      <c r="Z171" s="510"/>
      <c r="AA171" s="275"/>
      <c r="AB171" s="510"/>
      <c r="AC171" s="275"/>
      <c r="AD171" s="510"/>
      <c r="AE171" s="275"/>
      <c r="AF171" s="510"/>
      <c r="AG171" s="275"/>
      <c r="AH171" s="510"/>
      <c r="AI171" s="275"/>
      <c r="AJ171" s="510"/>
      <c r="AK171" s="275"/>
      <c r="AL171" s="510"/>
      <c r="AM171" s="275"/>
      <c r="AN171" s="510"/>
    </row>
    <row r="172" spans="1:40" s="183" customFormat="1" ht="15" customHeight="1">
      <c r="A172" s="99" t="s">
        <v>536</v>
      </c>
      <c r="B172" s="100" t="s">
        <v>355</v>
      </c>
      <c r="C172" s="101">
        <v>140085</v>
      </c>
      <c r="D172" s="101">
        <v>12</v>
      </c>
      <c r="E172" s="275">
        <v>1359</v>
      </c>
      <c r="F172" s="510">
        <v>1539</v>
      </c>
      <c r="G172" s="275">
        <v>2475</v>
      </c>
      <c r="H172" s="510">
        <v>2835</v>
      </c>
      <c r="I172" s="275"/>
      <c r="J172" s="510"/>
      <c r="K172" s="275"/>
      <c r="L172" s="510"/>
      <c r="M172" s="275"/>
      <c r="N172" s="510"/>
      <c r="O172" s="275"/>
      <c r="P172" s="510"/>
      <c r="Q172" s="275"/>
      <c r="R172" s="510"/>
      <c r="S172" s="275"/>
      <c r="T172" s="510"/>
      <c r="U172" s="275"/>
      <c r="V172" s="510"/>
      <c r="W172" s="275"/>
      <c r="X172" s="510"/>
      <c r="Y172" s="275"/>
      <c r="Z172" s="510"/>
      <c r="AA172" s="275"/>
      <c r="AB172" s="510"/>
      <c r="AC172" s="275"/>
      <c r="AD172" s="510"/>
      <c r="AE172" s="275"/>
      <c r="AF172" s="510"/>
      <c r="AG172" s="275"/>
      <c r="AH172" s="510"/>
      <c r="AI172" s="275"/>
      <c r="AJ172" s="510"/>
      <c r="AK172" s="275"/>
      <c r="AL172" s="510"/>
      <c r="AM172" s="275"/>
      <c r="AN172" s="510"/>
    </row>
    <row r="173" spans="1:40" s="183" customFormat="1" ht="15" customHeight="1">
      <c r="A173" s="99" t="s">
        <v>536</v>
      </c>
      <c r="B173" s="100" t="s">
        <v>356</v>
      </c>
      <c r="C173" s="101">
        <v>140599</v>
      </c>
      <c r="D173" s="101">
        <v>12</v>
      </c>
      <c r="E173" s="275">
        <v>1359</v>
      </c>
      <c r="F173" s="510">
        <v>1539</v>
      </c>
      <c r="G173" s="275">
        <v>2475</v>
      </c>
      <c r="H173" s="510">
        <v>2835</v>
      </c>
      <c r="I173" s="275"/>
      <c r="J173" s="510"/>
      <c r="K173" s="275"/>
      <c r="L173" s="510"/>
      <c r="M173" s="275"/>
      <c r="N173" s="510"/>
      <c r="O173" s="275"/>
      <c r="P173" s="510"/>
      <c r="Q173" s="275"/>
      <c r="R173" s="510"/>
      <c r="S173" s="275"/>
      <c r="T173" s="510"/>
      <c r="U173" s="275"/>
      <c r="V173" s="510"/>
      <c r="W173" s="275"/>
      <c r="X173" s="510"/>
      <c r="Y173" s="275"/>
      <c r="Z173" s="510"/>
      <c r="AA173" s="275"/>
      <c r="AB173" s="510"/>
      <c r="AC173" s="275"/>
      <c r="AD173" s="510"/>
      <c r="AE173" s="275"/>
      <c r="AF173" s="510"/>
      <c r="AG173" s="275"/>
      <c r="AH173" s="510"/>
      <c r="AI173" s="275"/>
      <c r="AJ173" s="510"/>
      <c r="AK173" s="275"/>
      <c r="AL173" s="510"/>
      <c r="AM173" s="275"/>
      <c r="AN173" s="510"/>
    </row>
    <row r="174" spans="1:40" s="183" customFormat="1" ht="15" customHeight="1">
      <c r="A174" s="99" t="s">
        <v>536</v>
      </c>
      <c r="B174" s="100" t="s">
        <v>357</v>
      </c>
      <c r="C174" s="101">
        <v>140678</v>
      </c>
      <c r="D174" s="101">
        <v>12</v>
      </c>
      <c r="E174" s="275">
        <v>1408</v>
      </c>
      <c r="F174" s="510">
        <v>1581</v>
      </c>
      <c r="G174" s="275">
        <v>2517</v>
      </c>
      <c r="H174" s="510">
        <v>2877</v>
      </c>
      <c r="I174" s="275"/>
      <c r="J174" s="510"/>
      <c r="K174" s="275"/>
      <c r="L174" s="510"/>
      <c r="M174" s="275"/>
      <c r="N174" s="510"/>
      <c r="O174" s="275"/>
      <c r="P174" s="510"/>
      <c r="Q174" s="275"/>
      <c r="R174" s="510"/>
      <c r="S174" s="275"/>
      <c r="T174" s="510"/>
      <c r="U174" s="275"/>
      <c r="V174" s="510"/>
      <c r="W174" s="275"/>
      <c r="X174" s="510"/>
      <c r="Y174" s="275"/>
      <c r="Z174" s="510"/>
      <c r="AA174" s="275"/>
      <c r="AB174" s="510"/>
      <c r="AC174" s="275"/>
      <c r="AD174" s="510"/>
      <c r="AE174" s="275"/>
      <c r="AF174" s="510"/>
      <c r="AG174" s="275"/>
      <c r="AH174" s="510"/>
      <c r="AI174" s="275"/>
      <c r="AJ174" s="510"/>
      <c r="AK174" s="275"/>
      <c r="AL174" s="510"/>
      <c r="AM174" s="275"/>
      <c r="AN174" s="510"/>
    </row>
    <row r="175" spans="1:40" s="183" customFormat="1" ht="15" customHeight="1">
      <c r="A175" s="99" t="s">
        <v>536</v>
      </c>
      <c r="B175" s="187" t="s">
        <v>358</v>
      </c>
      <c r="C175" s="201">
        <v>366456</v>
      </c>
      <c r="D175" s="202">
        <v>12</v>
      </c>
      <c r="E175" s="275">
        <v>1359</v>
      </c>
      <c r="F175" s="510">
        <v>1569</v>
      </c>
      <c r="G175" s="275">
        <v>2475</v>
      </c>
      <c r="H175" s="510">
        <v>2865</v>
      </c>
      <c r="I175" s="275"/>
      <c r="J175" s="510"/>
      <c r="K175" s="275"/>
      <c r="L175" s="510"/>
      <c r="M175" s="275"/>
      <c r="N175" s="510"/>
      <c r="O175" s="275"/>
      <c r="P175" s="510"/>
      <c r="Q175" s="275"/>
      <c r="R175" s="510"/>
      <c r="S175" s="275"/>
      <c r="T175" s="510"/>
      <c r="U175" s="275"/>
      <c r="V175" s="510"/>
      <c r="W175" s="275"/>
      <c r="X175" s="510"/>
      <c r="Y175" s="275"/>
      <c r="Z175" s="510"/>
      <c r="AA175" s="275"/>
      <c r="AB175" s="510"/>
      <c r="AC175" s="275"/>
      <c r="AD175" s="510"/>
      <c r="AE175" s="275"/>
      <c r="AF175" s="510"/>
      <c r="AG175" s="275"/>
      <c r="AH175" s="510"/>
      <c r="AI175" s="275"/>
      <c r="AJ175" s="510"/>
      <c r="AK175" s="275"/>
      <c r="AL175" s="510"/>
      <c r="AM175" s="275"/>
      <c r="AN175" s="510"/>
    </row>
    <row r="176" spans="1:40" s="183" customFormat="1" ht="15" customHeight="1">
      <c r="A176" s="99" t="s">
        <v>536</v>
      </c>
      <c r="B176" s="99" t="s">
        <v>359</v>
      </c>
      <c r="C176" s="178">
        <v>141273</v>
      </c>
      <c r="D176" s="101">
        <v>12</v>
      </c>
      <c r="E176" s="275">
        <v>1359</v>
      </c>
      <c r="F176" s="510">
        <v>1539</v>
      </c>
      <c r="G176" s="275">
        <v>2475</v>
      </c>
      <c r="H176" s="510">
        <v>2835</v>
      </c>
      <c r="I176" s="275"/>
      <c r="J176" s="510"/>
      <c r="K176" s="275"/>
      <c r="L176" s="510"/>
      <c r="M176" s="275"/>
      <c r="N176" s="510"/>
      <c r="O176" s="275"/>
      <c r="P176" s="510"/>
      <c r="Q176" s="275"/>
      <c r="R176" s="510"/>
      <c r="S176" s="275"/>
      <c r="T176" s="510"/>
      <c r="U176" s="275"/>
      <c r="V176" s="510"/>
      <c r="W176" s="275"/>
      <c r="X176" s="510"/>
      <c r="Y176" s="275"/>
      <c r="Z176" s="510"/>
      <c r="AA176" s="275"/>
      <c r="AB176" s="510"/>
      <c r="AC176" s="275"/>
      <c r="AD176" s="510"/>
      <c r="AE176" s="275"/>
      <c r="AF176" s="510"/>
      <c r="AG176" s="275"/>
      <c r="AH176" s="510"/>
      <c r="AI176" s="275"/>
      <c r="AJ176" s="510"/>
      <c r="AK176" s="275"/>
      <c r="AL176" s="510"/>
      <c r="AM176" s="275"/>
      <c r="AN176" s="510"/>
    </row>
    <row r="177" spans="1:40" s="183" customFormat="1" ht="15" customHeight="1">
      <c r="A177" s="99" t="s">
        <v>536</v>
      </c>
      <c r="B177" s="187" t="s">
        <v>360</v>
      </c>
      <c r="C177" s="201">
        <v>366465</v>
      </c>
      <c r="D177" s="202">
        <v>12</v>
      </c>
      <c r="E177" s="275">
        <v>1374</v>
      </c>
      <c r="F177" s="510">
        <v>1554</v>
      </c>
      <c r="G177" s="275">
        <v>2490</v>
      </c>
      <c r="H177" s="510">
        <v>2850</v>
      </c>
      <c r="I177" s="275"/>
      <c r="J177" s="510"/>
      <c r="K177" s="275"/>
      <c r="L177" s="510"/>
      <c r="M177" s="275"/>
      <c r="N177" s="510"/>
      <c r="O177" s="275"/>
      <c r="P177" s="510"/>
      <c r="Q177" s="275"/>
      <c r="R177" s="510"/>
      <c r="S177" s="275"/>
      <c r="T177" s="510"/>
      <c r="U177" s="275"/>
      <c r="V177" s="510"/>
      <c r="W177" s="275"/>
      <c r="X177" s="510"/>
      <c r="Y177" s="275"/>
      <c r="Z177" s="510"/>
      <c r="AA177" s="275"/>
      <c r="AB177" s="510"/>
      <c r="AC177" s="275"/>
      <c r="AD177" s="510"/>
      <c r="AE177" s="275"/>
      <c r="AF177" s="510"/>
      <c r="AG177" s="275"/>
      <c r="AH177" s="510"/>
      <c r="AI177" s="275"/>
      <c r="AJ177" s="510"/>
      <c r="AK177" s="275"/>
      <c r="AL177" s="510"/>
      <c r="AM177" s="275"/>
      <c r="AN177" s="510"/>
    </row>
    <row r="178" spans="1:40" s="183" customFormat="1" ht="15" customHeight="1">
      <c r="A178" s="99" t="s">
        <v>536</v>
      </c>
      <c r="B178" s="99" t="s">
        <v>361</v>
      </c>
      <c r="C178" s="178">
        <v>248776</v>
      </c>
      <c r="D178" s="101">
        <v>12</v>
      </c>
      <c r="E178" s="275">
        <v>1359</v>
      </c>
      <c r="F178" s="510">
        <v>1539</v>
      </c>
      <c r="G178" s="275">
        <v>2475</v>
      </c>
      <c r="H178" s="510">
        <v>2835</v>
      </c>
      <c r="I178" s="275"/>
      <c r="J178" s="510"/>
      <c r="K178" s="275"/>
      <c r="L178" s="510"/>
      <c r="M178" s="275"/>
      <c r="N178" s="510"/>
      <c r="O178" s="275"/>
      <c r="P178" s="510"/>
      <c r="Q178" s="275"/>
      <c r="R178" s="510"/>
      <c r="S178" s="275"/>
      <c r="T178" s="510"/>
      <c r="U178" s="275"/>
      <c r="V178" s="510"/>
      <c r="W178" s="275"/>
      <c r="X178" s="510"/>
      <c r="Y178" s="275"/>
      <c r="Z178" s="510"/>
      <c r="AA178" s="275"/>
      <c r="AB178" s="510"/>
      <c r="AC178" s="275"/>
      <c r="AD178" s="510"/>
      <c r="AE178" s="275"/>
      <c r="AF178" s="510"/>
      <c r="AG178" s="275"/>
      <c r="AH178" s="510"/>
      <c r="AI178" s="275"/>
      <c r="AJ178" s="510"/>
      <c r="AK178" s="275"/>
      <c r="AL178" s="510"/>
      <c r="AM178" s="275"/>
      <c r="AN178" s="510"/>
    </row>
    <row r="179" spans="1:40" s="183" customFormat="1" ht="15" customHeight="1">
      <c r="A179" s="99" t="s">
        <v>536</v>
      </c>
      <c r="B179" s="99" t="s">
        <v>362</v>
      </c>
      <c r="C179" s="178">
        <v>140942</v>
      </c>
      <c r="D179" s="101">
        <v>12</v>
      </c>
      <c r="E179" s="275">
        <v>1359</v>
      </c>
      <c r="F179" s="510">
        <v>1539</v>
      </c>
      <c r="G179" s="275">
        <v>2475</v>
      </c>
      <c r="H179" s="510">
        <v>2835</v>
      </c>
      <c r="I179" s="275"/>
      <c r="J179" s="510"/>
      <c r="K179" s="275"/>
      <c r="L179" s="510"/>
      <c r="M179" s="275"/>
      <c r="N179" s="510"/>
      <c r="O179" s="275"/>
      <c r="P179" s="510"/>
      <c r="Q179" s="275"/>
      <c r="R179" s="510"/>
      <c r="S179" s="275"/>
      <c r="T179" s="510"/>
      <c r="U179" s="275"/>
      <c r="V179" s="510"/>
      <c r="W179" s="275"/>
      <c r="X179" s="510"/>
      <c r="Y179" s="275"/>
      <c r="Z179" s="510"/>
      <c r="AA179" s="275"/>
      <c r="AB179" s="510"/>
      <c r="AC179" s="275"/>
      <c r="AD179" s="510"/>
      <c r="AE179" s="275"/>
      <c r="AF179" s="510"/>
      <c r="AG179" s="275"/>
      <c r="AH179" s="510"/>
      <c r="AI179" s="275"/>
      <c r="AJ179" s="510"/>
      <c r="AK179" s="275"/>
      <c r="AL179" s="510"/>
      <c r="AM179" s="275"/>
      <c r="AN179" s="510"/>
    </row>
    <row r="180" spans="1:40" s="183" customFormat="1" ht="15" customHeight="1">
      <c r="A180" s="99" t="s">
        <v>536</v>
      </c>
      <c r="B180" s="99" t="s">
        <v>363</v>
      </c>
      <c r="C180" s="178">
        <v>141006</v>
      </c>
      <c r="D180" s="101">
        <v>12</v>
      </c>
      <c r="E180" s="275">
        <v>1386</v>
      </c>
      <c r="F180" s="510">
        <v>1566</v>
      </c>
      <c r="G180" s="275">
        <v>2502</v>
      </c>
      <c r="H180" s="510">
        <v>2862</v>
      </c>
      <c r="I180" s="275"/>
      <c r="J180" s="510"/>
      <c r="K180" s="275"/>
      <c r="L180" s="510"/>
      <c r="M180" s="275"/>
      <c r="N180" s="510"/>
      <c r="O180" s="275"/>
      <c r="P180" s="510"/>
      <c r="Q180" s="275"/>
      <c r="R180" s="510"/>
      <c r="S180" s="275"/>
      <c r="T180" s="510"/>
      <c r="U180" s="275"/>
      <c r="V180" s="510"/>
      <c r="W180" s="275"/>
      <c r="X180" s="510"/>
      <c r="Y180" s="275"/>
      <c r="Z180" s="510"/>
      <c r="AA180" s="275"/>
      <c r="AB180" s="510"/>
      <c r="AC180" s="275"/>
      <c r="AD180" s="510"/>
      <c r="AE180" s="275"/>
      <c r="AF180" s="510"/>
      <c r="AG180" s="275"/>
      <c r="AH180" s="510"/>
      <c r="AI180" s="275"/>
      <c r="AJ180" s="510"/>
      <c r="AK180" s="275"/>
      <c r="AL180" s="510"/>
      <c r="AM180" s="275"/>
      <c r="AN180" s="510"/>
    </row>
    <row r="181" spans="1:40" s="183" customFormat="1" ht="15" customHeight="1">
      <c r="A181" s="99" t="s">
        <v>536</v>
      </c>
      <c r="B181" s="99" t="s">
        <v>365</v>
      </c>
      <c r="C181" s="178">
        <v>141158</v>
      </c>
      <c r="D181" s="101">
        <v>12</v>
      </c>
      <c r="E181" s="275">
        <v>1359</v>
      </c>
      <c r="F181" s="510">
        <v>1539</v>
      </c>
      <c r="G181" s="275">
        <v>2475</v>
      </c>
      <c r="H181" s="510">
        <v>2835</v>
      </c>
      <c r="I181" s="275"/>
      <c r="J181" s="510"/>
      <c r="K181" s="275"/>
      <c r="L181" s="510"/>
      <c r="M181" s="275"/>
      <c r="N181" s="510"/>
      <c r="O181" s="275"/>
      <c r="P181" s="510"/>
      <c r="Q181" s="275"/>
      <c r="R181" s="510"/>
      <c r="S181" s="275"/>
      <c r="T181" s="510"/>
      <c r="U181" s="275"/>
      <c r="V181" s="510"/>
      <c r="W181" s="275"/>
      <c r="X181" s="510"/>
      <c r="Y181" s="275"/>
      <c r="Z181" s="510"/>
      <c r="AA181" s="275"/>
      <c r="AB181" s="510"/>
      <c r="AC181" s="275"/>
      <c r="AD181" s="510"/>
      <c r="AE181" s="275"/>
      <c r="AF181" s="510"/>
      <c r="AG181" s="275"/>
      <c r="AH181" s="510"/>
      <c r="AI181" s="275"/>
      <c r="AJ181" s="510"/>
      <c r="AK181" s="275"/>
      <c r="AL181" s="510"/>
      <c r="AM181" s="275"/>
      <c r="AN181" s="510"/>
    </row>
    <row r="182" spans="1:40" s="183" customFormat="1" ht="15" customHeight="1">
      <c r="A182" s="99" t="s">
        <v>536</v>
      </c>
      <c r="B182" s="99" t="s">
        <v>366</v>
      </c>
      <c r="C182" s="178">
        <v>141255</v>
      </c>
      <c r="D182" s="101">
        <v>12</v>
      </c>
      <c r="E182" s="275">
        <v>1392</v>
      </c>
      <c r="F182" s="510">
        <v>1572</v>
      </c>
      <c r="G182" s="275">
        <v>2508</v>
      </c>
      <c r="H182" s="510">
        <v>2868</v>
      </c>
      <c r="I182" s="275"/>
      <c r="J182" s="510"/>
      <c r="K182" s="275"/>
      <c r="L182" s="510"/>
      <c r="M182" s="275"/>
      <c r="N182" s="510"/>
      <c r="O182" s="275"/>
      <c r="P182" s="510"/>
      <c r="Q182" s="275"/>
      <c r="R182" s="510"/>
      <c r="S182" s="275"/>
      <c r="T182" s="510"/>
      <c r="U182" s="275"/>
      <c r="V182" s="510"/>
      <c r="W182" s="275"/>
      <c r="X182" s="510"/>
      <c r="Y182" s="275"/>
      <c r="Z182" s="510"/>
      <c r="AA182" s="275"/>
      <c r="AB182" s="510"/>
      <c r="AC182" s="275"/>
      <c r="AD182" s="510"/>
      <c r="AE182" s="275"/>
      <c r="AF182" s="510"/>
      <c r="AG182" s="275"/>
      <c r="AH182" s="510"/>
      <c r="AI182" s="275"/>
      <c r="AJ182" s="510"/>
      <c r="AK182" s="275"/>
      <c r="AL182" s="510"/>
      <c r="AM182" s="275"/>
      <c r="AN182" s="510"/>
    </row>
    <row r="183" spans="1:40" s="183" customFormat="1" ht="15" customHeight="1">
      <c r="A183" s="99" t="s">
        <v>536</v>
      </c>
      <c r="B183" s="100" t="s">
        <v>367</v>
      </c>
      <c r="C183" s="101">
        <v>139278</v>
      </c>
      <c r="D183" s="101">
        <v>12</v>
      </c>
      <c r="E183" s="275">
        <v>1371</v>
      </c>
      <c r="F183" s="510">
        <v>1551</v>
      </c>
      <c r="G183" s="275">
        <v>2487</v>
      </c>
      <c r="H183" s="510">
        <v>2847</v>
      </c>
      <c r="I183" s="275"/>
      <c r="J183" s="510"/>
      <c r="K183" s="275"/>
      <c r="L183" s="510"/>
      <c r="M183" s="275"/>
      <c r="N183" s="510"/>
      <c r="O183" s="275"/>
      <c r="P183" s="510"/>
      <c r="Q183" s="275"/>
      <c r="R183" s="510"/>
      <c r="S183" s="275"/>
      <c r="T183" s="510"/>
      <c r="U183" s="275"/>
      <c r="V183" s="510"/>
      <c r="W183" s="275"/>
      <c r="X183" s="510"/>
      <c r="Y183" s="275"/>
      <c r="Z183" s="510"/>
      <c r="AA183" s="275"/>
      <c r="AB183" s="510"/>
      <c r="AC183" s="275"/>
      <c r="AD183" s="510"/>
      <c r="AE183" s="275"/>
      <c r="AF183" s="510"/>
      <c r="AG183" s="275"/>
      <c r="AH183" s="510"/>
      <c r="AI183" s="275"/>
      <c r="AJ183" s="510"/>
      <c r="AK183" s="275"/>
      <c r="AL183" s="510"/>
      <c r="AM183" s="275"/>
      <c r="AN183" s="510"/>
    </row>
    <row r="184" spans="1:40" s="183" customFormat="1" ht="15" customHeight="1">
      <c r="A184" s="99" t="s">
        <v>536</v>
      </c>
      <c r="B184" s="99" t="s">
        <v>368</v>
      </c>
      <c r="C184" s="178">
        <v>141228</v>
      </c>
      <c r="D184" s="188">
        <v>12</v>
      </c>
      <c r="E184" s="275">
        <v>1359</v>
      </c>
      <c r="F184" s="510">
        <v>1539</v>
      </c>
      <c r="G184" s="275">
        <v>2475</v>
      </c>
      <c r="H184" s="510">
        <v>2835</v>
      </c>
      <c r="I184" s="275"/>
      <c r="J184" s="510"/>
      <c r="K184" s="275"/>
      <c r="L184" s="510"/>
      <c r="M184" s="275"/>
      <c r="N184" s="510"/>
      <c r="O184" s="275"/>
      <c r="P184" s="510"/>
      <c r="Q184" s="275"/>
      <c r="R184" s="510"/>
      <c r="S184" s="275"/>
      <c r="T184" s="510"/>
      <c r="U184" s="275"/>
      <c r="V184" s="510"/>
      <c r="W184" s="275"/>
      <c r="X184" s="510"/>
      <c r="Y184" s="275"/>
      <c r="Z184" s="510"/>
      <c r="AA184" s="275"/>
      <c r="AB184" s="510"/>
      <c r="AC184" s="275"/>
      <c r="AD184" s="510"/>
      <c r="AE184" s="275"/>
      <c r="AF184" s="510"/>
      <c r="AG184" s="275"/>
      <c r="AH184" s="510"/>
      <c r="AI184" s="275"/>
      <c r="AJ184" s="510"/>
      <c r="AK184" s="275"/>
      <c r="AL184" s="510"/>
      <c r="AM184" s="275"/>
      <c r="AN184" s="510"/>
    </row>
    <row r="185" spans="1:40" s="183" customFormat="1" ht="15" customHeight="1">
      <c r="A185" s="99" t="s">
        <v>536</v>
      </c>
      <c r="B185" s="449" t="s">
        <v>966</v>
      </c>
      <c r="C185" s="208">
        <v>366447</v>
      </c>
      <c r="D185" s="209">
        <v>13</v>
      </c>
      <c r="E185" s="275">
        <v>1359</v>
      </c>
      <c r="F185" s="510">
        <v>1539</v>
      </c>
      <c r="G185" s="275">
        <v>2475</v>
      </c>
      <c r="H185" s="510">
        <v>2835</v>
      </c>
      <c r="I185" s="275"/>
      <c r="J185" s="510"/>
      <c r="K185" s="275"/>
      <c r="L185" s="510"/>
      <c r="M185" s="275"/>
      <c r="N185" s="510"/>
      <c r="O185" s="275"/>
      <c r="P185" s="510"/>
      <c r="Q185" s="275"/>
      <c r="R185" s="510"/>
      <c r="S185" s="275"/>
      <c r="T185" s="510"/>
      <c r="U185" s="275"/>
      <c r="V185" s="510"/>
      <c r="W185" s="275"/>
      <c r="X185" s="510"/>
      <c r="Y185" s="275"/>
      <c r="Z185" s="510"/>
      <c r="AA185" s="275"/>
      <c r="AB185" s="510"/>
      <c r="AC185" s="275"/>
      <c r="AD185" s="510"/>
      <c r="AE185" s="275"/>
      <c r="AF185" s="510"/>
      <c r="AG185" s="275"/>
      <c r="AH185" s="510"/>
      <c r="AI185" s="275"/>
      <c r="AJ185" s="510"/>
      <c r="AK185" s="275"/>
      <c r="AL185" s="510"/>
      <c r="AM185" s="275"/>
      <c r="AN185" s="510"/>
    </row>
    <row r="186" spans="1:40" s="183" customFormat="1" ht="15" customHeight="1">
      <c r="A186" s="99" t="s">
        <v>536</v>
      </c>
      <c r="B186" s="99" t="s">
        <v>369</v>
      </c>
      <c r="C186" s="178">
        <v>140809</v>
      </c>
      <c r="D186" s="188">
        <v>13</v>
      </c>
      <c r="E186" s="275">
        <v>1359</v>
      </c>
      <c r="F186" s="510">
        <v>1539</v>
      </c>
      <c r="G186" s="275">
        <v>2475</v>
      </c>
      <c r="H186" s="510">
        <v>2835</v>
      </c>
      <c r="I186" s="275"/>
      <c r="J186" s="510"/>
      <c r="K186" s="275"/>
      <c r="L186" s="510"/>
      <c r="M186" s="275"/>
      <c r="N186" s="510"/>
      <c r="O186" s="275"/>
      <c r="P186" s="510"/>
      <c r="Q186" s="275"/>
      <c r="R186" s="510"/>
      <c r="S186" s="275"/>
      <c r="T186" s="510"/>
      <c r="U186" s="275"/>
      <c r="V186" s="510"/>
      <c r="W186" s="275"/>
      <c r="X186" s="510"/>
      <c r="Y186" s="275"/>
      <c r="Z186" s="510"/>
      <c r="AA186" s="275"/>
      <c r="AB186" s="510"/>
      <c r="AC186" s="275"/>
      <c r="AD186" s="510"/>
      <c r="AE186" s="275"/>
      <c r="AF186" s="510"/>
      <c r="AG186" s="275"/>
      <c r="AH186" s="510"/>
      <c r="AI186" s="275"/>
      <c r="AJ186" s="510"/>
      <c r="AK186" s="275"/>
      <c r="AL186" s="510"/>
      <c r="AM186" s="275"/>
      <c r="AN186" s="510"/>
    </row>
    <row r="187" spans="1:40" s="183" customFormat="1" ht="15" customHeight="1">
      <c r="A187" s="99" t="s">
        <v>536</v>
      </c>
      <c r="B187" s="207" t="s">
        <v>350</v>
      </c>
      <c r="C187" s="208">
        <v>248794</v>
      </c>
      <c r="D187" s="209">
        <v>13</v>
      </c>
      <c r="E187" s="275">
        <v>1359</v>
      </c>
      <c r="F187" s="510">
        <v>1539</v>
      </c>
      <c r="G187" s="275">
        <v>2475</v>
      </c>
      <c r="H187" s="510">
        <v>2815</v>
      </c>
      <c r="I187" s="275"/>
      <c r="J187" s="510"/>
      <c r="K187" s="275"/>
      <c r="L187" s="510"/>
      <c r="M187" s="275"/>
      <c r="N187" s="510"/>
      <c r="O187" s="275"/>
      <c r="P187" s="510"/>
      <c r="Q187" s="275"/>
      <c r="R187" s="510"/>
      <c r="S187" s="275"/>
      <c r="T187" s="510"/>
      <c r="U187" s="275"/>
      <c r="V187" s="510"/>
      <c r="W187" s="275"/>
      <c r="X187" s="510"/>
      <c r="Y187" s="275"/>
      <c r="Z187" s="510"/>
      <c r="AA187" s="275"/>
      <c r="AB187" s="510"/>
      <c r="AC187" s="275"/>
      <c r="AD187" s="510"/>
      <c r="AE187" s="275"/>
      <c r="AF187" s="510"/>
      <c r="AG187" s="275"/>
      <c r="AH187" s="510"/>
      <c r="AI187" s="275"/>
      <c r="AJ187" s="510"/>
      <c r="AK187" s="275"/>
      <c r="AL187" s="510"/>
      <c r="AM187" s="275"/>
      <c r="AN187" s="510"/>
    </row>
    <row r="188" spans="1:40" s="183" customFormat="1" ht="15" customHeight="1">
      <c r="A188" s="99" t="s">
        <v>536</v>
      </c>
      <c r="B188" s="99" t="s">
        <v>370</v>
      </c>
      <c r="C188" s="178">
        <v>420431</v>
      </c>
      <c r="D188" s="188">
        <v>13</v>
      </c>
      <c r="E188" s="275">
        <v>1359</v>
      </c>
      <c r="F188" s="510">
        <v>1539</v>
      </c>
      <c r="G188" s="275">
        <v>2475</v>
      </c>
      <c r="H188" s="510">
        <v>2835</v>
      </c>
      <c r="I188" s="275"/>
      <c r="J188" s="510"/>
      <c r="K188" s="275"/>
      <c r="L188" s="510"/>
      <c r="M188" s="275"/>
      <c r="N188" s="510"/>
      <c r="O188" s="275"/>
      <c r="P188" s="510"/>
      <c r="Q188" s="275"/>
      <c r="R188" s="510"/>
      <c r="S188" s="275"/>
      <c r="T188" s="510"/>
      <c r="U188" s="275"/>
      <c r="V188" s="510"/>
      <c r="W188" s="275"/>
      <c r="X188" s="510"/>
      <c r="Y188" s="275"/>
      <c r="Z188" s="510"/>
      <c r="AA188" s="275"/>
      <c r="AB188" s="510"/>
      <c r="AC188" s="275"/>
      <c r="AD188" s="510"/>
      <c r="AE188" s="275"/>
      <c r="AF188" s="510"/>
      <c r="AG188" s="275"/>
      <c r="AH188" s="510"/>
      <c r="AI188" s="275"/>
      <c r="AJ188" s="510"/>
      <c r="AK188" s="275"/>
      <c r="AL188" s="510"/>
      <c r="AM188" s="275"/>
      <c r="AN188" s="510"/>
    </row>
    <row r="189" spans="1:40" s="183" customFormat="1" ht="15" customHeight="1">
      <c r="A189" s="99" t="s">
        <v>536</v>
      </c>
      <c r="B189" s="450" t="s">
        <v>364</v>
      </c>
      <c r="C189" s="211">
        <v>368911</v>
      </c>
      <c r="D189" s="209">
        <v>13</v>
      </c>
      <c r="E189" s="275">
        <v>1359</v>
      </c>
      <c r="F189" s="510">
        <v>1539</v>
      </c>
      <c r="G189" s="275">
        <v>2475</v>
      </c>
      <c r="H189" s="510">
        <v>2835</v>
      </c>
      <c r="I189" s="275"/>
      <c r="J189" s="510"/>
      <c r="K189" s="275"/>
      <c r="L189" s="510"/>
      <c r="M189" s="275"/>
      <c r="N189" s="510"/>
      <c r="O189" s="275"/>
      <c r="P189" s="510"/>
      <c r="Q189" s="275"/>
      <c r="R189" s="510"/>
      <c r="S189" s="275"/>
      <c r="T189" s="510"/>
      <c r="U189" s="275"/>
      <c r="V189" s="510"/>
      <c r="W189" s="275"/>
      <c r="X189" s="510"/>
      <c r="Y189" s="275"/>
      <c r="Z189" s="510"/>
      <c r="AA189" s="275"/>
      <c r="AB189" s="510"/>
      <c r="AC189" s="275"/>
      <c r="AD189" s="510"/>
      <c r="AE189" s="275"/>
      <c r="AF189" s="510"/>
      <c r="AG189" s="275"/>
      <c r="AH189" s="510"/>
      <c r="AI189" s="275"/>
      <c r="AJ189" s="510"/>
      <c r="AK189" s="275"/>
      <c r="AL189" s="510"/>
      <c r="AM189" s="275"/>
      <c r="AN189" s="510"/>
    </row>
    <row r="190" spans="1:40" s="183" customFormat="1" ht="15" customHeight="1">
      <c r="A190" s="99" t="s">
        <v>536</v>
      </c>
      <c r="B190" s="99" t="s">
        <v>371</v>
      </c>
      <c r="C190" s="178">
        <v>141121</v>
      </c>
      <c r="D190" s="188">
        <v>13</v>
      </c>
      <c r="E190" s="275">
        <v>1359</v>
      </c>
      <c r="F190" s="510">
        <v>1539</v>
      </c>
      <c r="G190" s="275">
        <v>2475</v>
      </c>
      <c r="H190" s="510">
        <v>2835</v>
      </c>
      <c r="I190" s="275"/>
      <c r="J190" s="510"/>
      <c r="K190" s="275"/>
      <c r="L190" s="510"/>
      <c r="M190" s="275"/>
      <c r="N190" s="510"/>
      <c r="O190" s="275"/>
      <c r="P190" s="510"/>
      <c r="Q190" s="275"/>
      <c r="R190" s="510"/>
      <c r="S190" s="275"/>
      <c r="T190" s="510"/>
      <c r="U190" s="275"/>
      <c r="V190" s="510"/>
      <c r="W190" s="275"/>
      <c r="X190" s="510"/>
      <c r="Y190" s="275"/>
      <c r="Z190" s="510"/>
      <c r="AA190" s="275"/>
      <c r="AB190" s="510"/>
      <c r="AC190" s="275"/>
      <c r="AD190" s="510"/>
      <c r="AE190" s="275"/>
      <c r="AF190" s="510"/>
      <c r="AG190" s="275"/>
      <c r="AH190" s="510"/>
      <c r="AI190" s="275"/>
      <c r="AJ190" s="510"/>
      <c r="AK190" s="275"/>
      <c r="AL190" s="510"/>
      <c r="AM190" s="275"/>
      <c r="AN190" s="510"/>
    </row>
    <row r="191" spans="1:40" s="183" customFormat="1" ht="15" customHeight="1">
      <c r="A191" s="421" t="s">
        <v>596</v>
      </c>
      <c r="B191" s="421" t="s">
        <v>409</v>
      </c>
      <c r="C191" s="422">
        <v>157085</v>
      </c>
      <c r="D191" s="423">
        <v>1</v>
      </c>
      <c r="E191" s="275">
        <v>6604</v>
      </c>
      <c r="F191" s="510">
        <v>7199</v>
      </c>
      <c r="G191" s="275">
        <v>14063</v>
      </c>
      <c r="H191" s="510">
        <v>14995</v>
      </c>
      <c r="I191" s="275">
        <v>7036</v>
      </c>
      <c r="J191" s="510">
        <v>7670</v>
      </c>
      <c r="K191" s="275">
        <v>15154</v>
      </c>
      <c r="L191" s="510">
        <v>16158</v>
      </c>
      <c r="M191" s="275">
        <v>12842</v>
      </c>
      <c r="N191" s="510">
        <v>13998</v>
      </c>
      <c r="O191" s="275">
        <v>23272</v>
      </c>
      <c r="P191" s="510">
        <v>24804</v>
      </c>
      <c r="Q191" s="275">
        <v>21312</v>
      </c>
      <c r="R191" s="510">
        <v>23752</v>
      </c>
      <c r="S191" s="275">
        <v>41322</v>
      </c>
      <c r="T191" s="510">
        <v>45155</v>
      </c>
      <c r="U191" s="275">
        <v>19534</v>
      </c>
      <c r="V191" s="510">
        <v>21274</v>
      </c>
      <c r="W191" s="275">
        <v>42114</v>
      </c>
      <c r="X191" s="510">
        <v>44854</v>
      </c>
      <c r="Y191" s="275">
        <v>16308</v>
      </c>
      <c r="Z191" s="510">
        <v>17776</v>
      </c>
      <c r="AA191" s="275">
        <v>31060</v>
      </c>
      <c r="AB191" s="510">
        <v>33098</v>
      </c>
      <c r="AC191" s="275"/>
      <c r="AD191" s="510"/>
      <c r="AE191" s="275"/>
      <c r="AF191" s="510"/>
      <c r="AG191" s="275"/>
      <c r="AH191" s="510"/>
      <c r="AI191" s="275"/>
      <c r="AJ191" s="510"/>
      <c r="AK191" s="275"/>
      <c r="AL191" s="510"/>
      <c r="AM191" s="275"/>
      <c r="AN191" s="510"/>
    </row>
    <row r="192" spans="1:40" s="183" customFormat="1" ht="15" customHeight="1">
      <c r="A192" s="421" t="s">
        <v>596</v>
      </c>
      <c r="B192" s="424" t="s">
        <v>111</v>
      </c>
      <c r="C192" s="425">
        <v>157289</v>
      </c>
      <c r="D192" s="305">
        <v>2</v>
      </c>
      <c r="E192" s="275">
        <v>6252</v>
      </c>
      <c r="F192" s="510">
        <v>6870</v>
      </c>
      <c r="G192" s="275">
        <v>16072</v>
      </c>
      <c r="H192" s="510">
        <v>17664</v>
      </c>
      <c r="I192" s="275">
        <v>6786</v>
      </c>
      <c r="J192" s="510">
        <v>7458</v>
      </c>
      <c r="K192" s="275">
        <v>17348</v>
      </c>
      <c r="L192" s="510">
        <v>18020</v>
      </c>
      <c r="M192" s="275">
        <v>11410</v>
      </c>
      <c r="N192" s="510">
        <v>12540</v>
      </c>
      <c r="O192" s="275">
        <v>23554</v>
      </c>
      <c r="P192" s="510">
        <v>25886</v>
      </c>
      <c r="Q192" s="275">
        <v>20386</v>
      </c>
      <c r="R192" s="510">
        <v>22404</v>
      </c>
      <c r="S192" s="275">
        <v>42750</v>
      </c>
      <c r="T192" s="510">
        <v>42750</v>
      </c>
      <c r="U192" s="275">
        <v>17088</v>
      </c>
      <c r="V192" s="510">
        <v>18780</v>
      </c>
      <c r="W192" s="275">
        <v>40968</v>
      </c>
      <c r="X192" s="510">
        <v>45024</v>
      </c>
      <c r="Y192" s="275"/>
      <c r="Z192" s="510">
        <f>MEDIAN(Z173:Z191)</f>
        <v>17776</v>
      </c>
      <c r="AA192" s="275"/>
      <c r="AB192" s="510"/>
      <c r="AC192" s="275"/>
      <c r="AD192" s="510"/>
      <c r="AE192" s="275"/>
      <c r="AF192" s="510"/>
      <c r="AG192" s="275"/>
      <c r="AH192" s="510"/>
      <c r="AI192" s="275"/>
      <c r="AJ192" s="510"/>
      <c r="AK192" s="275"/>
      <c r="AL192" s="510"/>
      <c r="AM192" s="275"/>
      <c r="AN192" s="510"/>
    </row>
    <row r="193" spans="1:40" s="183" customFormat="1" ht="15" customHeight="1">
      <c r="A193" s="421" t="s">
        <v>596</v>
      </c>
      <c r="B193" s="424" t="s">
        <v>112</v>
      </c>
      <c r="C193" s="425">
        <v>156620</v>
      </c>
      <c r="D193" s="305">
        <v>3</v>
      </c>
      <c r="E193" s="275">
        <v>5192</v>
      </c>
      <c r="F193" s="510">
        <v>5682</v>
      </c>
      <c r="G193" s="275">
        <v>14538</v>
      </c>
      <c r="H193" s="510">
        <v>15382</v>
      </c>
      <c r="I193" s="275">
        <v>5610</v>
      </c>
      <c r="J193" s="510">
        <v>6140</v>
      </c>
      <c r="K193" s="275">
        <v>15910</v>
      </c>
      <c r="L193" s="510">
        <v>16838</v>
      </c>
      <c r="M193" s="275"/>
      <c r="N193" s="510"/>
      <c r="O193" s="275"/>
      <c r="P193" s="510"/>
      <c r="Q193" s="275"/>
      <c r="R193" s="510"/>
      <c r="S193" s="275"/>
      <c r="T193" s="510"/>
      <c r="U193" s="275"/>
      <c r="V193" s="510"/>
      <c r="W193" s="275"/>
      <c r="X193" s="510"/>
      <c r="Y193" s="275"/>
      <c r="Z193" s="510"/>
      <c r="AA193" s="275"/>
      <c r="AB193" s="510"/>
      <c r="AC193" s="275"/>
      <c r="AD193" s="510"/>
      <c r="AE193" s="275"/>
      <c r="AF193" s="510"/>
      <c r="AG193" s="275"/>
      <c r="AH193" s="510"/>
      <c r="AI193" s="275"/>
      <c r="AJ193" s="510"/>
      <c r="AK193" s="275"/>
      <c r="AL193" s="510"/>
      <c r="AM193" s="275"/>
      <c r="AN193" s="510"/>
    </row>
    <row r="194" spans="1:40" s="183" customFormat="1" ht="15" customHeight="1">
      <c r="A194" s="421" t="s">
        <v>596</v>
      </c>
      <c r="B194" s="421" t="s">
        <v>113</v>
      </c>
      <c r="C194" s="422">
        <v>157401</v>
      </c>
      <c r="D194" s="423">
        <v>3</v>
      </c>
      <c r="E194" s="275">
        <v>4998</v>
      </c>
      <c r="F194" s="510">
        <v>5418</v>
      </c>
      <c r="G194" s="275">
        <v>13566</v>
      </c>
      <c r="H194" s="510">
        <v>14718</v>
      </c>
      <c r="I194" s="275">
        <v>5680</v>
      </c>
      <c r="J194" s="510">
        <v>6156</v>
      </c>
      <c r="K194" s="275">
        <v>15966</v>
      </c>
      <c r="L194" s="510">
        <v>17316</v>
      </c>
      <c r="M194" s="275"/>
      <c r="N194" s="510"/>
      <c r="O194" s="275"/>
      <c r="P194" s="510"/>
      <c r="Q194" s="275"/>
      <c r="R194" s="510"/>
      <c r="S194" s="275"/>
      <c r="T194" s="510"/>
      <c r="U194" s="275"/>
      <c r="V194" s="510"/>
      <c r="W194" s="275"/>
      <c r="X194" s="510"/>
      <c r="Y194" s="275"/>
      <c r="Z194" s="510"/>
      <c r="AA194" s="275"/>
      <c r="AB194" s="510"/>
      <c r="AC194" s="275"/>
      <c r="AD194" s="510"/>
      <c r="AE194" s="275"/>
      <c r="AF194" s="510"/>
      <c r="AG194" s="275"/>
      <c r="AH194" s="510"/>
      <c r="AI194" s="275"/>
      <c r="AJ194" s="510"/>
      <c r="AK194" s="275"/>
      <c r="AL194" s="510"/>
      <c r="AM194" s="275"/>
      <c r="AN194" s="510"/>
    </row>
    <row r="195" spans="1:40" s="183" customFormat="1" ht="15" customHeight="1">
      <c r="A195" s="421" t="s">
        <v>596</v>
      </c>
      <c r="B195" s="421" t="s">
        <v>114</v>
      </c>
      <c r="C195" s="422">
        <v>157951</v>
      </c>
      <c r="D195" s="423">
        <v>3</v>
      </c>
      <c r="E195" s="275">
        <v>5860</v>
      </c>
      <c r="F195" s="510">
        <v>6416</v>
      </c>
      <c r="G195" s="275">
        <v>14400</v>
      </c>
      <c r="H195" s="510">
        <v>15470</v>
      </c>
      <c r="I195" s="275">
        <v>6520</v>
      </c>
      <c r="J195" s="510">
        <v>7014</v>
      </c>
      <c r="K195" s="275">
        <v>7140</v>
      </c>
      <c r="L195" s="510">
        <v>7678</v>
      </c>
      <c r="M195" s="275"/>
      <c r="N195" s="510"/>
      <c r="O195" s="275"/>
      <c r="P195" s="510"/>
      <c r="Q195" s="275"/>
      <c r="R195" s="510"/>
      <c r="S195" s="275"/>
      <c r="T195" s="510"/>
      <c r="U195" s="275"/>
      <c r="V195" s="510"/>
      <c r="W195" s="275"/>
      <c r="X195" s="510"/>
      <c r="Y195" s="275"/>
      <c r="Z195" s="510"/>
      <c r="AA195" s="275"/>
      <c r="AB195" s="510"/>
      <c r="AC195" s="275"/>
      <c r="AD195" s="510"/>
      <c r="AE195" s="275"/>
      <c r="AF195" s="510"/>
      <c r="AG195" s="275"/>
      <c r="AH195" s="510"/>
      <c r="AI195" s="275"/>
      <c r="AJ195" s="510"/>
      <c r="AK195" s="275"/>
      <c r="AL195" s="510"/>
      <c r="AM195" s="275"/>
      <c r="AN195" s="510"/>
    </row>
    <row r="196" spans="1:40" s="183" customFormat="1" ht="15" customHeight="1">
      <c r="A196" s="421" t="s">
        <v>596</v>
      </c>
      <c r="B196" s="421" t="s">
        <v>116</v>
      </c>
      <c r="C196" s="422">
        <v>157447</v>
      </c>
      <c r="D196" s="423">
        <v>4</v>
      </c>
      <c r="E196" s="275">
        <v>5448</v>
      </c>
      <c r="F196" s="510">
        <v>5952</v>
      </c>
      <c r="G196" s="275">
        <v>10200</v>
      </c>
      <c r="H196" s="510">
        <v>10776</v>
      </c>
      <c r="I196" s="275">
        <v>7032</v>
      </c>
      <c r="J196" s="510">
        <v>8088</v>
      </c>
      <c r="K196" s="275">
        <v>13752</v>
      </c>
      <c r="L196" s="510">
        <v>14808</v>
      </c>
      <c r="M196" s="275">
        <v>11112</v>
      </c>
      <c r="N196" s="510">
        <v>12120</v>
      </c>
      <c r="O196" s="275">
        <v>24240</v>
      </c>
      <c r="P196" s="510">
        <v>26424</v>
      </c>
      <c r="Q196" s="275"/>
      <c r="R196" s="510"/>
      <c r="S196" s="275"/>
      <c r="T196" s="510"/>
      <c r="U196" s="275"/>
      <c r="V196" s="510"/>
      <c r="W196" s="275"/>
      <c r="X196" s="510"/>
      <c r="Y196" s="275"/>
      <c r="Z196" s="510"/>
      <c r="AA196" s="275"/>
      <c r="AB196" s="510"/>
      <c r="AC196" s="275"/>
      <c r="AD196" s="510"/>
      <c r="AE196" s="275"/>
      <c r="AF196" s="510"/>
      <c r="AG196" s="275"/>
      <c r="AH196" s="510"/>
      <c r="AI196" s="275"/>
      <c r="AJ196" s="510"/>
      <c r="AK196" s="275"/>
      <c r="AL196" s="510"/>
      <c r="AM196" s="275"/>
      <c r="AN196" s="510"/>
    </row>
    <row r="197" spans="1:40" s="183" customFormat="1" ht="15" customHeight="1">
      <c r="A197" s="421" t="s">
        <v>596</v>
      </c>
      <c r="B197" s="421" t="s">
        <v>115</v>
      </c>
      <c r="C197" s="422">
        <v>157386</v>
      </c>
      <c r="D197" s="423">
        <v>4</v>
      </c>
      <c r="E197" s="275">
        <v>4870</v>
      </c>
      <c r="F197" s="510">
        <v>5280</v>
      </c>
      <c r="G197" s="275">
        <v>12950</v>
      </c>
      <c r="H197" s="510">
        <v>13340</v>
      </c>
      <c r="I197" s="275">
        <v>5280</v>
      </c>
      <c r="J197" s="510">
        <v>5730</v>
      </c>
      <c r="K197" s="275">
        <v>14130</v>
      </c>
      <c r="L197" s="510">
        <v>14550</v>
      </c>
      <c r="M197" s="275"/>
      <c r="N197" s="510"/>
      <c r="O197" s="275"/>
      <c r="P197" s="510"/>
      <c r="Q197" s="275"/>
      <c r="R197" s="510"/>
      <c r="S197" s="275"/>
      <c r="T197" s="510"/>
      <c r="U197" s="275"/>
      <c r="V197" s="510"/>
      <c r="W197" s="275"/>
      <c r="X197" s="510"/>
      <c r="Y197" s="275"/>
      <c r="Z197" s="510"/>
      <c r="AA197" s="275"/>
      <c r="AB197" s="510"/>
      <c r="AC197" s="275"/>
      <c r="AD197" s="510"/>
      <c r="AE197" s="275"/>
      <c r="AF197" s="510"/>
      <c r="AG197" s="275"/>
      <c r="AH197" s="510"/>
      <c r="AI197" s="275"/>
      <c r="AJ197" s="510"/>
      <c r="AK197" s="275"/>
      <c r="AL197" s="510"/>
      <c r="AM197" s="275"/>
      <c r="AN197" s="510"/>
    </row>
    <row r="198" spans="1:40" s="183" customFormat="1" ht="15" customHeight="1">
      <c r="A198" s="421" t="s">
        <v>596</v>
      </c>
      <c r="B198" s="426" t="s">
        <v>117</v>
      </c>
      <c r="C198" s="422">
        <v>157058</v>
      </c>
      <c r="D198" s="423">
        <v>5</v>
      </c>
      <c r="E198" s="275">
        <v>4950</v>
      </c>
      <c r="F198" s="510">
        <v>5320</v>
      </c>
      <c r="G198" s="275">
        <v>11500</v>
      </c>
      <c r="H198" s="510">
        <v>12490</v>
      </c>
      <c r="I198" s="275">
        <v>6840</v>
      </c>
      <c r="J198" s="510">
        <v>5400</v>
      </c>
      <c r="K198" s="275">
        <v>16440</v>
      </c>
      <c r="L198" s="510">
        <v>12600</v>
      </c>
      <c r="M198" s="275"/>
      <c r="N198" s="510"/>
      <c r="O198" s="275"/>
      <c r="P198" s="510"/>
      <c r="Q198" s="275"/>
      <c r="R198" s="510"/>
      <c r="S198" s="275"/>
      <c r="T198" s="510"/>
      <c r="U198" s="275"/>
      <c r="V198" s="510"/>
      <c r="W198" s="275"/>
      <c r="X198" s="510"/>
      <c r="Y198" s="275"/>
      <c r="Z198" s="510"/>
      <c r="AA198" s="275"/>
      <c r="AB198" s="510"/>
      <c r="AC198" s="275"/>
      <c r="AD198" s="510"/>
      <c r="AE198" s="275"/>
      <c r="AF198" s="510"/>
      <c r="AG198" s="275"/>
      <c r="AH198" s="510"/>
      <c r="AI198" s="275"/>
      <c r="AJ198" s="510"/>
      <c r="AK198" s="275"/>
      <c r="AL198" s="510"/>
      <c r="AM198" s="275"/>
      <c r="AN198" s="510"/>
    </row>
    <row r="199" spans="1:40" s="183" customFormat="1" ht="15" customHeight="1">
      <c r="A199" s="421" t="s">
        <v>596</v>
      </c>
      <c r="B199" s="426" t="s">
        <v>118</v>
      </c>
      <c r="C199" s="425">
        <v>157173</v>
      </c>
      <c r="D199" s="423">
        <v>8</v>
      </c>
      <c r="E199" s="275">
        <v>3270</v>
      </c>
      <c r="F199" s="510">
        <v>3450</v>
      </c>
      <c r="G199" s="275">
        <v>9810</v>
      </c>
      <c r="H199" s="510">
        <v>10350</v>
      </c>
      <c r="I199" s="275"/>
      <c r="J199" s="510"/>
      <c r="K199" s="275"/>
      <c r="L199" s="510"/>
      <c r="M199" s="275"/>
      <c r="N199" s="510"/>
      <c r="O199" s="275"/>
      <c r="P199" s="510"/>
      <c r="Q199" s="275"/>
      <c r="R199" s="510"/>
      <c r="S199" s="275"/>
      <c r="T199" s="510"/>
      <c r="U199" s="275"/>
      <c r="V199" s="510"/>
      <c r="W199" s="275"/>
      <c r="X199" s="510"/>
      <c r="Y199" s="275"/>
      <c r="Z199" s="510"/>
      <c r="AA199" s="275"/>
      <c r="AB199" s="510"/>
      <c r="AC199" s="275"/>
      <c r="AD199" s="510"/>
      <c r="AE199" s="275"/>
      <c r="AF199" s="510"/>
      <c r="AG199" s="275"/>
      <c r="AH199" s="510"/>
      <c r="AI199" s="275"/>
      <c r="AJ199" s="510"/>
      <c r="AK199" s="275"/>
      <c r="AL199" s="510"/>
      <c r="AM199" s="275"/>
      <c r="AN199" s="510"/>
    </row>
    <row r="200" spans="1:40" s="183" customFormat="1" ht="15" customHeight="1">
      <c r="A200" s="421" t="s">
        <v>596</v>
      </c>
      <c r="B200" s="426" t="s">
        <v>119</v>
      </c>
      <c r="C200" s="425">
        <v>156921</v>
      </c>
      <c r="D200" s="423">
        <v>8</v>
      </c>
      <c r="E200" s="275">
        <v>3270</v>
      </c>
      <c r="F200" s="510">
        <v>3450</v>
      </c>
      <c r="G200" s="275">
        <v>9810</v>
      </c>
      <c r="H200" s="510">
        <v>10350</v>
      </c>
      <c r="I200" s="275"/>
      <c r="J200" s="510"/>
      <c r="K200" s="275"/>
      <c r="L200" s="510"/>
      <c r="M200" s="275"/>
      <c r="N200" s="510"/>
      <c r="O200" s="275"/>
      <c r="P200" s="510"/>
      <c r="Q200" s="275"/>
      <c r="R200" s="510"/>
      <c r="S200" s="275"/>
      <c r="T200" s="510"/>
      <c r="U200" s="275"/>
      <c r="V200" s="510"/>
      <c r="W200" s="275"/>
      <c r="X200" s="510"/>
      <c r="Y200" s="275"/>
      <c r="Z200" s="510"/>
      <c r="AA200" s="275"/>
      <c r="AB200" s="510"/>
      <c r="AC200" s="275"/>
      <c r="AD200" s="510"/>
      <c r="AE200" s="275"/>
      <c r="AF200" s="510"/>
      <c r="AG200" s="275"/>
      <c r="AH200" s="510"/>
      <c r="AI200" s="275"/>
      <c r="AJ200" s="510"/>
      <c r="AK200" s="275"/>
      <c r="AL200" s="510"/>
      <c r="AM200" s="275"/>
      <c r="AN200" s="510"/>
    </row>
    <row r="201" spans="1:40" s="183" customFormat="1" ht="15" customHeight="1">
      <c r="A201" s="421" t="s">
        <v>596</v>
      </c>
      <c r="B201" s="426" t="s">
        <v>120</v>
      </c>
      <c r="C201" s="425">
        <v>156231</v>
      </c>
      <c r="D201" s="423">
        <v>9</v>
      </c>
      <c r="E201" s="275">
        <v>3270</v>
      </c>
      <c r="F201" s="510">
        <v>3450</v>
      </c>
      <c r="G201" s="275">
        <v>9810</v>
      </c>
      <c r="H201" s="510">
        <v>10350</v>
      </c>
      <c r="I201" s="275"/>
      <c r="J201" s="510"/>
      <c r="K201" s="275"/>
      <c r="L201" s="510"/>
      <c r="M201" s="275"/>
      <c r="N201" s="510"/>
      <c r="O201" s="275"/>
      <c r="P201" s="510"/>
      <c r="Q201" s="275"/>
      <c r="R201" s="510"/>
      <c r="S201" s="275"/>
      <c r="T201" s="510"/>
      <c r="U201" s="275"/>
      <c r="V201" s="510"/>
      <c r="W201" s="275"/>
      <c r="X201" s="510"/>
      <c r="Y201" s="275"/>
      <c r="Z201" s="510"/>
      <c r="AA201" s="275"/>
      <c r="AB201" s="510"/>
      <c r="AC201" s="275"/>
      <c r="AD201" s="510"/>
      <c r="AE201" s="275"/>
      <c r="AF201" s="510"/>
      <c r="AG201" s="275"/>
      <c r="AH201" s="510"/>
      <c r="AI201" s="275"/>
      <c r="AJ201" s="510"/>
      <c r="AK201" s="275"/>
      <c r="AL201" s="510"/>
      <c r="AM201" s="275"/>
      <c r="AN201" s="510"/>
    </row>
    <row r="202" spans="1:40" s="183" customFormat="1" ht="15" customHeight="1">
      <c r="A202" s="421" t="s">
        <v>596</v>
      </c>
      <c r="B202" s="426" t="s">
        <v>121</v>
      </c>
      <c r="C202" s="427">
        <v>157553</v>
      </c>
      <c r="D202" s="305">
        <v>9</v>
      </c>
      <c r="E202" s="275">
        <v>3270</v>
      </c>
      <c r="F202" s="510">
        <v>3450</v>
      </c>
      <c r="G202" s="275">
        <v>9810</v>
      </c>
      <c r="H202" s="510">
        <v>10350</v>
      </c>
      <c r="I202" s="275"/>
      <c r="J202" s="510"/>
      <c r="K202" s="275"/>
      <c r="L202" s="510"/>
      <c r="M202" s="275"/>
      <c r="N202" s="510"/>
      <c r="O202" s="275"/>
      <c r="P202" s="510"/>
      <c r="Q202" s="275"/>
      <c r="R202" s="510"/>
      <c r="S202" s="275"/>
      <c r="T202" s="510"/>
      <c r="U202" s="275"/>
      <c r="V202" s="510"/>
      <c r="W202" s="275"/>
      <c r="X202" s="510"/>
      <c r="Y202" s="275"/>
      <c r="Z202" s="510"/>
      <c r="AA202" s="275"/>
      <c r="AB202" s="510"/>
      <c r="AC202" s="275"/>
      <c r="AD202" s="510"/>
      <c r="AE202" s="275"/>
      <c r="AF202" s="510"/>
      <c r="AG202" s="275"/>
      <c r="AH202" s="510"/>
      <c r="AI202" s="275"/>
      <c r="AJ202" s="510"/>
      <c r="AK202" s="275"/>
      <c r="AL202" s="510"/>
      <c r="AM202" s="275"/>
      <c r="AN202" s="510"/>
    </row>
    <row r="203" spans="1:40" s="183" customFormat="1" ht="15" customHeight="1">
      <c r="A203" s="421" t="s">
        <v>596</v>
      </c>
      <c r="B203" s="426" t="s">
        <v>122</v>
      </c>
      <c r="C203" s="428">
        <v>156648</v>
      </c>
      <c r="D203" s="305">
        <v>9</v>
      </c>
      <c r="E203" s="275">
        <v>3270</v>
      </c>
      <c r="F203" s="510">
        <v>3450</v>
      </c>
      <c r="G203" s="275">
        <v>9810</v>
      </c>
      <c r="H203" s="510">
        <v>10350</v>
      </c>
      <c r="I203" s="275"/>
      <c r="J203" s="510"/>
      <c r="K203" s="275"/>
      <c r="L203" s="510"/>
      <c r="M203" s="275"/>
      <c r="N203" s="510"/>
      <c r="O203" s="275"/>
      <c r="P203" s="510"/>
      <c r="Q203" s="275"/>
      <c r="R203" s="510"/>
      <c r="S203" s="275"/>
      <c r="T203" s="510"/>
      <c r="U203" s="275"/>
      <c r="V203" s="510"/>
      <c r="W203" s="275"/>
      <c r="X203" s="510"/>
      <c r="Y203" s="275"/>
      <c r="Z203" s="510"/>
      <c r="AA203" s="275"/>
      <c r="AB203" s="510"/>
      <c r="AC203" s="275"/>
      <c r="AD203" s="510"/>
      <c r="AE203" s="275"/>
      <c r="AF203" s="510"/>
      <c r="AG203" s="275"/>
      <c r="AH203" s="510"/>
      <c r="AI203" s="275"/>
      <c r="AJ203" s="510"/>
      <c r="AK203" s="275"/>
      <c r="AL203" s="510"/>
      <c r="AM203" s="275"/>
      <c r="AN203" s="510"/>
    </row>
    <row r="204" spans="1:40" s="183" customFormat="1" ht="15" customHeight="1">
      <c r="A204" s="421" t="s">
        <v>596</v>
      </c>
      <c r="B204" s="429" t="s">
        <v>123</v>
      </c>
      <c r="C204" s="428">
        <v>156790</v>
      </c>
      <c r="D204" s="341">
        <v>9</v>
      </c>
      <c r="E204" s="275">
        <v>3270</v>
      </c>
      <c r="F204" s="510">
        <v>3450</v>
      </c>
      <c r="G204" s="275">
        <v>9810</v>
      </c>
      <c r="H204" s="510">
        <v>10350</v>
      </c>
      <c r="I204" s="275"/>
      <c r="J204" s="510"/>
      <c r="K204" s="275"/>
      <c r="L204" s="510"/>
      <c r="M204" s="275"/>
      <c r="N204" s="510"/>
      <c r="O204" s="275"/>
      <c r="P204" s="510"/>
      <c r="Q204" s="275"/>
      <c r="R204" s="510"/>
      <c r="S204" s="275"/>
      <c r="T204" s="510"/>
      <c r="U204" s="275"/>
      <c r="V204" s="510"/>
      <c r="W204" s="275"/>
      <c r="X204" s="510"/>
      <c r="Y204" s="275"/>
      <c r="Z204" s="510"/>
      <c r="AA204" s="275"/>
      <c r="AB204" s="510"/>
      <c r="AC204" s="275"/>
      <c r="AD204" s="510"/>
      <c r="AE204" s="275"/>
      <c r="AF204" s="510"/>
      <c r="AG204" s="275"/>
      <c r="AH204" s="510"/>
      <c r="AI204" s="275"/>
      <c r="AJ204" s="510"/>
      <c r="AK204" s="275"/>
      <c r="AL204" s="510"/>
      <c r="AM204" s="275"/>
      <c r="AN204" s="510"/>
    </row>
    <row r="205" spans="1:40" s="183" customFormat="1" ht="15" customHeight="1">
      <c r="A205" s="421" t="s">
        <v>596</v>
      </c>
      <c r="B205" s="429" t="s">
        <v>124</v>
      </c>
      <c r="C205" s="428">
        <v>157304</v>
      </c>
      <c r="D205" s="341">
        <v>9</v>
      </c>
      <c r="E205" s="275">
        <v>3270</v>
      </c>
      <c r="F205" s="510">
        <v>3450</v>
      </c>
      <c r="G205" s="275">
        <v>9810</v>
      </c>
      <c r="H205" s="510">
        <v>10350</v>
      </c>
      <c r="I205" s="275"/>
      <c r="J205" s="510"/>
      <c r="K205" s="275"/>
      <c r="L205" s="510"/>
      <c r="M205" s="275"/>
      <c r="N205" s="510"/>
      <c r="O205" s="275"/>
      <c r="P205" s="510"/>
      <c r="Q205" s="275"/>
      <c r="R205" s="510"/>
      <c r="S205" s="275"/>
      <c r="T205" s="510"/>
      <c r="U205" s="275"/>
      <c r="V205" s="510"/>
      <c r="W205" s="275"/>
      <c r="X205" s="510"/>
      <c r="Y205" s="275"/>
      <c r="Z205" s="510"/>
      <c r="AA205" s="275"/>
      <c r="AB205" s="510"/>
      <c r="AC205" s="275"/>
      <c r="AD205" s="510"/>
      <c r="AE205" s="275"/>
      <c r="AF205" s="510"/>
      <c r="AG205" s="275"/>
      <c r="AH205" s="510"/>
      <c r="AI205" s="275"/>
      <c r="AJ205" s="510"/>
      <c r="AK205" s="275"/>
      <c r="AL205" s="510"/>
      <c r="AM205" s="275"/>
      <c r="AN205" s="510"/>
    </row>
    <row r="206" spans="1:40" s="183" customFormat="1" ht="15" customHeight="1">
      <c r="A206" s="421" t="s">
        <v>596</v>
      </c>
      <c r="B206" s="429" t="s">
        <v>125</v>
      </c>
      <c r="C206" s="422">
        <v>247940</v>
      </c>
      <c r="D206" s="423">
        <v>9</v>
      </c>
      <c r="E206" s="275">
        <v>3270</v>
      </c>
      <c r="F206" s="510">
        <v>3450</v>
      </c>
      <c r="G206" s="275">
        <v>9810</v>
      </c>
      <c r="H206" s="510">
        <v>10350</v>
      </c>
      <c r="I206" s="275"/>
      <c r="J206" s="510"/>
      <c r="K206" s="275"/>
      <c r="L206" s="510"/>
      <c r="M206" s="275"/>
      <c r="N206" s="510"/>
      <c r="O206" s="275"/>
      <c r="P206" s="510"/>
      <c r="Q206" s="275"/>
      <c r="R206" s="510"/>
      <c r="S206" s="275"/>
      <c r="T206" s="510"/>
      <c r="U206" s="275"/>
      <c r="V206" s="510"/>
      <c r="W206" s="275"/>
      <c r="X206" s="510"/>
      <c r="Y206" s="275"/>
      <c r="Z206" s="510"/>
      <c r="AA206" s="275"/>
      <c r="AB206" s="510"/>
      <c r="AC206" s="275"/>
      <c r="AD206" s="510"/>
      <c r="AE206" s="275"/>
      <c r="AF206" s="510"/>
      <c r="AG206" s="275"/>
      <c r="AH206" s="510"/>
      <c r="AI206" s="275"/>
      <c r="AJ206" s="510"/>
      <c r="AK206" s="275"/>
      <c r="AL206" s="510"/>
      <c r="AM206" s="275"/>
      <c r="AN206" s="510"/>
    </row>
    <row r="207" spans="1:40" s="183" customFormat="1" ht="15" customHeight="1">
      <c r="A207" s="421" t="s">
        <v>596</v>
      </c>
      <c r="B207" s="430" t="s">
        <v>126</v>
      </c>
      <c r="C207" s="422">
        <v>157711</v>
      </c>
      <c r="D207" s="423">
        <v>9</v>
      </c>
      <c r="E207" s="275">
        <v>3270</v>
      </c>
      <c r="F207" s="510">
        <v>3450</v>
      </c>
      <c r="G207" s="275">
        <v>9810</v>
      </c>
      <c r="H207" s="510">
        <v>10350</v>
      </c>
      <c r="I207" s="275"/>
      <c r="J207" s="510"/>
      <c r="K207" s="275"/>
      <c r="L207" s="510"/>
      <c r="M207" s="275"/>
      <c r="N207" s="510"/>
      <c r="O207" s="275"/>
      <c r="P207" s="510"/>
      <c r="Q207" s="275"/>
      <c r="R207" s="510"/>
      <c r="S207" s="275"/>
      <c r="T207" s="510"/>
      <c r="U207" s="275"/>
      <c r="V207" s="510"/>
      <c r="W207" s="275"/>
      <c r="X207" s="510"/>
      <c r="Y207" s="275"/>
      <c r="Z207" s="510"/>
      <c r="AA207" s="275"/>
      <c r="AB207" s="510"/>
      <c r="AC207" s="275"/>
      <c r="AD207" s="510"/>
      <c r="AE207" s="275"/>
      <c r="AF207" s="510"/>
      <c r="AG207" s="275"/>
      <c r="AH207" s="510"/>
      <c r="AI207" s="275"/>
      <c r="AJ207" s="510"/>
      <c r="AK207" s="275"/>
      <c r="AL207" s="510"/>
      <c r="AM207" s="275"/>
      <c r="AN207" s="510"/>
    </row>
    <row r="208" spans="1:40" s="183" customFormat="1" ht="15" customHeight="1">
      <c r="A208" s="421" t="s">
        <v>596</v>
      </c>
      <c r="B208" s="426" t="s">
        <v>127</v>
      </c>
      <c r="C208" s="422">
        <v>157739</v>
      </c>
      <c r="D208" s="423">
        <v>9</v>
      </c>
      <c r="E208" s="275">
        <v>3270</v>
      </c>
      <c r="F208" s="510">
        <v>3450</v>
      </c>
      <c r="G208" s="275">
        <v>9810</v>
      </c>
      <c r="H208" s="510">
        <v>10350</v>
      </c>
      <c r="I208" s="275"/>
      <c r="J208" s="510"/>
      <c r="K208" s="275"/>
      <c r="L208" s="510"/>
      <c r="M208" s="275"/>
      <c r="N208" s="510"/>
      <c r="O208" s="275"/>
      <c r="P208" s="510"/>
      <c r="Q208" s="275"/>
      <c r="R208" s="510"/>
      <c r="S208" s="275"/>
      <c r="T208" s="510"/>
      <c r="U208" s="275"/>
      <c r="V208" s="510"/>
      <c r="W208" s="275"/>
      <c r="X208" s="510"/>
      <c r="Y208" s="275"/>
      <c r="Z208" s="510"/>
      <c r="AA208" s="275"/>
      <c r="AB208" s="510"/>
      <c r="AC208" s="275"/>
      <c r="AD208" s="510"/>
      <c r="AE208" s="275"/>
      <c r="AF208" s="510"/>
      <c r="AG208" s="275"/>
      <c r="AH208" s="510"/>
      <c r="AI208" s="275"/>
      <c r="AJ208" s="510"/>
      <c r="AK208" s="275"/>
      <c r="AL208" s="510"/>
      <c r="AM208" s="275"/>
      <c r="AN208" s="510"/>
    </row>
    <row r="209" spans="1:40" s="183" customFormat="1" ht="15" customHeight="1">
      <c r="A209" s="421" t="s">
        <v>596</v>
      </c>
      <c r="B209" s="426" t="s">
        <v>128</v>
      </c>
      <c r="C209" s="425">
        <v>157483</v>
      </c>
      <c r="D209" s="305">
        <v>9</v>
      </c>
      <c r="E209" s="275">
        <v>3270</v>
      </c>
      <c r="F209" s="510">
        <v>3450</v>
      </c>
      <c r="G209" s="275">
        <v>9810</v>
      </c>
      <c r="H209" s="510">
        <v>10350</v>
      </c>
      <c r="I209" s="275"/>
      <c r="J209" s="510"/>
      <c r="K209" s="275"/>
      <c r="L209" s="510"/>
      <c r="M209" s="275"/>
      <c r="N209" s="510"/>
      <c r="O209" s="275"/>
      <c r="P209" s="510"/>
      <c r="Q209" s="275"/>
      <c r="R209" s="510"/>
      <c r="S209" s="275"/>
      <c r="T209" s="510"/>
      <c r="U209" s="275"/>
      <c r="V209" s="510"/>
      <c r="W209" s="275"/>
      <c r="X209" s="510"/>
      <c r="Y209" s="275"/>
      <c r="Z209" s="510"/>
      <c r="AA209" s="275"/>
      <c r="AB209" s="510"/>
      <c r="AC209" s="275"/>
      <c r="AD209" s="510"/>
      <c r="AE209" s="275"/>
      <c r="AF209" s="510"/>
      <c r="AG209" s="275"/>
      <c r="AH209" s="510"/>
      <c r="AI209" s="275"/>
      <c r="AJ209" s="510"/>
      <c r="AK209" s="275"/>
      <c r="AL209" s="510"/>
      <c r="AM209" s="275"/>
      <c r="AN209" s="510"/>
    </row>
    <row r="210" spans="1:40" s="183" customFormat="1" ht="15" customHeight="1">
      <c r="A210" s="421" t="s">
        <v>596</v>
      </c>
      <c r="B210" s="426" t="s">
        <v>129</v>
      </c>
      <c r="C210" s="422">
        <v>156851</v>
      </c>
      <c r="D210" s="423">
        <v>10</v>
      </c>
      <c r="E210" s="275">
        <v>3270</v>
      </c>
      <c r="F210" s="510">
        <v>3450</v>
      </c>
      <c r="G210" s="275">
        <v>9810</v>
      </c>
      <c r="H210" s="510">
        <v>10350</v>
      </c>
      <c r="I210" s="275"/>
      <c r="J210" s="510"/>
      <c r="K210" s="275"/>
      <c r="L210" s="510"/>
      <c r="M210" s="275"/>
      <c r="N210" s="510"/>
      <c r="O210" s="275"/>
      <c r="P210" s="510"/>
      <c r="Q210" s="275"/>
      <c r="R210" s="510"/>
      <c r="S210" s="275"/>
      <c r="T210" s="510"/>
      <c r="U210" s="275"/>
      <c r="V210" s="510"/>
      <c r="W210" s="275"/>
      <c r="X210" s="510"/>
      <c r="Y210" s="275"/>
      <c r="Z210" s="510"/>
      <c r="AA210" s="275"/>
      <c r="AB210" s="510"/>
      <c r="AC210" s="275"/>
      <c r="AD210" s="510"/>
      <c r="AE210" s="275"/>
      <c r="AF210" s="510"/>
      <c r="AG210" s="275"/>
      <c r="AH210" s="510"/>
      <c r="AI210" s="275"/>
      <c r="AJ210" s="510"/>
      <c r="AK210" s="275"/>
      <c r="AL210" s="510"/>
      <c r="AM210" s="275"/>
      <c r="AN210" s="510"/>
    </row>
    <row r="211" spans="1:40" s="183" customFormat="1" ht="15" customHeight="1">
      <c r="A211" s="421" t="s">
        <v>596</v>
      </c>
      <c r="B211" s="426" t="s">
        <v>130</v>
      </c>
      <c r="C211" s="422">
        <v>156860</v>
      </c>
      <c r="D211" s="423">
        <v>10</v>
      </c>
      <c r="E211" s="275">
        <v>3270</v>
      </c>
      <c r="F211" s="510">
        <v>3450</v>
      </c>
      <c r="G211" s="275">
        <v>9810</v>
      </c>
      <c r="H211" s="510">
        <v>10350</v>
      </c>
      <c r="I211" s="275"/>
      <c r="J211" s="510"/>
      <c r="K211" s="275"/>
      <c r="L211" s="510"/>
      <c r="M211" s="275"/>
      <c r="N211" s="510"/>
      <c r="O211" s="275"/>
      <c r="P211" s="510"/>
      <c r="Q211" s="275"/>
      <c r="R211" s="510"/>
      <c r="S211" s="275"/>
      <c r="T211" s="510"/>
      <c r="U211" s="275"/>
      <c r="V211" s="510"/>
      <c r="W211" s="275"/>
      <c r="X211" s="510"/>
      <c r="Y211" s="275"/>
      <c r="Z211" s="510"/>
      <c r="AA211" s="275"/>
      <c r="AB211" s="510"/>
      <c r="AC211" s="275"/>
      <c r="AD211" s="510"/>
      <c r="AE211" s="275"/>
      <c r="AF211" s="510"/>
      <c r="AG211" s="275"/>
      <c r="AH211" s="510"/>
      <c r="AI211" s="275"/>
      <c r="AJ211" s="510"/>
      <c r="AK211" s="275"/>
      <c r="AL211" s="510"/>
      <c r="AM211" s="275"/>
      <c r="AN211" s="510"/>
    </row>
    <row r="212" spans="1:40" s="183" customFormat="1" ht="15" customHeight="1">
      <c r="A212" s="421" t="s">
        <v>596</v>
      </c>
      <c r="B212" s="429" t="s">
        <v>131</v>
      </c>
      <c r="C212" s="428">
        <v>157331</v>
      </c>
      <c r="D212" s="341">
        <v>10</v>
      </c>
      <c r="E212" s="275">
        <v>3270</v>
      </c>
      <c r="F212" s="510">
        <v>3450</v>
      </c>
      <c r="G212" s="275">
        <v>9810</v>
      </c>
      <c r="H212" s="510">
        <v>10350</v>
      </c>
      <c r="I212" s="275"/>
      <c r="J212" s="510"/>
      <c r="K212" s="275"/>
      <c r="L212" s="510"/>
      <c r="M212" s="275"/>
      <c r="N212" s="510"/>
      <c r="O212" s="275"/>
      <c r="P212" s="510"/>
      <c r="Q212" s="275"/>
      <c r="R212" s="510"/>
      <c r="S212" s="275"/>
      <c r="T212" s="510"/>
      <c r="U212" s="275"/>
      <c r="V212" s="510"/>
      <c r="W212" s="275"/>
      <c r="X212" s="510"/>
      <c r="Y212" s="275"/>
      <c r="Z212" s="510"/>
      <c r="AA212" s="275"/>
      <c r="AB212" s="510"/>
      <c r="AC212" s="275"/>
      <c r="AD212" s="510"/>
      <c r="AE212" s="275"/>
      <c r="AF212" s="510"/>
      <c r="AG212" s="275"/>
      <c r="AH212" s="510"/>
      <c r="AI212" s="275"/>
      <c r="AJ212" s="510"/>
      <c r="AK212" s="275"/>
      <c r="AL212" s="510"/>
      <c r="AM212" s="275"/>
      <c r="AN212" s="510"/>
    </row>
    <row r="213" spans="1:40" s="183" customFormat="1" ht="15" customHeight="1">
      <c r="A213" s="421" t="s">
        <v>596</v>
      </c>
      <c r="B213" s="426" t="s">
        <v>132</v>
      </c>
      <c r="C213" s="425">
        <v>157438</v>
      </c>
      <c r="D213" s="431">
        <v>12</v>
      </c>
      <c r="E213" s="275">
        <v>3270</v>
      </c>
      <c r="F213" s="510">
        <v>3450</v>
      </c>
      <c r="G213" s="275">
        <v>9810</v>
      </c>
      <c r="H213" s="510">
        <v>10350</v>
      </c>
      <c r="I213" s="275"/>
      <c r="J213" s="510"/>
      <c r="K213" s="275"/>
      <c r="L213" s="510"/>
      <c r="M213" s="275"/>
      <c r="N213" s="510"/>
      <c r="O213" s="275"/>
      <c r="P213" s="510"/>
      <c r="Q213" s="275"/>
      <c r="R213" s="510"/>
      <c r="S213" s="275"/>
      <c r="T213" s="510"/>
      <c r="U213" s="275"/>
      <c r="V213" s="510"/>
      <c r="W213" s="275"/>
      <c r="X213" s="510"/>
      <c r="Y213" s="275"/>
      <c r="Z213" s="510"/>
      <c r="AA213" s="275"/>
      <c r="AB213" s="510"/>
      <c r="AC213" s="275"/>
      <c r="AD213" s="510"/>
      <c r="AE213" s="275"/>
      <c r="AF213" s="510"/>
      <c r="AG213" s="275"/>
      <c r="AH213" s="510"/>
      <c r="AI213" s="275"/>
      <c r="AJ213" s="510"/>
      <c r="AK213" s="275"/>
      <c r="AL213" s="510"/>
      <c r="AM213" s="275"/>
      <c r="AN213" s="510"/>
    </row>
    <row r="214" spans="1:40" s="183" customFormat="1" ht="15" customHeight="1">
      <c r="A214" s="421" t="s">
        <v>596</v>
      </c>
      <c r="B214" s="429" t="s">
        <v>133</v>
      </c>
      <c r="C214" s="428">
        <v>156338</v>
      </c>
      <c r="D214" s="341">
        <v>13</v>
      </c>
      <c r="E214" s="275">
        <v>3270</v>
      </c>
      <c r="F214" s="510">
        <v>3450</v>
      </c>
      <c r="G214" s="275">
        <v>9810</v>
      </c>
      <c r="H214" s="510">
        <v>10350</v>
      </c>
      <c r="I214" s="275"/>
      <c r="J214" s="510"/>
      <c r="K214" s="275"/>
      <c r="L214" s="510"/>
      <c r="M214" s="275"/>
      <c r="N214" s="510"/>
      <c r="O214" s="275"/>
      <c r="P214" s="510"/>
      <c r="Q214" s="275"/>
      <c r="R214" s="510"/>
      <c r="S214" s="275"/>
      <c r="T214" s="510"/>
      <c r="U214" s="275"/>
      <c r="V214" s="510"/>
      <c r="W214" s="275"/>
      <c r="X214" s="510"/>
      <c r="Y214" s="275"/>
      <c r="Z214" s="510"/>
      <c r="AA214" s="275"/>
      <c r="AB214" s="510"/>
      <c r="AC214" s="275"/>
      <c r="AD214" s="510"/>
      <c r="AE214" s="275"/>
      <c r="AF214" s="510"/>
      <c r="AG214" s="275"/>
      <c r="AH214" s="510"/>
      <c r="AI214" s="275"/>
      <c r="AJ214" s="510"/>
      <c r="AK214" s="275"/>
      <c r="AL214" s="510"/>
      <c r="AM214" s="275"/>
      <c r="AN214" s="510"/>
    </row>
    <row r="215" spans="1:40" s="183" customFormat="1" ht="15" customHeight="1">
      <c r="A215" s="384" t="s">
        <v>812</v>
      </c>
      <c r="B215" s="381" t="s">
        <v>23</v>
      </c>
      <c r="C215" s="382">
        <v>159391</v>
      </c>
      <c r="D215" s="383">
        <v>1</v>
      </c>
      <c r="E215" s="275">
        <v>4449</v>
      </c>
      <c r="F215" s="510">
        <v>4688</v>
      </c>
      <c r="G215" s="275">
        <v>12749</v>
      </c>
      <c r="H215" s="510">
        <v>12988</v>
      </c>
      <c r="I215" s="275">
        <v>4428</v>
      </c>
      <c r="J215" s="510">
        <v>4622</v>
      </c>
      <c r="K215" s="275">
        <v>12728</v>
      </c>
      <c r="L215" s="510">
        <v>12922</v>
      </c>
      <c r="M215" s="275">
        <v>12075.75</v>
      </c>
      <c r="N215" s="510">
        <v>12125</v>
      </c>
      <c r="O215" s="275">
        <v>21171.75</v>
      </c>
      <c r="P215" s="510">
        <v>21221</v>
      </c>
      <c r="Q215" s="275"/>
      <c r="R215" s="510"/>
      <c r="S215" s="275"/>
      <c r="T215" s="510"/>
      <c r="U215" s="275"/>
      <c r="V215" s="510"/>
      <c r="W215" s="275"/>
      <c r="X215" s="510"/>
      <c r="Y215" s="275"/>
      <c r="Z215" s="510"/>
      <c r="AA215" s="275"/>
      <c r="AB215" s="510"/>
      <c r="AC215" s="275"/>
      <c r="AD215" s="510"/>
      <c r="AE215" s="275"/>
      <c r="AF215" s="510"/>
      <c r="AG215" s="275"/>
      <c r="AH215" s="510"/>
      <c r="AI215" s="275"/>
      <c r="AJ215" s="510"/>
      <c r="AK215" s="275">
        <v>11640</v>
      </c>
      <c r="AL215" s="510">
        <v>11867</v>
      </c>
      <c r="AM215" s="275">
        <v>32040</v>
      </c>
      <c r="AN215" s="510">
        <v>32267</v>
      </c>
    </row>
    <row r="216" spans="1:40" s="183" customFormat="1" ht="15" customHeight="1">
      <c r="A216" s="384" t="s">
        <v>812</v>
      </c>
      <c r="B216" s="384" t="s">
        <v>24</v>
      </c>
      <c r="C216" s="385">
        <v>159647</v>
      </c>
      <c r="D216" s="386">
        <v>2</v>
      </c>
      <c r="E216" s="275">
        <v>4383</v>
      </c>
      <c r="F216" s="510">
        <v>4578</v>
      </c>
      <c r="G216" s="275">
        <v>9693</v>
      </c>
      <c r="H216" s="510">
        <v>9888</v>
      </c>
      <c r="I216" s="275">
        <v>4353</v>
      </c>
      <c r="J216" s="510">
        <v>4548</v>
      </c>
      <c r="K216" s="275">
        <v>8553</v>
      </c>
      <c r="L216" s="510">
        <v>8748</v>
      </c>
      <c r="M216" s="275"/>
      <c r="N216" s="510"/>
      <c r="O216" s="275"/>
      <c r="P216" s="510"/>
      <c r="Q216" s="275"/>
      <c r="R216" s="510"/>
      <c r="S216" s="275"/>
      <c r="T216" s="510"/>
      <c r="U216" s="275"/>
      <c r="V216" s="510"/>
      <c r="W216" s="275"/>
      <c r="X216" s="510"/>
      <c r="Y216" s="275"/>
      <c r="Z216" s="510"/>
      <c r="AA216" s="275"/>
      <c r="AB216" s="510"/>
      <c r="AC216" s="275"/>
      <c r="AD216" s="510"/>
      <c r="AE216" s="275"/>
      <c r="AF216" s="510"/>
      <c r="AG216" s="275"/>
      <c r="AH216" s="510"/>
      <c r="AI216" s="275"/>
      <c r="AJ216" s="510"/>
      <c r="AK216" s="275"/>
      <c r="AL216" s="510"/>
      <c r="AM216" s="275"/>
      <c r="AN216" s="510"/>
    </row>
    <row r="217" spans="1:40" s="183" customFormat="1" ht="15" customHeight="1">
      <c r="A217" s="384" t="s">
        <v>812</v>
      </c>
      <c r="B217" s="381" t="s">
        <v>25</v>
      </c>
      <c r="C217" s="382">
        <v>160658</v>
      </c>
      <c r="D217" s="383">
        <v>2</v>
      </c>
      <c r="E217" s="275">
        <v>3356</v>
      </c>
      <c r="F217" s="510">
        <v>3460</v>
      </c>
      <c r="G217" s="275">
        <v>9536</v>
      </c>
      <c r="H217" s="510">
        <v>9640</v>
      </c>
      <c r="I217" s="275">
        <v>3344</v>
      </c>
      <c r="J217" s="510">
        <v>3448</v>
      </c>
      <c r="K217" s="275">
        <v>9524</v>
      </c>
      <c r="L217" s="510">
        <v>9628</v>
      </c>
      <c r="M217" s="275"/>
      <c r="N217" s="510"/>
      <c r="O217" s="275"/>
      <c r="P217" s="510"/>
      <c r="Q217" s="275"/>
      <c r="R217" s="510"/>
      <c r="S217" s="275"/>
      <c r="T217" s="510"/>
      <c r="U217" s="275"/>
      <c r="V217" s="510"/>
      <c r="W217" s="275"/>
      <c r="X217" s="510"/>
      <c r="Y217" s="275"/>
      <c r="Z217" s="510"/>
      <c r="AA217" s="275"/>
      <c r="AB217" s="510"/>
      <c r="AC217" s="275"/>
      <c r="AD217" s="510"/>
      <c r="AE217" s="275"/>
      <c r="AF217" s="510"/>
      <c r="AG217" s="275"/>
      <c r="AH217" s="510"/>
      <c r="AI217" s="275"/>
      <c r="AJ217" s="510"/>
      <c r="AK217" s="275"/>
      <c r="AL217" s="510"/>
      <c r="AM217" s="275"/>
      <c r="AN217" s="510"/>
    </row>
    <row r="218" spans="1:40" s="183" customFormat="1" ht="15" customHeight="1">
      <c r="A218" s="384" t="s">
        <v>812</v>
      </c>
      <c r="B218" s="384" t="s">
        <v>26</v>
      </c>
      <c r="C218" s="387">
        <v>159939</v>
      </c>
      <c r="D218" s="386">
        <v>2</v>
      </c>
      <c r="E218" s="275">
        <v>3810</v>
      </c>
      <c r="F218" s="510">
        <v>3984</v>
      </c>
      <c r="G218" s="275">
        <v>10854</v>
      </c>
      <c r="H218" s="510">
        <v>11028</v>
      </c>
      <c r="I218" s="275">
        <v>3720</v>
      </c>
      <c r="J218" s="510">
        <v>3918</v>
      </c>
      <c r="K218" s="275">
        <v>10764</v>
      </c>
      <c r="L218" s="510">
        <v>10962</v>
      </c>
      <c r="M218" s="275"/>
      <c r="N218" s="510"/>
      <c r="O218" s="275"/>
      <c r="P218" s="510"/>
      <c r="Q218" s="275"/>
      <c r="R218" s="510"/>
      <c r="S218" s="275"/>
      <c r="T218" s="510"/>
      <c r="U218" s="275"/>
      <c r="V218" s="510"/>
      <c r="W218" s="275"/>
      <c r="X218" s="510"/>
      <c r="Y218" s="275"/>
      <c r="Z218" s="510"/>
      <c r="AA218" s="275"/>
      <c r="AB218" s="510"/>
      <c r="AC218" s="275"/>
      <c r="AD218" s="510"/>
      <c r="AE218" s="275"/>
      <c r="AF218" s="510"/>
      <c r="AG218" s="275"/>
      <c r="AH218" s="510"/>
      <c r="AI218" s="275"/>
      <c r="AJ218" s="510"/>
      <c r="AK218" s="275"/>
      <c r="AL218" s="510"/>
      <c r="AM218" s="275"/>
      <c r="AN218" s="510"/>
    </row>
    <row r="219" spans="1:40" s="183" customFormat="1" ht="15" customHeight="1">
      <c r="A219" s="384" t="s">
        <v>812</v>
      </c>
      <c r="B219" s="381" t="s">
        <v>29</v>
      </c>
      <c r="C219" s="382">
        <v>159993</v>
      </c>
      <c r="D219" s="383">
        <v>3</v>
      </c>
      <c r="E219" s="275">
        <v>3374.9</v>
      </c>
      <c r="F219" s="510">
        <v>3501</v>
      </c>
      <c r="G219" s="275">
        <v>9326.9</v>
      </c>
      <c r="H219" s="510">
        <v>9453</v>
      </c>
      <c r="I219" s="275">
        <v>3264.9</v>
      </c>
      <c r="J219" s="510">
        <v>3511</v>
      </c>
      <c r="K219" s="275">
        <v>9222.9</v>
      </c>
      <c r="L219" s="510">
        <v>9469</v>
      </c>
      <c r="M219" s="275"/>
      <c r="N219" s="510"/>
      <c r="O219" s="275"/>
      <c r="P219" s="510"/>
      <c r="Q219" s="275"/>
      <c r="R219" s="510"/>
      <c r="S219" s="275"/>
      <c r="T219" s="510"/>
      <c r="U219" s="275"/>
      <c r="V219" s="510"/>
      <c r="W219" s="275"/>
      <c r="X219" s="510"/>
      <c r="Y219" s="275">
        <v>10772.9</v>
      </c>
      <c r="Z219" s="510">
        <v>11899</v>
      </c>
      <c r="AA219" s="275">
        <v>20724.9</v>
      </c>
      <c r="AB219" s="510">
        <v>21851</v>
      </c>
      <c r="AC219" s="275"/>
      <c r="AD219" s="510"/>
      <c r="AE219" s="275"/>
      <c r="AF219" s="510"/>
      <c r="AG219" s="275"/>
      <c r="AH219" s="510"/>
      <c r="AI219" s="275"/>
      <c r="AJ219" s="510"/>
      <c r="AK219" s="275"/>
      <c r="AL219" s="510"/>
      <c r="AM219" s="275"/>
      <c r="AN219" s="510"/>
    </row>
    <row r="220" spans="1:40" s="183" customFormat="1" ht="15" customHeight="1">
      <c r="A220" s="384" t="s">
        <v>812</v>
      </c>
      <c r="B220" s="384" t="s">
        <v>28</v>
      </c>
      <c r="C220" s="387">
        <v>160621</v>
      </c>
      <c r="D220" s="386">
        <v>3</v>
      </c>
      <c r="E220" s="275">
        <v>3506</v>
      </c>
      <c r="F220" s="510">
        <v>3666</v>
      </c>
      <c r="G220" s="275">
        <v>9298</v>
      </c>
      <c r="H220" s="510">
        <v>9458</v>
      </c>
      <c r="I220" s="275">
        <v>3524</v>
      </c>
      <c r="J220" s="510">
        <v>3684</v>
      </c>
      <c r="K220" s="275">
        <v>8690</v>
      </c>
      <c r="L220" s="510">
        <v>8850</v>
      </c>
      <c r="M220" s="275">
        <v>6516</v>
      </c>
      <c r="N220" s="510">
        <v>6636</v>
      </c>
      <c r="O220" s="275">
        <v>11116</v>
      </c>
      <c r="P220" s="510">
        <v>11236</v>
      </c>
      <c r="Q220" s="275"/>
      <c r="R220" s="510"/>
      <c r="S220" s="275"/>
      <c r="T220" s="510"/>
      <c r="U220" s="275"/>
      <c r="V220" s="510"/>
      <c r="W220" s="275"/>
      <c r="X220" s="510"/>
      <c r="Y220" s="275"/>
      <c r="Z220" s="510"/>
      <c r="AA220" s="275"/>
      <c r="AB220" s="510"/>
      <c r="AC220" s="275"/>
      <c r="AD220" s="510"/>
      <c r="AE220" s="275"/>
      <c r="AF220" s="510"/>
      <c r="AG220" s="275"/>
      <c r="AH220" s="510"/>
      <c r="AI220" s="275"/>
      <c r="AJ220" s="510"/>
      <c r="AK220" s="275"/>
      <c r="AL220" s="510"/>
      <c r="AM220" s="275"/>
      <c r="AN220" s="510"/>
    </row>
    <row r="221" spans="1:40" s="183" customFormat="1" ht="15" customHeight="1">
      <c r="A221" s="384" t="s">
        <v>812</v>
      </c>
      <c r="B221" s="384" t="s">
        <v>27</v>
      </c>
      <c r="C221" s="387">
        <v>160612</v>
      </c>
      <c r="D221" s="386">
        <v>3</v>
      </c>
      <c r="E221" s="275">
        <v>3119</v>
      </c>
      <c r="F221" s="510">
        <v>3219</v>
      </c>
      <c r="G221" s="275">
        <v>8447</v>
      </c>
      <c r="H221" s="510">
        <v>8547</v>
      </c>
      <c r="I221" s="275">
        <v>3079</v>
      </c>
      <c r="J221" s="510">
        <v>3179</v>
      </c>
      <c r="K221" s="275">
        <v>8407</v>
      </c>
      <c r="L221" s="510">
        <v>8507</v>
      </c>
      <c r="M221" s="275"/>
      <c r="N221" s="510"/>
      <c r="O221" s="275"/>
      <c r="P221" s="510"/>
      <c r="Q221" s="275"/>
      <c r="R221" s="510"/>
      <c r="S221" s="275"/>
      <c r="T221" s="510"/>
      <c r="U221" s="275"/>
      <c r="V221" s="510"/>
      <c r="W221" s="275"/>
      <c r="X221" s="510"/>
      <c r="Y221" s="275"/>
      <c r="Z221" s="510"/>
      <c r="AA221" s="275"/>
      <c r="AB221" s="510"/>
      <c r="AC221" s="275"/>
      <c r="AD221" s="510"/>
      <c r="AE221" s="275"/>
      <c r="AF221" s="510"/>
      <c r="AG221" s="275"/>
      <c r="AH221" s="510"/>
      <c r="AI221" s="275"/>
      <c r="AJ221" s="510"/>
      <c r="AK221" s="275"/>
      <c r="AL221" s="510"/>
      <c r="AM221" s="275"/>
      <c r="AN221" s="510"/>
    </row>
    <row r="222" spans="1:40" s="183" customFormat="1" ht="15" customHeight="1">
      <c r="A222" s="384" t="s">
        <v>812</v>
      </c>
      <c r="B222" s="381" t="s">
        <v>30</v>
      </c>
      <c r="C222" s="382">
        <v>159009</v>
      </c>
      <c r="D222" s="383">
        <v>4</v>
      </c>
      <c r="E222" s="275">
        <v>3438</v>
      </c>
      <c r="F222" s="510">
        <v>3622</v>
      </c>
      <c r="G222" s="275">
        <v>8788</v>
      </c>
      <c r="H222" s="510">
        <v>8972</v>
      </c>
      <c r="I222" s="275">
        <v>4182</v>
      </c>
      <c r="J222" s="510">
        <v>4366</v>
      </c>
      <c r="K222" s="275">
        <v>9532</v>
      </c>
      <c r="L222" s="510">
        <v>9716</v>
      </c>
      <c r="M222" s="275"/>
      <c r="N222" s="510"/>
      <c r="O222" s="275"/>
      <c r="P222" s="510"/>
      <c r="Q222" s="275"/>
      <c r="R222" s="510"/>
      <c r="S222" s="275"/>
      <c r="T222" s="510"/>
      <c r="U222" s="275"/>
      <c r="V222" s="510"/>
      <c r="W222" s="275"/>
      <c r="X222" s="510"/>
      <c r="Y222" s="275"/>
      <c r="Z222" s="510"/>
      <c r="AA222" s="275"/>
      <c r="AB222" s="510"/>
      <c r="AC222" s="275"/>
      <c r="AD222" s="510"/>
      <c r="AE222" s="275"/>
      <c r="AF222" s="510"/>
      <c r="AG222" s="275"/>
      <c r="AH222" s="510"/>
      <c r="AI222" s="275"/>
      <c r="AJ222" s="510"/>
      <c r="AK222" s="275"/>
      <c r="AL222" s="510"/>
      <c r="AM222" s="275"/>
      <c r="AN222" s="510"/>
    </row>
    <row r="223" spans="1:40" s="183" customFormat="1" ht="15" customHeight="1">
      <c r="A223" s="384" t="s">
        <v>812</v>
      </c>
      <c r="B223" s="381" t="s">
        <v>31</v>
      </c>
      <c r="C223" s="382">
        <v>159416</v>
      </c>
      <c r="D223" s="383">
        <v>4</v>
      </c>
      <c r="E223" s="275">
        <v>3521</v>
      </c>
      <c r="F223" s="510">
        <v>3521</v>
      </c>
      <c r="G223" s="275">
        <v>7847</v>
      </c>
      <c r="H223" s="510">
        <v>7847</v>
      </c>
      <c r="I223" s="275">
        <v>3959</v>
      </c>
      <c r="J223" s="510">
        <v>3959</v>
      </c>
      <c r="K223" s="275">
        <v>9437</v>
      </c>
      <c r="L223" s="510">
        <v>9437</v>
      </c>
      <c r="M223" s="275"/>
      <c r="N223" s="510"/>
      <c r="O223" s="275"/>
      <c r="P223" s="510"/>
      <c r="Q223" s="275"/>
      <c r="R223" s="510"/>
      <c r="S223" s="275"/>
      <c r="T223" s="510"/>
      <c r="U223" s="275"/>
      <c r="V223" s="510"/>
      <c r="W223" s="275"/>
      <c r="X223" s="510"/>
      <c r="Y223" s="275"/>
      <c r="Z223" s="510"/>
      <c r="AA223" s="275"/>
      <c r="AB223" s="510"/>
      <c r="AC223" s="275"/>
      <c r="AD223" s="510"/>
      <c r="AE223" s="275"/>
      <c r="AF223" s="510"/>
      <c r="AG223" s="275"/>
      <c r="AH223" s="510"/>
      <c r="AI223" s="275"/>
      <c r="AJ223" s="510"/>
      <c r="AK223" s="275"/>
      <c r="AL223" s="510"/>
      <c r="AM223" s="275"/>
      <c r="AN223" s="510"/>
    </row>
    <row r="224" spans="1:40" s="183" customFormat="1" ht="15" customHeight="1">
      <c r="A224" s="384" t="s">
        <v>812</v>
      </c>
      <c r="B224" s="384" t="s">
        <v>32</v>
      </c>
      <c r="C224" s="387">
        <v>159717</v>
      </c>
      <c r="D224" s="386">
        <v>4</v>
      </c>
      <c r="E224" s="275">
        <v>3168.5</v>
      </c>
      <c r="F224" s="510">
        <v>3263</v>
      </c>
      <c r="G224" s="275">
        <v>9234.5</v>
      </c>
      <c r="H224" s="510">
        <v>9329</v>
      </c>
      <c r="I224" s="275">
        <v>3068.5</v>
      </c>
      <c r="J224" s="510">
        <v>3163</v>
      </c>
      <c r="K224" s="275">
        <v>9134.5</v>
      </c>
      <c r="L224" s="510">
        <v>9229</v>
      </c>
      <c r="M224" s="275"/>
      <c r="N224" s="510"/>
      <c r="O224" s="275"/>
      <c r="P224" s="510"/>
      <c r="Q224" s="275"/>
      <c r="R224" s="510"/>
      <c r="S224" s="275"/>
      <c r="T224" s="510"/>
      <c r="U224" s="275"/>
      <c r="V224" s="510"/>
      <c r="W224" s="275"/>
      <c r="X224" s="510"/>
      <c r="Y224" s="275"/>
      <c r="Z224" s="510"/>
      <c r="AA224" s="275"/>
      <c r="AB224" s="510"/>
      <c r="AC224" s="275"/>
      <c r="AD224" s="510"/>
      <c r="AE224" s="275"/>
      <c r="AF224" s="510"/>
      <c r="AG224" s="275"/>
      <c r="AH224" s="510"/>
      <c r="AI224" s="275"/>
      <c r="AJ224" s="510"/>
      <c r="AK224" s="275"/>
      <c r="AL224" s="510"/>
      <c r="AM224" s="275"/>
      <c r="AN224" s="510"/>
    </row>
    <row r="225" spans="1:40" s="183" customFormat="1" ht="15" customHeight="1">
      <c r="A225" s="384" t="s">
        <v>812</v>
      </c>
      <c r="B225" s="384" t="s">
        <v>33</v>
      </c>
      <c r="C225" s="387">
        <v>159966</v>
      </c>
      <c r="D225" s="386">
        <v>4</v>
      </c>
      <c r="E225" s="275">
        <v>3350.5</v>
      </c>
      <c r="F225" s="510">
        <v>3595</v>
      </c>
      <c r="G225" s="275">
        <v>8798.5</v>
      </c>
      <c r="H225" s="510">
        <v>9043</v>
      </c>
      <c r="I225" s="275">
        <v>3350.5</v>
      </c>
      <c r="J225" s="510">
        <v>3595</v>
      </c>
      <c r="K225" s="275">
        <v>8798.5</v>
      </c>
      <c r="L225" s="510">
        <v>9043</v>
      </c>
      <c r="M225" s="275"/>
      <c r="N225" s="510"/>
      <c r="O225" s="275"/>
      <c r="P225" s="510"/>
      <c r="Q225" s="275"/>
      <c r="R225" s="510"/>
      <c r="S225" s="275"/>
      <c r="T225" s="510"/>
      <c r="U225" s="275"/>
      <c r="V225" s="510"/>
      <c r="W225" s="275"/>
      <c r="X225" s="510"/>
      <c r="Y225" s="275"/>
      <c r="Z225" s="510"/>
      <c r="AA225" s="275"/>
      <c r="AB225" s="510"/>
      <c r="AC225" s="275"/>
      <c r="AD225" s="510"/>
      <c r="AE225" s="275"/>
      <c r="AF225" s="510"/>
      <c r="AG225" s="275"/>
      <c r="AH225" s="510"/>
      <c r="AI225" s="275"/>
      <c r="AJ225" s="510"/>
      <c r="AK225" s="275"/>
      <c r="AL225" s="510"/>
      <c r="AM225" s="275"/>
      <c r="AN225" s="510"/>
    </row>
    <row r="226" spans="1:40" s="183" customFormat="1" ht="15" customHeight="1">
      <c r="A226" s="384" t="s">
        <v>812</v>
      </c>
      <c r="B226" s="381" t="s">
        <v>34</v>
      </c>
      <c r="C226" s="382">
        <v>160038</v>
      </c>
      <c r="D226" s="383">
        <v>4</v>
      </c>
      <c r="E226" s="275">
        <v>3371.6</v>
      </c>
      <c r="F226" s="510">
        <v>3708</v>
      </c>
      <c r="G226" s="275">
        <v>9449.6</v>
      </c>
      <c r="H226" s="510">
        <v>9786</v>
      </c>
      <c r="I226" s="275">
        <v>3265.6</v>
      </c>
      <c r="J226" s="510">
        <v>3641</v>
      </c>
      <c r="K226" s="275">
        <v>9343.6</v>
      </c>
      <c r="L226" s="510">
        <v>9719</v>
      </c>
      <c r="M226" s="275"/>
      <c r="N226" s="510"/>
      <c r="O226" s="275"/>
      <c r="P226" s="510"/>
      <c r="Q226" s="275"/>
      <c r="R226" s="510"/>
      <c r="S226" s="275"/>
      <c r="T226" s="510"/>
      <c r="U226" s="275"/>
      <c r="V226" s="510"/>
      <c r="W226" s="275"/>
      <c r="X226" s="510"/>
      <c r="Y226" s="275"/>
      <c r="Z226" s="510"/>
      <c r="AA226" s="275"/>
      <c r="AB226" s="510"/>
      <c r="AC226" s="275"/>
      <c r="AD226" s="510"/>
      <c r="AE226" s="275"/>
      <c r="AF226" s="510"/>
      <c r="AG226" s="275"/>
      <c r="AH226" s="510"/>
      <c r="AI226" s="275"/>
      <c r="AJ226" s="510"/>
      <c r="AK226" s="275"/>
      <c r="AL226" s="510"/>
      <c r="AM226" s="275"/>
      <c r="AN226" s="510"/>
    </row>
    <row r="227" spans="1:40" s="183" customFormat="1" ht="15" customHeight="1">
      <c r="A227" s="384" t="s">
        <v>812</v>
      </c>
      <c r="B227" s="384" t="s">
        <v>35</v>
      </c>
      <c r="C227" s="387">
        <v>160630</v>
      </c>
      <c r="D227" s="386">
        <v>5</v>
      </c>
      <c r="E227" s="275">
        <v>3506</v>
      </c>
      <c r="F227" s="510">
        <v>2976</v>
      </c>
      <c r="G227" s="275">
        <v>9298</v>
      </c>
      <c r="H227" s="510">
        <v>6714</v>
      </c>
      <c r="I227" s="275">
        <v>3524</v>
      </c>
      <c r="J227" s="510">
        <v>3792</v>
      </c>
      <c r="K227" s="275">
        <v>8690</v>
      </c>
      <c r="L227" s="510">
        <v>6707</v>
      </c>
      <c r="M227" s="275"/>
      <c r="N227" s="510"/>
      <c r="O227" s="275"/>
      <c r="P227" s="510"/>
      <c r="Q227" s="275"/>
      <c r="R227" s="510"/>
      <c r="S227" s="275"/>
      <c r="T227" s="510"/>
      <c r="U227" s="275"/>
      <c r="V227" s="510"/>
      <c r="W227" s="275"/>
      <c r="X227" s="510"/>
      <c r="Y227" s="275"/>
      <c r="Z227" s="510"/>
      <c r="AA227" s="275"/>
      <c r="AB227" s="510"/>
      <c r="AC227" s="275"/>
      <c r="AD227" s="510"/>
      <c r="AE227" s="275"/>
      <c r="AF227" s="510"/>
      <c r="AG227" s="275"/>
      <c r="AH227" s="510"/>
      <c r="AI227" s="275"/>
      <c r="AJ227" s="510"/>
      <c r="AK227" s="275"/>
      <c r="AL227" s="510"/>
      <c r="AM227" s="275"/>
      <c r="AN227" s="510"/>
    </row>
    <row r="228" spans="1:40" s="183" customFormat="1" ht="15" customHeight="1">
      <c r="A228" s="384" t="s">
        <v>812</v>
      </c>
      <c r="B228" s="384" t="s">
        <v>36</v>
      </c>
      <c r="C228" s="382">
        <v>159382</v>
      </c>
      <c r="D228" s="386">
        <v>7</v>
      </c>
      <c r="E228" s="275">
        <v>3092.5</v>
      </c>
      <c r="F228" s="510">
        <v>3169</v>
      </c>
      <c r="G228" s="275">
        <v>5552.5</v>
      </c>
      <c r="H228" s="510">
        <v>5629</v>
      </c>
      <c r="I228" s="275"/>
      <c r="J228" s="510"/>
      <c r="K228" s="275"/>
      <c r="L228" s="510"/>
      <c r="M228" s="275"/>
      <c r="N228" s="510"/>
      <c r="O228" s="275"/>
      <c r="P228" s="510"/>
      <c r="Q228" s="275"/>
      <c r="R228" s="510"/>
      <c r="S228" s="275"/>
      <c r="T228" s="510"/>
      <c r="U228" s="275"/>
      <c r="V228" s="510"/>
      <c r="W228" s="275"/>
      <c r="X228" s="510"/>
      <c r="Y228" s="275"/>
      <c r="Z228" s="510"/>
      <c r="AA228" s="275"/>
      <c r="AB228" s="510"/>
      <c r="AC228" s="275"/>
      <c r="AD228" s="510"/>
      <c r="AE228" s="275"/>
      <c r="AF228" s="510"/>
      <c r="AG228" s="275"/>
      <c r="AH228" s="510"/>
      <c r="AI228" s="275"/>
      <c r="AJ228" s="510"/>
      <c r="AK228" s="275"/>
      <c r="AL228" s="510"/>
      <c r="AM228" s="275"/>
      <c r="AN228" s="510"/>
    </row>
    <row r="229" spans="1:40" s="183" customFormat="1" ht="15" customHeight="1">
      <c r="A229" s="384" t="s">
        <v>812</v>
      </c>
      <c r="B229" s="381" t="s">
        <v>748</v>
      </c>
      <c r="C229" s="382">
        <v>158662</v>
      </c>
      <c r="D229" s="383">
        <v>8</v>
      </c>
      <c r="E229" s="275">
        <v>1928</v>
      </c>
      <c r="F229" s="510">
        <v>1928</v>
      </c>
      <c r="G229" s="275">
        <v>4908</v>
      </c>
      <c r="H229" s="510">
        <v>4908</v>
      </c>
      <c r="I229" s="275"/>
      <c r="J229" s="510"/>
      <c r="K229" s="275"/>
      <c r="L229" s="510"/>
      <c r="M229" s="275"/>
      <c r="N229" s="510"/>
      <c r="O229" s="275"/>
      <c r="P229" s="510"/>
      <c r="Q229" s="275"/>
      <c r="R229" s="510"/>
      <c r="S229" s="275"/>
      <c r="T229" s="510"/>
      <c r="U229" s="275"/>
      <c r="V229" s="510"/>
      <c r="W229" s="275"/>
      <c r="X229" s="510"/>
      <c r="Y229" s="275"/>
      <c r="Z229" s="510"/>
      <c r="AA229" s="275"/>
      <c r="AB229" s="510"/>
      <c r="AC229" s="275"/>
      <c r="AD229" s="510"/>
      <c r="AE229" s="275"/>
      <c r="AF229" s="510"/>
      <c r="AG229" s="275"/>
      <c r="AH229" s="510"/>
      <c r="AI229" s="275"/>
      <c r="AJ229" s="510"/>
      <c r="AK229" s="275"/>
      <c r="AL229" s="510"/>
      <c r="AM229" s="275"/>
      <c r="AN229" s="510"/>
    </row>
    <row r="230" spans="1:40" s="183" customFormat="1" ht="15" customHeight="1">
      <c r="A230" s="384" t="s">
        <v>812</v>
      </c>
      <c r="B230" s="381" t="s">
        <v>749</v>
      </c>
      <c r="C230" s="382">
        <v>437103</v>
      </c>
      <c r="D230" s="383">
        <v>9</v>
      </c>
      <c r="E230" s="275">
        <v>1806</v>
      </c>
      <c r="F230" s="510">
        <v>1806</v>
      </c>
      <c r="G230" s="275">
        <v>4614</v>
      </c>
      <c r="H230" s="510">
        <v>4614</v>
      </c>
      <c r="I230" s="275"/>
      <c r="J230" s="510"/>
      <c r="K230" s="275"/>
      <c r="L230" s="510"/>
      <c r="M230" s="275"/>
      <c r="N230" s="510"/>
      <c r="O230" s="275"/>
      <c r="P230" s="510"/>
      <c r="Q230" s="275"/>
      <c r="R230" s="510"/>
      <c r="S230" s="275"/>
      <c r="T230" s="510"/>
      <c r="U230" s="275"/>
      <c r="V230" s="510"/>
      <c r="W230" s="275"/>
      <c r="X230" s="510"/>
      <c r="Y230" s="275"/>
      <c r="Z230" s="510"/>
      <c r="AA230" s="275"/>
      <c r="AB230" s="510"/>
      <c r="AC230" s="275"/>
      <c r="AD230" s="510"/>
      <c r="AE230" s="275"/>
      <c r="AF230" s="510"/>
      <c r="AG230" s="275"/>
      <c r="AH230" s="510"/>
      <c r="AI230" s="275"/>
      <c r="AJ230" s="510"/>
      <c r="AK230" s="275"/>
      <c r="AL230" s="510"/>
      <c r="AM230" s="275"/>
      <c r="AN230" s="510"/>
    </row>
    <row r="231" spans="1:40" s="183" customFormat="1" ht="15" customHeight="1">
      <c r="A231" s="384" t="s">
        <v>812</v>
      </c>
      <c r="B231" s="381" t="s">
        <v>750</v>
      </c>
      <c r="C231" s="382">
        <v>158431</v>
      </c>
      <c r="D231" s="383">
        <v>9</v>
      </c>
      <c r="E231" s="275">
        <v>1760</v>
      </c>
      <c r="F231" s="510">
        <v>1760</v>
      </c>
      <c r="G231" s="275">
        <v>3900</v>
      </c>
      <c r="H231" s="510">
        <v>3900</v>
      </c>
      <c r="I231" s="275"/>
      <c r="J231" s="510"/>
      <c r="K231" s="275"/>
      <c r="L231" s="510"/>
      <c r="M231" s="275"/>
      <c r="N231" s="510"/>
      <c r="O231" s="275"/>
      <c r="P231" s="510"/>
      <c r="Q231" s="275"/>
      <c r="R231" s="510"/>
      <c r="S231" s="275"/>
      <c r="T231" s="510"/>
      <c r="U231" s="275"/>
      <c r="V231" s="510"/>
      <c r="W231" s="275"/>
      <c r="X231" s="510"/>
      <c r="Y231" s="275"/>
      <c r="Z231" s="510"/>
      <c r="AA231" s="275"/>
      <c r="AB231" s="510"/>
      <c r="AC231" s="275"/>
      <c r="AD231" s="510"/>
      <c r="AE231" s="275"/>
      <c r="AF231" s="510"/>
      <c r="AG231" s="275"/>
      <c r="AH231" s="510"/>
      <c r="AI231" s="275"/>
      <c r="AJ231" s="510"/>
      <c r="AK231" s="275"/>
      <c r="AL231" s="510"/>
      <c r="AM231" s="275"/>
      <c r="AN231" s="510"/>
    </row>
    <row r="232" spans="1:40" s="183" customFormat="1" ht="15" customHeight="1">
      <c r="A232" s="384" t="s">
        <v>812</v>
      </c>
      <c r="B232" s="390" t="s">
        <v>751</v>
      </c>
      <c r="C232" s="382">
        <v>159407</v>
      </c>
      <c r="D232" s="383">
        <v>9</v>
      </c>
      <c r="E232" s="275">
        <v>2047.5</v>
      </c>
      <c r="F232" s="510">
        <v>2240</v>
      </c>
      <c r="G232" s="275">
        <v>5047.5</v>
      </c>
      <c r="H232" s="510">
        <v>5239</v>
      </c>
      <c r="I232" s="275"/>
      <c r="J232" s="510"/>
      <c r="K232" s="275"/>
      <c r="L232" s="510"/>
      <c r="M232" s="275"/>
      <c r="N232" s="510"/>
      <c r="O232" s="275"/>
      <c r="P232" s="510"/>
      <c r="Q232" s="275"/>
      <c r="R232" s="510"/>
      <c r="S232" s="275"/>
      <c r="T232" s="510"/>
      <c r="U232" s="275"/>
      <c r="V232" s="510"/>
      <c r="W232" s="275"/>
      <c r="X232" s="510"/>
      <c r="Y232" s="275"/>
      <c r="Z232" s="510"/>
      <c r="AA232" s="275"/>
      <c r="AB232" s="510"/>
      <c r="AC232" s="275"/>
      <c r="AD232" s="510"/>
      <c r="AE232" s="275"/>
      <c r="AF232" s="510"/>
      <c r="AG232" s="275"/>
      <c r="AH232" s="510"/>
      <c r="AI232" s="275"/>
      <c r="AJ232" s="510"/>
      <c r="AK232" s="275"/>
      <c r="AL232" s="510"/>
      <c r="AM232" s="275"/>
      <c r="AN232" s="510"/>
    </row>
    <row r="233" spans="1:40" s="183" customFormat="1" ht="15" customHeight="1">
      <c r="A233" s="384" t="s">
        <v>812</v>
      </c>
      <c r="B233" s="388" t="s">
        <v>752</v>
      </c>
      <c r="C233" s="389">
        <v>440624</v>
      </c>
      <c r="D233" s="383">
        <v>10</v>
      </c>
      <c r="E233" s="275">
        <v>2018</v>
      </c>
      <c r="F233" s="510">
        <v>1998</v>
      </c>
      <c r="G233" s="275">
        <v>3628</v>
      </c>
      <c r="H233" s="510">
        <v>3608</v>
      </c>
      <c r="I233" s="275"/>
      <c r="J233" s="510"/>
      <c r="K233" s="275"/>
      <c r="L233" s="510"/>
      <c r="M233" s="275"/>
      <c r="N233" s="510"/>
      <c r="O233" s="275"/>
      <c r="P233" s="510"/>
      <c r="Q233" s="275"/>
      <c r="R233" s="510"/>
      <c r="S233" s="275"/>
      <c r="T233" s="510"/>
      <c r="U233" s="275"/>
      <c r="V233" s="510"/>
      <c r="W233" s="275"/>
      <c r="X233" s="510"/>
      <c r="Y233" s="275"/>
      <c r="Z233" s="510"/>
      <c r="AA233" s="275"/>
      <c r="AB233" s="510"/>
      <c r="AC233" s="275"/>
      <c r="AD233" s="510"/>
      <c r="AE233" s="275"/>
      <c r="AF233" s="510"/>
      <c r="AG233" s="275"/>
      <c r="AH233" s="510"/>
      <c r="AI233" s="275"/>
      <c r="AJ233" s="510"/>
      <c r="AK233" s="275"/>
      <c r="AL233" s="510"/>
      <c r="AM233" s="275"/>
      <c r="AN233" s="510"/>
    </row>
    <row r="234" spans="1:40" s="183" customFormat="1" ht="15" customHeight="1">
      <c r="A234" s="384" t="s">
        <v>812</v>
      </c>
      <c r="B234" s="381" t="s">
        <v>753</v>
      </c>
      <c r="C234" s="382">
        <v>158884</v>
      </c>
      <c r="D234" s="383">
        <v>10</v>
      </c>
      <c r="E234" s="275">
        <v>1770</v>
      </c>
      <c r="F234" s="510">
        <v>1770</v>
      </c>
      <c r="G234" s="275">
        <v>4290</v>
      </c>
      <c r="H234" s="510">
        <v>4290</v>
      </c>
      <c r="I234" s="275"/>
      <c r="J234" s="510"/>
      <c r="K234" s="275"/>
      <c r="L234" s="510"/>
      <c r="M234" s="275"/>
      <c r="N234" s="510"/>
      <c r="O234" s="275"/>
      <c r="P234" s="510"/>
      <c r="Q234" s="275"/>
      <c r="R234" s="510"/>
      <c r="S234" s="275"/>
      <c r="T234" s="510"/>
      <c r="U234" s="275"/>
      <c r="V234" s="510"/>
      <c r="W234" s="275"/>
      <c r="X234" s="510"/>
      <c r="Y234" s="275"/>
      <c r="Z234" s="510"/>
      <c r="AA234" s="275"/>
      <c r="AB234" s="510"/>
      <c r="AC234" s="275"/>
      <c r="AD234" s="510"/>
      <c r="AE234" s="275"/>
      <c r="AF234" s="510"/>
      <c r="AG234" s="275"/>
      <c r="AH234" s="510"/>
      <c r="AI234" s="275"/>
      <c r="AJ234" s="510"/>
      <c r="AK234" s="275"/>
      <c r="AL234" s="510"/>
      <c r="AM234" s="275"/>
      <c r="AN234" s="510"/>
    </row>
    <row r="235" spans="1:40" s="183" customFormat="1" ht="15" customHeight="1">
      <c r="A235" s="384" t="s">
        <v>812</v>
      </c>
      <c r="B235" s="381" t="s">
        <v>754</v>
      </c>
      <c r="C235" s="382">
        <v>436304</v>
      </c>
      <c r="D235" s="383">
        <v>10</v>
      </c>
      <c r="E235" s="275">
        <v>1874</v>
      </c>
      <c r="F235" s="510">
        <v>1874</v>
      </c>
      <c r="G235" s="275">
        <v>4612</v>
      </c>
      <c r="H235" s="510">
        <v>4612</v>
      </c>
      <c r="I235" s="275"/>
      <c r="J235" s="510"/>
      <c r="K235" s="275"/>
      <c r="L235" s="510"/>
      <c r="M235" s="275"/>
      <c r="N235" s="510"/>
      <c r="O235" s="275"/>
      <c r="P235" s="510"/>
      <c r="Q235" s="275"/>
      <c r="R235" s="510"/>
      <c r="S235" s="275"/>
      <c r="T235" s="510"/>
      <c r="U235" s="275"/>
      <c r="V235" s="510"/>
      <c r="W235" s="275"/>
      <c r="X235" s="510"/>
      <c r="Y235" s="275"/>
      <c r="Z235" s="510"/>
      <c r="AA235" s="275"/>
      <c r="AB235" s="510"/>
      <c r="AC235" s="275"/>
      <c r="AD235" s="510"/>
      <c r="AE235" s="275"/>
      <c r="AF235" s="510"/>
      <c r="AG235" s="275"/>
      <c r="AH235" s="510"/>
      <c r="AI235" s="275"/>
      <c r="AJ235" s="510"/>
      <c r="AK235" s="275"/>
      <c r="AL235" s="510"/>
      <c r="AM235" s="275"/>
      <c r="AN235" s="510"/>
    </row>
    <row r="236" spans="1:40" s="183" customFormat="1" ht="15" customHeight="1">
      <c r="A236" s="384" t="s">
        <v>812</v>
      </c>
      <c r="B236" s="381" t="s">
        <v>755</v>
      </c>
      <c r="C236" s="382">
        <v>434061</v>
      </c>
      <c r="D236" s="383">
        <v>10</v>
      </c>
      <c r="E236" s="275">
        <v>1852</v>
      </c>
      <c r="F236" s="510">
        <v>1852</v>
      </c>
      <c r="G236" s="275">
        <v>4002</v>
      </c>
      <c r="H236" s="510">
        <v>4002</v>
      </c>
      <c r="I236" s="275"/>
      <c r="J236" s="510"/>
      <c r="K236" s="275"/>
      <c r="L236" s="510"/>
      <c r="M236" s="275"/>
      <c r="N236" s="510"/>
      <c r="O236" s="275"/>
      <c r="P236" s="510"/>
      <c r="Q236" s="275"/>
      <c r="R236" s="510"/>
      <c r="S236" s="275"/>
      <c r="T236" s="510"/>
      <c r="U236" s="275"/>
      <c r="V236" s="510"/>
      <c r="W236" s="275"/>
      <c r="X236" s="510"/>
      <c r="Y236" s="275"/>
      <c r="Z236" s="510"/>
      <c r="AA236" s="275"/>
      <c r="AB236" s="510"/>
      <c r="AC236" s="275"/>
      <c r="AD236" s="510"/>
      <c r="AE236" s="275"/>
      <c r="AF236" s="510"/>
      <c r="AG236" s="275"/>
      <c r="AH236" s="510"/>
      <c r="AI236" s="275"/>
      <c r="AJ236" s="510"/>
      <c r="AK236" s="275"/>
      <c r="AL236" s="510"/>
      <c r="AM236" s="275"/>
      <c r="AN236" s="510"/>
    </row>
    <row r="237" spans="1:40" s="183" customFormat="1" ht="15" customHeight="1">
      <c r="A237" s="384" t="s">
        <v>812</v>
      </c>
      <c r="B237" s="390" t="s">
        <v>756</v>
      </c>
      <c r="C237" s="391">
        <v>160649</v>
      </c>
      <c r="D237" s="392">
        <v>10</v>
      </c>
      <c r="E237" s="275">
        <v>2204</v>
      </c>
      <c r="F237" s="510">
        <v>2252</v>
      </c>
      <c r="G237" s="275">
        <v>3334</v>
      </c>
      <c r="H237" s="510">
        <v>3382</v>
      </c>
      <c r="I237" s="275"/>
      <c r="J237" s="510"/>
      <c r="K237" s="275"/>
      <c r="L237" s="510"/>
      <c r="M237" s="275"/>
      <c r="N237" s="510"/>
      <c r="O237" s="275"/>
      <c r="P237" s="510"/>
      <c r="Q237" s="275"/>
      <c r="R237" s="510"/>
      <c r="S237" s="275"/>
      <c r="T237" s="510"/>
      <c r="U237" s="275"/>
      <c r="V237" s="510"/>
      <c r="W237" s="275"/>
      <c r="X237" s="510"/>
      <c r="Y237" s="275"/>
      <c r="Z237" s="510"/>
      <c r="AA237" s="275"/>
      <c r="AB237" s="510"/>
      <c r="AC237" s="275"/>
      <c r="AD237" s="510"/>
      <c r="AE237" s="275"/>
      <c r="AF237" s="510"/>
      <c r="AG237" s="275"/>
      <c r="AH237" s="510"/>
      <c r="AI237" s="275"/>
      <c r="AJ237" s="510"/>
      <c r="AK237" s="275"/>
      <c r="AL237" s="510"/>
      <c r="AM237" s="275"/>
      <c r="AN237" s="510"/>
    </row>
    <row r="238" spans="1:40" s="183" customFormat="1" ht="15" customHeight="1">
      <c r="A238" s="384" t="s">
        <v>812</v>
      </c>
      <c r="B238" s="393" t="s">
        <v>757</v>
      </c>
      <c r="C238" s="385">
        <v>160579</v>
      </c>
      <c r="D238" s="383">
        <v>12</v>
      </c>
      <c r="E238" s="275">
        <v>1450</v>
      </c>
      <c r="F238" s="510">
        <v>1450</v>
      </c>
      <c r="G238" s="275">
        <v>2698</v>
      </c>
      <c r="H238" s="510">
        <v>2698</v>
      </c>
      <c r="I238" s="275"/>
      <c r="J238" s="510"/>
      <c r="K238" s="275"/>
      <c r="L238" s="510"/>
      <c r="M238" s="275"/>
      <c r="N238" s="510"/>
      <c r="O238" s="275"/>
      <c r="P238" s="510"/>
      <c r="Q238" s="275"/>
      <c r="R238" s="510"/>
      <c r="S238" s="275"/>
      <c r="T238" s="510"/>
      <c r="U238" s="275"/>
      <c r="V238" s="510"/>
      <c r="W238" s="275"/>
      <c r="X238" s="510"/>
      <c r="Y238" s="275"/>
      <c r="Z238" s="510"/>
      <c r="AA238" s="275"/>
      <c r="AB238" s="510"/>
      <c r="AC238" s="275"/>
      <c r="AD238" s="510"/>
      <c r="AE238" s="275"/>
      <c r="AF238" s="510"/>
      <c r="AG238" s="275"/>
      <c r="AH238" s="510"/>
      <c r="AI238" s="275"/>
      <c r="AJ238" s="510"/>
      <c r="AK238" s="275"/>
      <c r="AL238" s="510"/>
      <c r="AM238" s="275"/>
      <c r="AN238" s="510"/>
    </row>
    <row r="239" spans="1:40" s="183" customFormat="1" ht="15" customHeight="1">
      <c r="A239" s="384" t="s">
        <v>812</v>
      </c>
      <c r="B239" s="388" t="s">
        <v>758</v>
      </c>
      <c r="C239" s="385">
        <v>160481</v>
      </c>
      <c r="D239" s="383">
        <v>13</v>
      </c>
      <c r="E239" s="275">
        <v>1480</v>
      </c>
      <c r="F239" s="510">
        <v>1480</v>
      </c>
      <c r="G239" s="275">
        <v>2728</v>
      </c>
      <c r="H239" s="510">
        <v>2728</v>
      </c>
      <c r="I239" s="275"/>
      <c r="J239" s="510"/>
      <c r="K239" s="275"/>
      <c r="L239" s="510"/>
      <c r="M239" s="275"/>
      <c r="N239" s="510"/>
      <c r="O239" s="275"/>
      <c r="P239" s="510"/>
      <c r="Q239" s="275"/>
      <c r="R239" s="510"/>
      <c r="S239" s="275"/>
      <c r="T239" s="510"/>
      <c r="U239" s="275"/>
      <c r="V239" s="510"/>
      <c r="W239" s="275"/>
      <c r="X239" s="510"/>
      <c r="Y239" s="275"/>
      <c r="Z239" s="510"/>
      <c r="AA239" s="275"/>
      <c r="AB239" s="510"/>
      <c r="AC239" s="275"/>
      <c r="AD239" s="510"/>
      <c r="AE239" s="275"/>
      <c r="AF239" s="510"/>
      <c r="AG239" s="275"/>
      <c r="AH239" s="510"/>
      <c r="AI239" s="275"/>
      <c r="AJ239" s="510"/>
      <c r="AK239" s="275"/>
      <c r="AL239" s="510"/>
      <c r="AM239" s="275"/>
      <c r="AN239" s="510"/>
    </row>
    <row r="240" spans="1:40" s="183" customFormat="1" ht="15" customHeight="1">
      <c r="A240" s="384" t="s">
        <v>812</v>
      </c>
      <c r="B240" s="381" t="s">
        <v>759</v>
      </c>
      <c r="C240" s="382">
        <v>160560</v>
      </c>
      <c r="D240" s="383">
        <v>14</v>
      </c>
      <c r="E240" s="275">
        <v>886</v>
      </c>
      <c r="F240" s="510">
        <v>886</v>
      </c>
      <c r="G240" s="275">
        <v>1438</v>
      </c>
      <c r="H240" s="510">
        <v>1438</v>
      </c>
      <c r="I240" s="275"/>
      <c r="J240" s="510"/>
      <c r="K240" s="275"/>
      <c r="L240" s="510"/>
      <c r="M240" s="275"/>
      <c r="N240" s="510"/>
      <c r="O240" s="275"/>
      <c r="P240" s="510"/>
      <c r="Q240" s="275"/>
      <c r="R240" s="510"/>
      <c r="S240" s="275"/>
      <c r="T240" s="510"/>
      <c r="U240" s="275"/>
      <c r="V240" s="510"/>
      <c r="W240" s="275"/>
      <c r="X240" s="510"/>
      <c r="Y240" s="275"/>
      <c r="Z240" s="510"/>
      <c r="AA240" s="275"/>
      <c r="AB240" s="510"/>
      <c r="AC240" s="275"/>
      <c r="AD240" s="510"/>
      <c r="AE240" s="275"/>
      <c r="AF240" s="510"/>
      <c r="AG240" s="275"/>
      <c r="AH240" s="510"/>
      <c r="AI240" s="275"/>
      <c r="AJ240" s="510"/>
      <c r="AK240" s="275"/>
      <c r="AL240" s="510"/>
      <c r="AM240" s="275"/>
      <c r="AN240" s="510"/>
    </row>
    <row r="241" spans="1:40" s="183" customFormat="1" ht="15" customHeight="1">
      <c r="A241" s="384" t="s">
        <v>812</v>
      </c>
      <c r="B241" s="381" t="s">
        <v>760</v>
      </c>
      <c r="C241" s="385">
        <v>158088</v>
      </c>
      <c r="D241" s="383">
        <v>14</v>
      </c>
      <c r="E241" s="275">
        <v>886</v>
      </c>
      <c r="F241" s="510">
        <v>886</v>
      </c>
      <c r="G241" s="275">
        <v>1438</v>
      </c>
      <c r="H241" s="510">
        <v>1438</v>
      </c>
      <c r="I241" s="275"/>
      <c r="J241" s="510"/>
      <c r="K241" s="275"/>
      <c r="L241" s="510"/>
      <c r="M241" s="275"/>
      <c r="N241" s="510"/>
      <c r="O241" s="275"/>
      <c r="P241" s="510"/>
      <c r="Q241" s="275"/>
      <c r="R241" s="510"/>
      <c r="S241" s="275"/>
      <c r="T241" s="510"/>
      <c r="U241" s="275"/>
      <c r="V241" s="510"/>
      <c r="W241" s="275"/>
      <c r="X241" s="510"/>
      <c r="Y241" s="275"/>
      <c r="Z241" s="510"/>
      <c r="AA241" s="275"/>
      <c r="AB241" s="510"/>
      <c r="AC241" s="275"/>
      <c r="AD241" s="510"/>
      <c r="AE241" s="275"/>
      <c r="AF241" s="510"/>
      <c r="AG241" s="275"/>
      <c r="AH241" s="510"/>
      <c r="AI241" s="275"/>
      <c r="AJ241" s="510"/>
      <c r="AK241" s="275"/>
      <c r="AL241" s="510"/>
      <c r="AM241" s="275"/>
      <c r="AN241" s="510"/>
    </row>
    <row r="242" spans="1:40" s="183" customFormat="1" ht="15" customHeight="1">
      <c r="A242" s="384" t="s">
        <v>812</v>
      </c>
      <c r="B242" s="381" t="s">
        <v>761</v>
      </c>
      <c r="C242" s="385">
        <v>158219</v>
      </c>
      <c r="D242" s="383">
        <v>14</v>
      </c>
      <c r="E242" s="275">
        <v>886</v>
      </c>
      <c r="F242" s="510">
        <v>886</v>
      </c>
      <c r="G242" s="275">
        <v>1438</v>
      </c>
      <c r="H242" s="510">
        <v>1438</v>
      </c>
      <c r="I242" s="275"/>
      <c r="J242" s="510"/>
      <c r="K242" s="275"/>
      <c r="L242" s="510"/>
      <c r="M242" s="275"/>
      <c r="N242" s="510"/>
      <c r="O242" s="275"/>
      <c r="P242" s="510"/>
      <c r="Q242" s="275"/>
      <c r="R242" s="510"/>
      <c r="S242" s="275"/>
      <c r="T242" s="510"/>
      <c r="U242" s="275"/>
      <c r="V242" s="510"/>
      <c r="W242" s="275"/>
      <c r="X242" s="510"/>
      <c r="Y242" s="275"/>
      <c r="Z242" s="510"/>
      <c r="AA242" s="275"/>
      <c r="AB242" s="510"/>
      <c r="AC242" s="275"/>
      <c r="AD242" s="510"/>
      <c r="AE242" s="275"/>
      <c r="AF242" s="510"/>
      <c r="AG242" s="275"/>
      <c r="AH242" s="510"/>
      <c r="AI242" s="275"/>
      <c r="AJ242" s="510"/>
      <c r="AK242" s="275"/>
      <c r="AL242" s="510"/>
      <c r="AM242" s="275"/>
      <c r="AN242" s="510"/>
    </row>
    <row r="243" spans="1:40" s="183" customFormat="1" ht="15" customHeight="1">
      <c r="A243" s="384" t="s">
        <v>812</v>
      </c>
      <c r="B243" s="381" t="s">
        <v>762</v>
      </c>
      <c r="C243" s="385">
        <v>158237</v>
      </c>
      <c r="D243" s="383">
        <v>14</v>
      </c>
      <c r="E243" s="275">
        <v>886</v>
      </c>
      <c r="F243" s="510">
        <v>886</v>
      </c>
      <c r="G243" s="275">
        <v>1438</v>
      </c>
      <c r="H243" s="510">
        <v>1438</v>
      </c>
      <c r="I243" s="275"/>
      <c r="J243" s="510"/>
      <c r="K243" s="275"/>
      <c r="L243" s="510"/>
      <c r="M243" s="275"/>
      <c r="N243" s="510"/>
      <c r="O243" s="275"/>
      <c r="P243" s="510"/>
      <c r="Q243" s="275"/>
      <c r="R243" s="510"/>
      <c r="S243" s="275"/>
      <c r="T243" s="510"/>
      <c r="U243" s="275"/>
      <c r="V243" s="510"/>
      <c r="W243" s="275"/>
      <c r="X243" s="510"/>
      <c r="Y243" s="275"/>
      <c r="Z243" s="510"/>
      <c r="AA243" s="275"/>
      <c r="AB243" s="510"/>
      <c r="AC243" s="275"/>
      <c r="AD243" s="510"/>
      <c r="AE243" s="275"/>
      <c r="AF243" s="510"/>
      <c r="AG243" s="275"/>
      <c r="AH243" s="510"/>
      <c r="AI243" s="275"/>
      <c r="AJ243" s="510"/>
      <c r="AK243" s="275"/>
      <c r="AL243" s="510"/>
      <c r="AM243" s="275"/>
      <c r="AN243" s="510"/>
    </row>
    <row r="244" spans="1:40" s="183" customFormat="1" ht="15" customHeight="1">
      <c r="A244" s="384" t="s">
        <v>812</v>
      </c>
      <c r="B244" s="381" t="s">
        <v>763</v>
      </c>
      <c r="C244" s="385">
        <v>158307</v>
      </c>
      <c r="D244" s="383">
        <v>14</v>
      </c>
      <c r="E244" s="275">
        <v>886</v>
      </c>
      <c r="F244" s="510">
        <v>886</v>
      </c>
      <c r="G244" s="275">
        <v>1438</v>
      </c>
      <c r="H244" s="510">
        <v>1438</v>
      </c>
      <c r="I244" s="275"/>
      <c r="J244" s="510"/>
      <c r="K244" s="275"/>
      <c r="L244" s="510"/>
      <c r="M244" s="275"/>
      <c r="N244" s="510"/>
      <c r="O244" s="275"/>
      <c r="P244" s="510"/>
      <c r="Q244" s="275"/>
      <c r="R244" s="510"/>
      <c r="S244" s="275"/>
      <c r="T244" s="510"/>
      <c r="U244" s="275"/>
      <c r="V244" s="510"/>
      <c r="W244" s="275"/>
      <c r="X244" s="510"/>
      <c r="Y244" s="275"/>
      <c r="Z244" s="510"/>
      <c r="AA244" s="275"/>
      <c r="AB244" s="510"/>
      <c r="AC244" s="275"/>
      <c r="AD244" s="510"/>
      <c r="AE244" s="275"/>
      <c r="AF244" s="510"/>
      <c r="AG244" s="275"/>
      <c r="AH244" s="510"/>
      <c r="AI244" s="275"/>
      <c r="AJ244" s="510"/>
      <c r="AK244" s="275"/>
      <c r="AL244" s="510"/>
      <c r="AM244" s="275"/>
      <c r="AN244" s="510"/>
    </row>
    <row r="245" spans="1:40" s="183" customFormat="1" ht="15" customHeight="1">
      <c r="A245" s="384" t="s">
        <v>812</v>
      </c>
      <c r="B245" s="381" t="s">
        <v>764</v>
      </c>
      <c r="C245" s="385">
        <v>158352</v>
      </c>
      <c r="D245" s="383">
        <v>14</v>
      </c>
      <c r="E245" s="275">
        <v>886</v>
      </c>
      <c r="F245" s="510">
        <v>886</v>
      </c>
      <c r="G245" s="275">
        <v>1438</v>
      </c>
      <c r="H245" s="510">
        <v>1438</v>
      </c>
      <c r="I245" s="275"/>
      <c r="J245" s="510"/>
      <c r="K245" s="275"/>
      <c r="L245" s="510"/>
      <c r="M245" s="275"/>
      <c r="N245" s="510"/>
      <c r="O245" s="275"/>
      <c r="P245" s="510"/>
      <c r="Q245" s="275"/>
      <c r="R245" s="510"/>
      <c r="S245" s="275"/>
      <c r="T245" s="510"/>
      <c r="U245" s="275"/>
      <c r="V245" s="510"/>
      <c r="W245" s="275"/>
      <c r="X245" s="510"/>
      <c r="Y245" s="275"/>
      <c r="Z245" s="510"/>
      <c r="AA245" s="275"/>
      <c r="AB245" s="510"/>
      <c r="AC245" s="275"/>
      <c r="AD245" s="510"/>
      <c r="AE245" s="275"/>
      <c r="AF245" s="510"/>
      <c r="AG245" s="275"/>
      <c r="AH245" s="510"/>
      <c r="AI245" s="275"/>
      <c r="AJ245" s="510"/>
      <c r="AK245" s="275"/>
      <c r="AL245" s="510"/>
      <c r="AM245" s="275"/>
      <c r="AN245" s="510"/>
    </row>
    <row r="246" spans="1:40" s="183" customFormat="1" ht="15" customHeight="1">
      <c r="A246" s="384" t="s">
        <v>812</v>
      </c>
      <c r="B246" s="381" t="s">
        <v>765</v>
      </c>
      <c r="C246" s="382">
        <v>160816</v>
      </c>
      <c r="D246" s="383">
        <v>14</v>
      </c>
      <c r="E246" s="275">
        <v>886</v>
      </c>
      <c r="F246" s="510">
        <v>886</v>
      </c>
      <c r="G246" s="275">
        <v>1438</v>
      </c>
      <c r="H246" s="510">
        <v>1438</v>
      </c>
      <c r="I246" s="275"/>
      <c r="J246" s="510"/>
      <c r="K246" s="275"/>
      <c r="L246" s="510"/>
      <c r="M246" s="275"/>
      <c r="N246" s="510"/>
      <c r="O246" s="275"/>
      <c r="P246" s="510"/>
      <c r="Q246" s="275"/>
      <c r="R246" s="510"/>
      <c r="S246" s="275"/>
      <c r="T246" s="510"/>
      <c r="U246" s="275"/>
      <c r="V246" s="510"/>
      <c r="W246" s="275"/>
      <c r="X246" s="510"/>
      <c r="Y246" s="275"/>
      <c r="Z246" s="510"/>
      <c r="AA246" s="275"/>
      <c r="AB246" s="510"/>
      <c r="AC246" s="275"/>
      <c r="AD246" s="510"/>
      <c r="AE246" s="275"/>
      <c r="AF246" s="510"/>
      <c r="AG246" s="275"/>
      <c r="AH246" s="510"/>
      <c r="AI246" s="275"/>
      <c r="AJ246" s="510"/>
      <c r="AK246" s="275"/>
      <c r="AL246" s="510"/>
      <c r="AM246" s="275"/>
      <c r="AN246" s="510"/>
    </row>
    <row r="247" spans="1:40" s="183" customFormat="1" ht="15" customHeight="1">
      <c r="A247" s="384" t="s">
        <v>812</v>
      </c>
      <c r="B247" s="381" t="s">
        <v>766</v>
      </c>
      <c r="C247" s="382">
        <v>158769</v>
      </c>
      <c r="D247" s="383">
        <v>14</v>
      </c>
      <c r="E247" s="275">
        <v>886</v>
      </c>
      <c r="F247" s="510">
        <v>886</v>
      </c>
      <c r="G247" s="275">
        <v>1438</v>
      </c>
      <c r="H247" s="510">
        <v>1438</v>
      </c>
      <c r="I247" s="275"/>
      <c r="J247" s="510"/>
      <c r="K247" s="275"/>
      <c r="L247" s="510"/>
      <c r="M247" s="275"/>
      <c r="N247" s="510"/>
      <c r="O247" s="275"/>
      <c r="P247" s="510"/>
      <c r="Q247" s="275"/>
      <c r="R247" s="510"/>
      <c r="S247" s="275"/>
      <c r="T247" s="510"/>
      <c r="U247" s="275"/>
      <c r="V247" s="510"/>
      <c r="W247" s="275"/>
      <c r="X247" s="510"/>
      <c r="Y247" s="275"/>
      <c r="Z247" s="510"/>
      <c r="AA247" s="275"/>
      <c r="AB247" s="510"/>
      <c r="AC247" s="275"/>
      <c r="AD247" s="510"/>
      <c r="AE247" s="275"/>
      <c r="AF247" s="510"/>
      <c r="AG247" s="275"/>
      <c r="AH247" s="510"/>
      <c r="AI247" s="275"/>
      <c r="AJ247" s="510"/>
      <c r="AK247" s="275"/>
      <c r="AL247" s="510"/>
      <c r="AM247" s="275"/>
      <c r="AN247" s="510"/>
    </row>
    <row r="248" spans="1:40" s="183" customFormat="1" ht="15" customHeight="1">
      <c r="A248" s="384" t="s">
        <v>812</v>
      </c>
      <c r="B248" s="381" t="s">
        <v>767</v>
      </c>
      <c r="C248" s="385">
        <v>158893</v>
      </c>
      <c r="D248" s="383">
        <v>14</v>
      </c>
      <c r="E248" s="275">
        <v>886</v>
      </c>
      <c r="F248" s="510">
        <v>886</v>
      </c>
      <c r="G248" s="275">
        <v>1438</v>
      </c>
      <c r="H248" s="510">
        <v>1438</v>
      </c>
      <c r="I248" s="275"/>
      <c r="J248" s="510"/>
      <c r="K248" s="275"/>
      <c r="L248" s="510"/>
      <c r="M248" s="275"/>
      <c r="N248" s="510"/>
      <c r="O248" s="275"/>
      <c r="P248" s="510"/>
      <c r="Q248" s="275"/>
      <c r="R248" s="510"/>
      <c r="S248" s="275"/>
      <c r="T248" s="510"/>
      <c r="U248" s="275"/>
      <c r="V248" s="510"/>
      <c r="W248" s="275"/>
      <c r="X248" s="510"/>
      <c r="Y248" s="275"/>
      <c r="Z248" s="510"/>
      <c r="AA248" s="275"/>
      <c r="AB248" s="510"/>
      <c r="AC248" s="275"/>
      <c r="AD248" s="510"/>
      <c r="AE248" s="275"/>
      <c r="AF248" s="510"/>
      <c r="AG248" s="275"/>
      <c r="AH248" s="510"/>
      <c r="AI248" s="275"/>
      <c r="AJ248" s="510"/>
      <c r="AK248" s="275"/>
      <c r="AL248" s="510"/>
      <c r="AM248" s="275"/>
      <c r="AN248" s="510"/>
    </row>
    <row r="249" spans="1:40" s="183" customFormat="1" ht="15" customHeight="1">
      <c r="A249" s="384" t="s">
        <v>812</v>
      </c>
      <c r="B249" s="381" t="s">
        <v>768</v>
      </c>
      <c r="C249" s="385">
        <v>158936</v>
      </c>
      <c r="D249" s="383">
        <v>14</v>
      </c>
      <c r="E249" s="275">
        <v>886</v>
      </c>
      <c r="F249" s="510">
        <v>886</v>
      </c>
      <c r="G249" s="275">
        <v>1438</v>
      </c>
      <c r="H249" s="510">
        <v>1438</v>
      </c>
      <c r="I249" s="275"/>
      <c r="J249" s="510"/>
      <c r="K249" s="275"/>
      <c r="L249" s="510"/>
      <c r="M249" s="275"/>
      <c r="N249" s="510"/>
      <c r="O249" s="275"/>
      <c r="P249" s="510"/>
      <c r="Q249" s="275"/>
      <c r="R249" s="510"/>
      <c r="S249" s="275"/>
      <c r="T249" s="510"/>
      <c r="U249" s="275"/>
      <c r="V249" s="510"/>
      <c r="W249" s="275"/>
      <c r="X249" s="510"/>
      <c r="Y249" s="275"/>
      <c r="Z249" s="510"/>
      <c r="AA249" s="275"/>
      <c r="AB249" s="510"/>
      <c r="AC249" s="275"/>
      <c r="AD249" s="510"/>
      <c r="AE249" s="275"/>
      <c r="AF249" s="510"/>
      <c r="AG249" s="275"/>
      <c r="AH249" s="510"/>
      <c r="AI249" s="275"/>
      <c r="AJ249" s="510"/>
      <c r="AK249" s="275"/>
      <c r="AL249" s="510"/>
      <c r="AM249" s="275"/>
      <c r="AN249" s="510"/>
    </row>
    <row r="250" spans="1:40" s="183" customFormat="1" ht="15" customHeight="1">
      <c r="A250" s="384" t="s">
        <v>812</v>
      </c>
      <c r="B250" s="381" t="s">
        <v>769</v>
      </c>
      <c r="C250" s="385">
        <v>158945</v>
      </c>
      <c r="D250" s="383">
        <v>14</v>
      </c>
      <c r="E250" s="275">
        <v>886</v>
      </c>
      <c r="F250" s="510">
        <v>886</v>
      </c>
      <c r="G250" s="275">
        <v>1438</v>
      </c>
      <c r="H250" s="510">
        <v>1438</v>
      </c>
      <c r="I250" s="275"/>
      <c r="J250" s="510"/>
      <c r="K250" s="275"/>
      <c r="L250" s="510"/>
      <c r="M250" s="275"/>
      <c r="N250" s="510"/>
      <c r="O250" s="275"/>
      <c r="P250" s="510"/>
      <c r="Q250" s="275"/>
      <c r="R250" s="510"/>
      <c r="S250" s="275"/>
      <c r="T250" s="510"/>
      <c r="U250" s="275"/>
      <c r="V250" s="510"/>
      <c r="W250" s="275"/>
      <c r="X250" s="510"/>
      <c r="Y250" s="275"/>
      <c r="Z250" s="510"/>
      <c r="AA250" s="275"/>
      <c r="AB250" s="510"/>
      <c r="AC250" s="275"/>
      <c r="AD250" s="510"/>
      <c r="AE250" s="275"/>
      <c r="AF250" s="510"/>
      <c r="AG250" s="275"/>
      <c r="AH250" s="510"/>
      <c r="AI250" s="275"/>
      <c r="AJ250" s="510"/>
      <c r="AK250" s="275"/>
      <c r="AL250" s="510"/>
      <c r="AM250" s="275"/>
      <c r="AN250" s="510"/>
    </row>
    <row r="251" spans="1:40" s="183" customFormat="1" ht="15" customHeight="1">
      <c r="A251" s="384" t="s">
        <v>812</v>
      </c>
      <c r="B251" s="381" t="s">
        <v>770</v>
      </c>
      <c r="C251" s="385">
        <v>159018</v>
      </c>
      <c r="D251" s="383">
        <v>14</v>
      </c>
      <c r="E251" s="275">
        <v>886</v>
      </c>
      <c r="F251" s="510">
        <v>886</v>
      </c>
      <c r="G251" s="275">
        <v>1438</v>
      </c>
      <c r="H251" s="510">
        <v>1438</v>
      </c>
      <c r="I251" s="275"/>
      <c r="J251" s="510"/>
      <c r="K251" s="275"/>
      <c r="L251" s="510"/>
      <c r="M251" s="275"/>
      <c r="N251" s="510"/>
      <c r="O251" s="275"/>
      <c r="P251" s="510"/>
      <c r="Q251" s="275"/>
      <c r="R251" s="510"/>
      <c r="S251" s="275"/>
      <c r="T251" s="510"/>
      <c r="U251" s="275"/>
      <c r="V251" s="510"/>
      <c r="W251" s="275"/>
      <c r="X251" s="510"/>
      <c r="Y251" s="275"/>
      <c r="Z251" s="510"/>
      <c r="AA251" s="275"/>
      <c r="AB251" s="510"/>
      <c r="AC251" s="275"/>
      <c r="AD251" s="510"/>
      <c r="AE251" s="275"/>
      <c r="AF251" s="510"/>
      <c r="AG251" s="275"/>
      <c r="AH251" s="510"/>
      <c r="AI251" s="275"/>
      <c r="AJ251" s="510"/>
      <c r="AK251" s="275"/>
      <c r="AL251" s="510"/>
      <c r="AM251" s="275"/>
      <c r="AN251" s="510"/>
    </row>
    <row r="252" spans="1:40" s="183" customFormat="1" ht="15" customHeight="1">
      <c r="A252" s="384" t="s">
        <v>812</v>
      </c>
      <c r="B252" s="381" t="s">
        <v>771</v>
      </c>
      <c r="C252" s="382">
        <v>159045</v>
      </c>
      <c r="D252" s="383">
        <v>14</v>
      </c>
      <c r="E252" s="275">
        <v>886</v>
      </c>
      <c r="F252" s="510">
        <v>886</v>
      </c>
      <c r="G252" s="275">
        <v>1438</v>
      </c>
      <c r="H252" s="510">
        <v>1438</v>
      </c>
      <c r="I252" s="275"/>
      <c r="J252" s="510"/>
      <c r="K252" s="275"/>
      <c r="L252" s="510"/>
      <c r="M252" s="275"/>
      <c r="N252" s="510"/>
      <c r="O252" s="275"/>
      <c r="P252" s="510"/>
      <c r="Q252" s="275"/>
      <c r="R252" s="510"/>
      <c r="S252" s="275"/>
      <c r="T252" s="510"/>
      <c r="U252" s="275"/>
      <c r="V252" s="510"/>
      <c r="W252" s="275"/>
      <c r="X252" s="510"/>
      <c r="Y252" s="275"/>
      <c r="Z252" s="510"/>
      <c r="AA252" s="275"/>
      <c r="AB252" s="510"/>
      <c r="AC252" s="275"/>
      <c r="AD252" s="510"/>
      <c r="AE252" s="275"/>
      <c r="AF252" s="510"/>
      <c r="AG252" s="275"/>
      <c r="AH252" s="510"/>
      <c r="AI252" s="275"/>
      <c r="AJ252" s="510"/>
      <c r="AK252" s="275"/>
      <c r="AL252" s="510"/>
      <c r="AM252" s="275"/>
      <c r="AN252" s="510"/>
    </row>
    <row r="253" spans="1:40" s="183" customFormat="1" ht="15" customHeight="1">
      <c r="A253" s="384" t="s">
        <v>812</v>
      </c>
      <c r="B253" s="381" t="s">
        <v>772</v>
      </c>
      <c r="C253" s="385">
        <v>159090</v>
      </c>
      <c r="D253" s="383">
        <v>14</v>
      </c>
      <c r="E253" s="275">
        <v>886</v>
      </c>
      <c r="F253" s="510">
        <v>886</v>
      </c>
      <c r="G253" s="275">
        <v>1438</v>
      </c>
      <c r="H253" s="510">
        <v>1438</v>
      </c>
      <c r="I253" s="275"/>
      <c r="J253" s="510"/>
      <c r="K253" s="275"/>
      <c r="L253" s="510"/>
      <c r="M253" s="275"/>
      <c r="N253" s="510"/>
      <c r="O253" s="275"/>
      <c r="P253" s="510"/>
      <c r="Q253" s="275"/>
      <c r="R253" s="510"/>
      <c r="S253" s="275"/>
      <c r="T253" s="510"/>
      <c r="U253" s="275"/>
      <c r="V253" s="510"/>
      <c r="W253" s="275"/>
      <c r="X253" s="510"/>
      <c r="Y253" s="275"/>
      <c r="Z253" s="510"/>
      <c r="AA253" s="275"/>
      <c r="AB253" s="510"/>
      <c r="AC253" s="275"/>
      <c r="AD253" s="510"/>
      <c r="AE253" s="275"/>
      <c r="AF253" s="510"/>
      <c r="AG253" s="275"/>
      <c r="AH253" s="510"/>
      <c r="AI253" s="275"/>
      <c r="AJ253" s="510"/>
      <c r="AK253" s="275"/>
      <c r="AL253" s="510"/>
      <c r="AM253" s="275"/>
      <c r="AN253" s="510"/>
    </row>
    <row r="254" spans="1:40" s="183" customFormat="1" ht="15" customHeight="1">
      <c r="A254" s="384" t="s">
        <v>812</v>
      </c>
      <c r="B254" s="381" t="s">
        <v>773</v>
      </c>
      <c r="C254" s="385">
        <v>159258</v>
      </c>
      <c r="D254" s="383">
        <v>14</v>
      </c>
      <c r="E254" s="275">
        <v>886</v>
      </c>
      <c r="F254" s="510">
        <v>886</v>
      </c>
      <c r="G254" s="275">
        <v>1438</v>
      </c>
      <c r="H254" s="510">
        <v>1438</v>
      </c>
      <c r="I254" s="275"/>
      <c r="J254" s="510"/>
      <c r="K254" s="275"/>
      <c r="L254" s="510"/>
      <c r="M254" s="275"/>
      <c r="N254" s="510"/>
      <c r="O254" s="275"/>
      <c r="P254" s="510"/>
      <c r="Q254" s="275"/>
      <c r="R254" s="510"/>
      <c r="S254" s="275"/>
      <c r="T254" s="510"/>
      <c r="U254" s="275"/>
      <c r="V254" s="510"/>
      <c r="W254" s="275"/>
      <c r="X254" s="510"/>
      <c r="Y254" s="275"/>
      <c r="Z254" s="510"/>
      <c r="AA254" s="275"/>
      <c r="AB254" s="510"/>
      <c r="AC254" s="275"/>
      <c r="AD254" s="510"/>
      <c r="AE254" s="275"/>
      <c r="AF254" s="510"/>
      <c r="AG254" s="275"/>
      <c r="AH254" s="510"/>
      <c r="AI254" s="275"/>
      <c r="AJ254" s="510"/>
      <c r="AK254" s="275"/>
      <c r="AL254" s="510"/>
      <c r="AM254" s="275"/>
      <c r="AN254" s="510"/>
    </row>
    <row r="255" spans="1:40" s="183" customFormat="1" ht="15" customHeight="1">
      <c r="A255" s="384" t="s">
        <v>812</v>
      </c>
      <c r="B255" s="381" t="s">
        <v>774</v>
      </c>
      <c r="C255" s="385">
        <v>160214</v>
      </c>
      <c r="D255" s="383">
        <v>14</v>
      </c>
      <c r="E255" s="275">
        <v>886</v>
      </c>
      <c r="F255" s="510">
        <v>886</v>
      </c>
      <c r="G255" s="275">
        <v>1438</v>
      </c>
      <c r="H255" s="510">
        <v>1438</v>
      </c>
      <c r="I255" s="275"/>
      <c r="J255" s="510"/>
      <c r="K255" s="275"/>
      <c r="L255" s="510"/>
      <c r="M255" s="275"/>
      <c r="N255" s="510"/>
      <c r="O255" s="275"/>
      <c r="P255" s="510"/>
      <c r="Q255" s="275"/>
      <c r="R255" s="510"/>
      <c r="S255" s="275"/>
      <c r="T255" s="510"/>
      <c r="U255" s="275"/>
      <c r="V255" s="510"/>
      <c r="W255" s="275"/>
      <c r="X255" s="510"/>
      <c r="Y255" s="275"/>
      <c r="Z255" s="510"/>
      <c r="AA255" s="275"/>
      <c r="AB255" s="510"/>
      <c r="AC255" s="275"/>
      <c r="AD255" s="510"/>
      <c r="AE255" s="275"/>
      <c r="AF255" s="510"/>
      <c r="AG255" s="275"/>
      <c r="AH255" s="510"/>
      <c r="AI255" s="275"/>
      <c r="AJ255" s="510"/>
      <c r="AK255" s="275"/>
      <c r="AL255" s="510"/>
      <c r="AM255" s="275"/>
      <c r="AN255" s="510"/>
    </row>
    <row r="256" spans="1:40" s="183" customFormat="1" ht="15" customHeight="1">
      <c r="A256" s="384" t="s">
        <v>812</v>
      </c>
      <c r="B256" s="381" t="s">
        <v>775</v>
      </c>
      <c r="C256" s="385">
        <v>159443</v>
      </c>
      <c r="D256" s="383">
        <v>14</v>
      </c>
      <c r="E256" s="275">
        <v>886</v>
      </c>
      <c r="F256" s="510">
        <v>886</v>
      </c>
      <c r="G256" s="275">
        <v>1438</v>
      </c>
      <c r="H256" s="510">
        <v>1438</v>
      </c>
      <c r="I256" s="275"/>
      <c r="J256" s="510"/>
      <c r="K256" s="275"/>
      <c r="L256" s="510"/>
      <c r="M256" s="275"/>
      <c r="N256" s="510"/>
      <c r="O256" s="275"/>
      <c r="P256" s="510"/>
      <c r="Q256" s="275"/>
      <c r="R256" s="510"/>
      <c r="S256" s="275"/>
      <c r="T256" s="510"/>
      <c r="U256" s="275"/>
      <c r="V256" s="510"/>
      <c r="W256" s="275"/>
      <c r="X256" s="510"/>
      <c r="Y256" s="275"/>
      <c r="Z256" s="510"/>
      <c r="AA256" s="275"/>
      <c r="AB256" s="510"/>
      <c r="AC256" s="275"/>
      <c r="AD256" s="510"/>
      <c r="AE256" s="275"/>
      <c r="AF256" s="510"/>
      <c r="AG256" s="275"/>
      <c r="AH256" s="510"/>
      <c r="AI256" s="275"/>
      <c r="AJ256" s="510"/>
      <c r="AK256" s="275"/>
      <c r="AL256" s="510"/>
      <c r="AM256" s="275"/>
      <c r="AN256" s="510"/>
    </row>
    <row r="257" spans="1:40" s="183" customFormat="1" ht="15" customHeight="1">
      <c r="A257" s="384" t="s">
        <v>812</v>
      </c>
      <c r="B257" s="381" t="s">
        <v>776</v>
      </c>
      <c r="C257" s="385">
        <v>160719</v>
      </c>
      <c r="D257" s="383">
        <v>14</v>
      </c>
      <c r="E257" s="275">
        <v>886</v>
      </c>
      <c r="F257" s="510">
        <v>886</v>
      </c>
      <c r="G257" s="275">
        <v>1438</v>
      </c>
      <c r="H257" s="510">
        <v>1438</v>
      </c>
      <c r="I257" s="275"/>
      <c r="J257" s="510"/>
      <c r="K257" s="275"/>
      <c r="L257" s="510"/>
      <c r="M257" s="275"/>
      <c r="N257" s="510"/>
      <c r="O257" s="275"/>
      <c r="P257" s="510"/>
      <c r="Q257" s="275"/>
      <c r="R257" s="510"/>
      <c r="S257" s="275"/>
      <c r="T257" s="510"/>
      <c r="U257" s="275"/>
      <c r="V257" s="510"/>
      <c r="W257" s="275"/>
      <c r="X257" s="510"/>
      <c r="Y257" s="275"/>
      <c r="Z257" s="510"/>
      <c r="AA257" s="275"/>
      <c r="AB257" s="510"/>
      <c r="AC257" s="275"/>
      <c r="AD257" s="510"/>
      <c r="AE257" s="275"/>
      <c r="AF257" s="510"/>
      <c r="AG257" s="275"/>
      <c r="AH257" s="510"/>
      <c r="AI257" s="275"/>
      <c r="AJ257" s="510"/>
      <c r="AK257" s="275"/>
      <c r="AL257" s="510"/>
      <c r="AM257" s="275"/>
      <c r="AN257" s="510"/>
    </row>
    <row r="258" spans="1:40" s="183" customFormat="1" ht="15" customHeight="1">
      <c r="A258" s="384" t="s">
        <v>812</v>
      </c>
      <c r="B258" s="381" t="s">
        <v>735</v>
      </c>
      <c r="C258" s="385">
        <v>160843</v>
      </c>
      <c r="D258" s="383">
        <v>14</v>
      </c>
      <c r="E258" s="275">
        <v>886</v>
      </c>
      <c r="F258" s="510">
        <v>886</v>
      </c>
      <c r="G258" s="275">
        <v>1438</v>
      </c>
      <c r="H258" s="510">
        <v>1438</v>
      </c>
      <c r="I258" s="275"/>
      <c r="J258" s="510"/>
      <c r="K258" s="275"/>
      <c r="L258" s="510"/>
      <c r="M258" s="275"/>
      <c r="N258" s="510"/>
      <c r="O258" s="275"/>
      <c r="P258" s="510"/>
      <c r="Q258" s="275"/>
      <c r="R258" s="510"/>
      <c r="S258" s="275"/>
      <c r="T258" s="510"/>
      <c r="U258" s="275"/>
      <c r="V258" s="510"/>
      <c r="W258" s="275"/>
      <c r="X258" s="510"/>
      <c r="Y258" s="275"/>
      <c r="Z258" s="510"/>
      <c r="AA258" s="275"/>
      <c r="AB258" s="510"/>
      <c r="AC258" s="275"/>
      <c r="AD258" s="510"/>
      <c r="AE258" s="275"/>
      <c r="AF258" s="510"/>
      <c r="AG258" s="275"/>
      <c r="AH258" s="510"/>
      <c r="AI258" s="275"/>
      <c r="AJ258" s="510"/>
      <c r="AK258" s="275"/>
      <c r="AL258" s="510"/>
      <c r="AM258" s="275"/>
      <c r="AN258" s="510"/>
    </row>
    <row r="259" spans="1:40" s="183" customFormat="1" ht="15" customHeight="1">
      <c r="A259" s="384" t="s">
        <v>812</v>
      </c>
      <c r="B259" s="381" t="s">
        <v>736</v>
      </c>
      <c r="C259" s="385">
        <v>159692</v>
      </c>
      <c r="D259" s="383">
        <v>14</v>
      </c>
      <c r="E259" s="275">
        <v>886</v>
      </c>
      <c r="F259" s="510">
        <v>886</v>
      </c>
      <c r="G259" s="275">
        <v>1438</v>
      </c>
      <c r="H259" s="510">
        <v>1438</v>
      </c>
      <c r="I259" s="275"/>
      <c r="J259" s="510"/>
      <c r="K259" s="275"/>
      <c r="L259" s="510"/>
      <c r="M259" s="275"/>
      <c r="N259" s="510"/>
      <c r="O259" s="275"/>
      <c r="P259" s="510"/>
      <c r="Q259" s="275"/>
      <c r="R259" s="510"/>
      <c r="S259" s="275"/>
      <c r="T259" s="510"/>
      <c r="U259" s="275"/>
      <c r="V259" s="510"/>
      <c r="W259" s="275"/>
      <c r="X259" s="510"/>
      <c r="Y259" s="275"/>
      <c r="Z259" s="510"/>
      <c r="AA259" s="275"/>
      <c r="AB259" s="510"/>
      <c r="AC259" s="275"/>
      <c r="AD259" s="510"/>
      <c r="AE259" s="275"/>
      <c r="AF259" s="510"/>
      <c r="AG259" s="275"/>
      <c r="AH259" s="510"/>
      <c r="AI259" s="275"/>
      <c r="AJ259" s="510"/>
      <c r="AK259" s="275"/>
      <c r="AL259" s="510"/>
      <c r="AM259" s="275"/>
      <c r="AN259" s="510"/>
    </row>
    <row r="260" spans="1:40" s="183" customFormat="1" ht="15" customHeight="1">
      <c r="A260" s="384" t="s">
        <v>812</v>
      </c>
      <c r="B260" s="381" t="s">
        <v>737</v>
      </c>
      <c r="C260" s="382">
        <v>159249</v>
      </c>
      <c r="D260" s="383">
        <v>14</v>
      </c>
      <c r="E260" s="275">
        <v>886</v>
      </c>
      <c r="F260" s="510">
        <v>886</v>
      </c>
      <c r="G260" s="275">
        <v>1438</v>
      </c>
      <c r="H260" s="510">
        <v>1438</v>
      </c>
      <c r="I260" s="275"/>
      <c r="J260" s="510"/>
      <c r="K260" s="275"/>
      <c r="L260" s="510"/>
      <c r="M260" s="275"/>
      <c r="N260" s="510"/>
      <c r="O260" s="275"/>
      <c r="P260" s="510"/>
      <c r="Q260" s="275"/>
      <c r="R260" s="510"/>
      <c r="S260" s="275"/>
      <c r="T260" s="510"/>
      <c r="U260" s="275"/>
      <c r="V260" s="510"/>
      <c r="W260" s="275"/>
      <c r="X260" s="510"/>
      <c r="Y260" s="275"/>
      <c r="Z260" s="510"/>
      <c r="AA260" s="275"/>
      <c r="AB260" s="510"/>
      <c r="AC260" s="275"/>
      <c r="AD260" s="510"/>
      <c r="AE260" s="275"/>
      <c r="AF260" s="510"/>
      <c r="AG260" s="275"/>
      <c r="AH260" s="510"/>
      <c r="AI260" s="275"/>
      <c r="AJ260" s="510"/>
      <c r="AK260" s="275"/>
      <c r="AL260" s="510"/>
      <c r="AM260" s="275"/>
      <c r="AN260" s="510"/>
    </row>
    <row r="261" spans="1:40" s="183" customFormat="1" ht="15" customHeight="1">
      <c r="A261" s="384" t="s">
        <v>812</v>
      </c>
      <c r="B261" s="384" t="s">
        <v>738</v>
      </c>
      <c r="C261" s="387">
        <v>159823</v>
      </c>
      <c r="D261" s="386">
        <v>14</v>
      </c>
      <c r="E261" s="275">
        <v>886</v>
      </c>
      <c r="F261" s="510">
        <v>886</v>
      </c>
      <c r="G261" s="275">
        <v>1438</v>
      </c>
      <c r="H261" s="510">
        <v>1438</v>
      </c>
      <c r="I261" s="275"/>
      <c r="J261" s="510"/>
      <c r="K261" s="275"/>
      <c r="L261" s="510"/>
      <c r="M261" s="275"/>
      <c r="N261" s="510"/>
      <c r="O261" s="275"/>
      <c r="P261" s="510"/>
      <c r="Q261" s="275"/>
      <c r="R261" s="510"/>
      <c r="S261" s="275"/>
      <c r="T261" s="510"/>
      <c r="U261" s="275"/>
      <c r="V261" s="510"/>
      <c r="W261" s="275"/>
      <c r="X261" s="510"/>
      <c r="Y261" s="275"/>
      <c r="Z261" s="510"/>
      <c r="AA261" s="275"/>
      <c r="AB261" s="510"/>
      <c r="AC261" s="275"/>
      <c r="AD261" s="510"/>
      <c r="AE261" s="275"/>
      <c r="AF261" s="510"/>
      <c r="AG261" s="275"/>
      <c r="AH261" s="510"/>
      <c r="AI261" s="275"/>
      <c r="AJ261" s="510"/>
      <c r="AK261" s="275"/>
      <c r="AL261" s="510"/>
      <c r="AM261" s="275"/>
      <c r="AN261" s="510"/>
    </row>
    <row r="262" spans="1:40" s="183" customFormat="1" ht="15" customHeight="1">
      <c r="A262" s="384" t="s">
        <v>812</v>
      </c>
      <c r="B262" s="381" t="s">
        <v>739</v>
      </c>
      <c r="C262" s="385">
        <v>159984</v>
      </c>
      <c r="D262" s="383">
        <v>14</v>
      </c>
      <c r="E262" s="275">
        <v>886</v>
      </c>
      <c r="F262" s="510">
        <v>886</v>
      </c>
      <c r="G262" s="275">
        <v>1438</v>
      </c>
      <c r="H262" s="510">
        <v>1438</v>
      </c>
      <c r="I262" s="275"/>
      <c r="J262" s="510"/>
      <c r="K262" s="275"/>
      <c r="L262" s="510"/>
      <c r="M262" s="275"/>
      <c r="N262" s="510"/>
      <c r="O262" s="275"/>
      <c r="P262" s="510"/>
      <c r="Q262" s="275"/>
      <c r="R262" s="510"/>
      <c r="S262" s="275"/>
      <c r="T262" s="510"/>
      <c r="U262" s="275"/>
      <c r="V262" s="510"/>
      <c r="W262" s="275"/>
      <c r="X262" s="510"/>
      <c r="Y262" s="275"/>
      <c r="Z262" s="510"/>
      <c r="AA262" s="275"/>
      <c r="AB262" s="510"/>
      <c r="AC262" s="275"/>
      <c r="AD262" s="510"/>
      <c r="AE262" s="275"/>
      <c r="AF262" s="510"/>
      <c r="AG262" s="275"/>
      <c r="AH262" s="510"/>
      <c r="AI262" s="275"/>
      <c r="AJ262" s="510"/>
      <c r="AK262" s="275"/>
      <c r="AL262" s="510"/>
      <c r="AM262" s="275"/>
      <c r="AN262" s="510"/>
    </row>
    <row r="263" spans="1:40" s="183" customFormat="1" ht="15" customHeight="1">
      <c r="A263" s="384" t="s">
        <v>812</v>
      </c>
      <c r="B263" s="381" t="s">
        <v>740</v>
      </c>
      <c r="C263" s="385">
        <v>160001</v>
      </c>
      <c r="D263" s="383">
        <v>14</v>
      </c>
      <c r="E263" s="275">
        <v>886</v>
      </c>
      <c r="F263" s="510">
        <v>886</v>
      </c>
      <c r="G263" s="275">
        <v>1438</v>
      </c>
      <c r="H263" s="510">
        <v>1438</v>
      </c>
      <c r="I263" s="275"/>
      <c r="J263" s="510"/>
      <c r="K263" s="275"/>
      <c r="L263" s="510"/>
      <c r="M263" s="275"/>
      <c r="N263" s="510"/>
      <c r="O263" s="275"/>
      <c r="P263" s="510"/>
      <c r="Q263" s="275"/>
      <c r="R263" s="510"/>
      <c r="S263" s="275"/>
      <c r="T263" s="510"/>
      <c r="U263" s="275"/>
      <c r="V263" s="510"/>
      <c r="W263" s="275"/>
      <c r="X263" s="510"/>
      <c r="Y263" s="275"/>
      <c r="Z263" s="510"/>
      <c r="AA263" s="275"/>
      <c r="AB263" s="510"/>
      <c r="AC263" s="275"/>
      <c r="AD263" s="510"/>
      <c r="AE263" s="275"/>
      <c r="AF263" s="510"/>
      <c r="AG263" s="275"/>
      <c r="AH263" s="510"/>
      <c r="AI263" s="275"/>
      <c r="AJ263" s="510"/>
      <c r="AK263" s="275"/>
      <c r="AL263" s="510"/>
      <c r="AM263" s="275"/>
      <c r="AN263" s="510"/>
    </row>
    <row r="264" spans="1:40" s="183" customFormat="1" ht="15" customHeight="1">
      <c r="A264" s="384" t="s">
        <v>812</v>
      </c>
      <c r="B264" s="381" t="s">
        <v>741</v>
      </c>
      <c r="C264" s="385">
        <v>160010</v>
      </c>
      <c r="D264" s="383">
        <v>14</v>
      </c>
      <c r="E264" s="275">
        <v>886</v>
      </c>
      <c r="F264" s="510">
        <v>886</v>
      </c>
      <c r="G264" s="275">
        <v>1438</v>
      </c>
      <c r="H264" s="510">
        <v>1438</v>
      </c>
      <c r="I264" s="275"/>
      <c r="J264" s="510"/>
      <c r="K264" s="275"/>
      <c r="L264" s="510"/>
      <c r="M264" s="275"/>
      <c r="N264" s="510"/>
      <c r="O264" s="275"/>
      <c r="P264" s="510"/>
      <c r="Q264" s="275"/>
      <c r="R264" s="510"/>
      <c r="S264" s="275"/>
      <c r="T264" s="510"/>
      <c r="U264" s="275"/>
      <c r="V264" s="510"/>
      <c r="W264" s="275"/>
      <c r="X264" s="510"/>
      <c r="Y264" s="275"/>
      <c r="Z264" s="510"/>
      <c r="AA264" s="275"/>
      <c r="AB264" s="510"/>
      <c r="AC264" s="275"/>
      <c r="AD264" s="510"/>
      <c r="AE264" s="275"/>
      <c r="AF264" s="510"/>
      <c r="AG264" s="275"/>
      <c r="AH264" s="510"/>
      <c r="AI264" s="275"/>
      <c r="AJ264" s="510"/>
      <c r="AK264" s="275"/>
      <c r="AL264" s="510"/>
      <c r="AM264" s="275"/>
      <c r="AN264" s="510"/>
    </row>
    <row r="265" spans="1:40" s="183" customFormat="1" ht="15" customHeight="1">
      <c r="A265" s="384" t="s">
        <v>812</v>
      </c>
      <c r="B265" s="381" t="s">
        <v>742</v>
      </c>
      <c r="C265" s="385">
        <v>160047</v>
      </c>
      <c r="D265" s="383">
        <v>14</v>
      </c>
      <c r="E265" s="275">
        <v>886</v>
      </c>
      <c r="F265" s="510">
        <v>886</v>
      </c>
      <c r="G265" s="275">
        <v>1438</v>
      </c>
      <c r="H265" s="510">
        <v>1438</v>
      </c>
      <c r="I265" s="275"/>
      <c r="J265" s="510"/>
      <c r="K265" s="275"/>
      <c r="L265" s="510"/>
      <c r="M265" s="275"/>
      <c r="N265" s="510"/>
      <c r="O265" s="275"/>
      <c r="P265" s="510"/>
      <c r="Q265" s="275"/>
      <c r="R265" s="510"/>
      <c r="S265" s="275"/>
      <c r="T265" s="510"/>
      <c r="U265" s="275"/>
      <c r="V265" s="510"/>
      <c r="W265" s="275"/>
      <c r="X265" s="510"/>
      <c r="Y265" s="275"/>
      <c r="Z265" s="510"/>
      <c r="AA265" s="275"/>
      <c r="AB265" s="510"/>
      <c r="AC265" s="275"/>
      <c r="AD265" s="510"/>
      <c r="AE265" s="275"/>
      <c r="AF265" s="510"/>
      <c r="AG265" s="275"/>
      <c r="AH265" s="510"/>
      <c r="AI265" s="275"/>
      <c r="AJ265" s="510"/>
      <c r="AK265" s="275"/>
      <c r="AL265" s="510"/>
      <c r="AM265" s="275"/>
      <c r="AN265" s="510"/>
    </row>
    <row r="266" spans="1:40" s="183" customFormat="1" ht="15" customHeight="1">
      <c r="A266" s="384" t="s">
        <v>812</v>
      </c>
      <c r="B266" s="381" t="s">
        <v>743</v>
      </c>
      <c r="C266" s="385">
        <v>160311</v>
      </c>
      <c r="D266" s="383">
        <v>14</v>
      </c>
      <c r="E266" s="275">
        <v>886</v>
      </c>
      <c r="F266" s="510">
        <v>886</v>
      </c>
      <c r="G266" s="275">
        <v>1438</v>
      </c>
      <c r="H266" s="510">
        <v>1438</v>
      </c>
      <c r="I266" s="275"/>
      <c r="J266" s="510"/>
      <c r="K266" s="275"/>
      <c r="L266" s="510"/>
      <c r="M266" s="275"/>
      <c r="N266" s="510"/>
      <c r="O266" s="275"/>
      <c r="P266" s="510"/>
      <c r="Q266" s="275"/>
      <c r="R266" s="510"/>
      <c r="S266" s="275"/>
      <c r="T266" s="510"/>
      <c r="U266" s="275"/>
      <c r="V266" s="510"/>
      <c r="W266" s="275"/>
      <c r="X266" s="510"/>
      <c r="Y266" s="275"/>
      <c r="Z266" s="510"/>
      <c r="AA266" s="275"/>
      <c r="AB266" s="510"/>
      <c r="AC266" s="275"/>
      <c r="AD266" s="510"/>
      <c r="AE266" s="275"/>
      <c r="AF266" s="510"/>
      <c r="AG266" s="275"/>
      <c r="AH266" s="510"/>
      <c r="AI266" s="275"/>
      <c r="AJ266" s="510"/>
      <c r="AK266" s="275"/>
      <c r="AL266" s="510"/>
      <c r="AM266" s="275"/>
      <c r="AN266" s="510"/>
    </row>
    <row r="267" spans="1:40" s="183" customFormat="1" ht="15" customHeight="1">
      <c r="A267" s="384" t="s">
        <v>812</v>
      </c>
      <c r="B267" s="381" t="s">
        <v>744</v>
      </c>
      <c r="C267" s="385">
        <v>160366</v>
      </c>
      <c r="D267" s="383">
        <v>14</v>
      </c>
      <c r="E267" s="275">
        <v>886</v>
      </c>
      <c r="F267" s="510">
        <v>886</v>
      </c>
      <c r="G267" s="275">
        <v>1438</v>
      </c>
      <c r="H267" s="510">
        <v>1438</v>
      </c>
      <c r="I267" s="275"/>
      <c r="J267" s="510"/>
      <c r="K267" s="275"/>
      <c r="L267" s="510"/>
      <c r="M267" s="275"/>
      <c r="N267" s="510"/>
      <c r="O267" s="275"/>
      <c r="P267" s="510"/>
      <c r="Q267" s="275"/>
      <c r="R267" s="510"/>
      <c r="S267" s="275"/>
      <c r="T267" s="510"/>
      <c r="U267" s="275"/>
      <c r="V267" s="510"/>
      <c r="W267" s="275"/>
      <c r="X267" s="510"/>
      <c r="Y267" s="275"/>
      <c r="Z267" s="510"/>
      <c r="AA267" s="275"/>
      <c r="AB267" s="510"/>
      <c r="AC267" s="275"/>
      <c r="AD267" s="510"/>
      <c r="AE267" s="275"/>
      <c r="AF267" s="510"/>
      <c r="AG267" s="275"/>
      <c r="AH267" s="510"/>
      <c r="AI267" s="275"/>
      <c r="AJ267" s="510"/>
      <c r="AK267" s="275"/>
      <c r="AL267" s="510"/>
      <c r="AM267" s="275"/>
      <c r="AN267" s="510"/>
    </row>
    <row r="268" spans="1:40" s="183" customFormat="1" ht="15" customHeight="1">
      <c r="A268" s="384" t="s">
        <v>812</v>
      </c>
      <c r="B268" s="381" t="s">
        <v>745</v>
      </c>
      <c r="C268" s="385">
        <v>160384</v>
      </c>
      <c r="D268" s="383">
        <v>14</v>
      </c>
      <c r="E268" s="275">
        <v>886</v>
      </c>
      <c r="F268" s="510">
        <v>886</v>
      </c>
      <c r="G268" s="275">
        <v>1438</v>
      </c>
      <c r="H268" s="510">
        <v>1438</v>
      </c>
      <c r="I268" s="275"/>
      <c r="J268" s="510"/>
      <c r="K268" s="275"/>
      <c r="L268" s="510"/>
      <c r="M268" s="275"/>
      <c r="N268" s="510"/>
      <c r="O268" s="275"/>
      <c r="P268" s="510"/>
      <c r="Q268" s="275"/>
      <c r="R268" s="510"/>
      <c r="S268" s="275"/>
      <c r="T268" s="510"/>
      <c r="U268" s="275"/>
      <c r="V268" s="510"/>
      <c r="W268" s="275"/>
      <c r="X268" s="510"/>
      <c r="Y268" s="275"/>
      <c r="Z268" s="510"/>
      <c r="AA268" s="275"/>
      <c r="AB268" s="510"/>
      <c r="AC268" s="275"/>
      <c r="AD268" s="510"/>
      <c r="AE268" s="275"/>
      <c r="AF268" s="510"/>
      <c r="AG268" s="275"/>
      <c r="AH268" s="510"/>
      <c r="AI268" s="275"/>
      <c r="AJ268" s="510"/>
      <c r="AK268" s="275"/>
      <c r="AL268" s="510"/>
      <c r="AM268" s="275"/>
      <c r="AN268" s="510"/>
    </row>
    <row r="269" spans="1:40" s="183" customFormat="1" ht="15" customHeight="1">
      <c r="A269" s="384" t="s">
        <v>812</v>
      </c>
      <c r="B269" s="381" t="s">
        <v>746</v>
      </c>
      <c r="C269" s="385">
        <v>158583</v>
      </c>
      <c r="D269" s="383">
        <v>14</v>
      </c>
      <c r="E269" s="275">
        <v>886</v>
      </c>
      <c r="F269" s="510">
        <v>886</v>
      </c>
      <c r="G269" s="275">
        <v>1438</v>
      </c>
      <c r="H269" s="510">
        <v>1438</v>
      </c>
      <c r="I269" s="275"/>
      <c r="J269" s="510"/>
      <c r="K269" s="275"/>
      <c r="L269" s="510"/>
      <c r="M269" s="275"/>
      <c r="N269" s="510"/>
      <c r="O269" s="275"/>
      <c r="P269" s="510"/>
      <c r="Q269" s="275"/>
      <c r="R269" s="510"/>
      <c r="S269" s="275"/>
      <c r="T269" s="510"/>
      <c r="U269" s="275"/>
      <c r="V269" s="510"/>
      <c r="W269" s="275"/>
      <c r="X269" s="510"/>
      <c r="Y269" s="275"/>
      <c r="Z269" s="510"/>
      <c r="AA269" s="275"/>
      <c r="AB269" s="510"/>
      <c r="AC269" s="275"/>
      <c r="AD269" s="510"/>
      <c r="AE269" s="275"/>
      <c r="AF269" s="510"/>
      <c r="AG269" s="275"/>
      <c r="AH269" s="510"/>
      <c r="AI269" s="275"/>
      <c r="AJ269" s="510"/>
      <c r="AK269" s="275"/>
      <c r="AL269" s="510"/>
      <c r="AM269" s="275"/>
      <c r="AN269" s="510"/>
    </row>
    <row r="270" spans="1:40" s="183" customFormat="1" ht="15" customHeight="1">
      <c r="A270" s="384" t="s">
        <v>812</v>
      </c>
      <c r="B270" s="381" t="s">
        <v>212</v>
      </c>
      <c r="C270" s="385">
        <v>160427</v>
      </c>
      <c r="D270" s="383">
        <v>14</v>
      </c>
      <c r="E270" s="275">
        <v>886</v>
      </c>
      <c r="F270" s="510">
        <v>886</v>
      </c>
      <c r="G270" s="275">
        <v>1438</v>
      </c>
      <c r="H270" s="510">
        <v>1438</v>
      </c>
      <c r="I270" s="275"/>
      <c r="J270" s="510"/>
      <c r="K270" s="275"/>
      <c r="L270" s="510"/>
      <c r="M270" s="275"/>
      <c r="N270" s="510"/>
      <c r="O270" s="275"/>
      <c r="P270" s="510"/>
      <c r="Q270" s="275"/>
      <c r="R270" s="510"/>
      <c r="S270" s="275"/>
      <c r="T270" s="510"/>
      <c r="U270" s="275"/>
      <c r="V270" s="510"/>
      <c r="W270" s="275"/>
      <c r="X270" s="510"/>
      <c r="Y270" s="275"/>
      <c r="Z270" s="510"/>
      <c r="AA270" s="275"/>
      <c r="AB270" s="510"/>
      <c r="AC270" s="275"/>
      <c r="AD270" s="510"/>
      <c r="AE270" s="275"/>
      <c r="AF270" s="510"/>
      <c r="AG270" s="275"/>
      <c r="AH270" s="510"/>
      <c r="AI270" s="275"/>
      <c r="AJ270" s="510"/>
      <c r="AK270" s="275"/>
      <c r="AL270" s="510"/>
      <c r="AM270" s="275"/>
      <c r="AN270" s="510"/>
    </row>
    <row r="271" spans="1:40" s="183" customFormat="1" ht="15" customHeight="1">
      <c r="A271" s="384" t="s">
        <v>812</v>
      </c>
      <c r="B271" s="381" t="s">
        <v>213</v>
      </c>
      <c r="C271" s="385">
        <v>160436</v>
      </c>
      <c r="D271" s="383">
        <v>14</v>
      </c>
      <c r="E271" s="275">
        <v>886</v>
      </c>
      <c r="F271" s="510">
        <v>886</v>
      </c>
      <c r="G271" s="275">
        <v>1438</v>
      </c>
      <c r="H271" s="510">
        <v>1438</v>
      </c>
      <c r="I271" s="275"/>
      <c r="J271" s="510"/>
      <c r="K271" s="275"/>
      <c r="L271" s="510"/>
      <c r="M271" s="275"/>
      <c r="N271" s="510"/>
      <c r="O271" s="275"/>
      <c r="P271" s="510"/>
      <c r="Q271" s="275"/>
      <c r="R271" s="510"/>
      <c r="S271" s="275"/>
      <c r="T271" s="510"/>
      <c r="U271" s="275"/>
      <c r="V271" s="510"/>
      <c r="W271" s="275"/>
      <c r="X271" s="510"/>
      <c r="Y271" s="275"/>
      <c r="Z271" s="510"/>
      <c r="AA271" s="275"/>
      <c r="AB271" s="510"/>
      <c r="AC271" s="275"/>
      <c r="AD271" s="510"/>
      <c r="AE271" s="275"/>
      <c r="AF271" s="510"/>
      <c r="AG271" s="275"/>
      <c r="AH271" s="510"/>
      <c r="AI271" s="275"/>
      <c r="AJ271" s="510"/>
      <c r="AK271" s="275"/>
      <c r="AL271" s="510"/>
      <c r="AM271" s="275"/>
      <c r="AN271" s="510"/>
    </row>
    <row r="272" spans="1:40" s="183" customFormat="1" ht="15" customHeight="1">
      <c r="A272" s="384" t="s">
        <v>812</v>
      </c>
      <c r="B272" s="381" t="s">
        <v>214</v>
      </c>
      <c r="C272" s="385">
        <v>160454</v>
      </c>
      <c r="D272" s="383">
        <v>14</v>
      </c>
      <c r="E272" s="275">
        <v>886</v>
      </c>
      <c r="F272" s="510">
        <v>886</v>
      </c>
      <c r="G272" s="275">
        <v>1438</v>
      </c>
      <c r="H272" s="510">
        <v>1438</v>
      </c>
      <c r="I272" s="275"/>
      <c r="J272" s="510"/>
      <c r="K272" s="275"/>
      <c r="L272" s="510"/>
      <c r="M272" s="275"/>
      <c r="N272" s="510"/>
      <c r="O272" s="275"/>
      <c r="P272" s="510"/>
      <c r="Q272" s="275"/>
      <c r="R272" s="510"/>
      <c r="S272" s="275"/>
      <c r="T272" s="510"/>
      <c r="U272" s="275"/>
      <c r="V272" s="510"/>
      <c r="W272" s="275"/>
      <c r="X272" s="510"/>
      <c r="Y272" s="275"/>
      <c r="Z272" s="510"/>
      <c r="AA272" s="275"/>
      <c r="AB272" s="510"/>
      <c r="AC272" s="275"/>
      <c r="AD272" s="510"/>
      <c r="AE272" s="275"/>
      <c r="AF272" s="510"/>
      <c r="AG272" s="275"/>
      <c r="AH272" s="510"/>
      <c r="AI272" s="275"/>
      <c r="AJ272" s="510"/>
      <c r="AK272" s="275"/>
      <c r="AL272" s="510"/>
      <c r="AM272" s="275"/>
      <c r="AN272" s="510"/>
    </row>
    <row r="273" spans="1:40" s="183" customFormat="1" ht="15" customHeight="1">
      <c r="A273" s="384" t="s">
        <v>812</v>
      </c>
      <c r="B273" s="381" t="s">
        <v>215</v>
      </c>
      <c r="C273" s="385">
        <v>160667</v>
      </c>
      <c r="D273" s="383">
        <v>14</v>
      </c>
      <c r="E273" s="275">
        <v>886</v>
      </c>
      <c r="F273" s="510">
        <v>886</v>
      </c>
      <c r="G273" s="275">
        <v>1438</v>
      </c>
      <c r="H273" s="510">
        <v>1438</v>
      </c>
      <c r="I273" s="275"/>
      <c r="J273" s="510"/>
      <c r="K273" s="275"/>
      <c r="L273" s="510"/>
      <c r="M273" s="275"/>
      <c r="N273" s="510"/>
      <c r="O273" s="275"/>
      <c r="P273" s="510"/>
      <c r="Q273" s="275"/>
      <c r="R273" s="510"/>
      <c r="S273" s="275"/>
      <c r="T273" s="510"/>
      <c r="U273" s="275"/>
      <c r="V273" s="510"/>
      <c r="W273" s="275"/>
      <c r="X273" s="510"/>
      <c r="Y273" s="275"/>
      <c r="Z273" s="510"/>
      <c r="AA273" s="275"/>
      <c r="AB273" s="510"/>
      <c r="AC273" s="275"/>
      <c r="AD273" s="510"/>
      <c r="AE273" s="275"/>
      <c r="AF273" s="510"/>
      <c r="AG273" s="275"/>
      <c r="AH273" s="510"/>
      <c r="AI273" s="275"/>
      <c r="AJ273" s="510"/>
      <c r="AK273" s="275"/>
      <c r="AL273" s="510"/>
      <c r="AM273" s="275"/>
      <c r="AN273" s="510"/>
    </row>
    <row r="274" spans="1:40" s="183" customFormat="1" ht="15" customHeight="1">
      <c r="A274" s="384" t="s">
        <v>812</v>
      </c>
      <c r="B274" s="381" t="s">
        <v>216</v>
      </c>
      <c r="C274" s="385">
        <v>160676</v>
      </c>
      <c r="D274" s="383">
        <v>14</v>
      </c>
      <c r="E274" s="275">
        <v>886</v>
      </c>
      <c r="F274" s="510">
        <v>886</v>
      </c>
      <c r="G274" s="275">
        <v>1438</v>
      </c>
      <c r="H274" s="510">
        <v>1438</v>
      </c>
      <c r="I274" s="275"/>
      <c r="J274" s="510"/>
      <c r="K274" s="275"/>
      <c r="L274" s="510"/>
      <c r="M274" s="275"/>
      <c r="N274" s="510"/>
      <c r="O274" s="275"/>
      <c r="P274" s="510"/>
      <c r="Q274" s="275"/>
      <c r="R274" s="510"/>
      <c r="S274" s="275"/>
      <c r="T274" s="510"/>
      <c r="U274" s="275"/>
      <c r="V274" s="510"/>
      <c r="W274" s="275"/>
      <c r="X274" s="510"/>
      <c r="Y274" s="275"/>
      <c r="Z274" s="510"/>
      <c r="AA274" s="275"/>
      <c r="AB274" s="510"/>
      <c r="AC274" s="275"/>
      <c r="AD274" s="510"/>
      <c r="AE274" s="275"/>
      <c r="AF274" s="510"/>
      <c r="AG274" s="275"/>
      <c r="AH274" s="510"/>
      <c r="AI274" s="275"/>
      <c r="AJ274" s="510"/>
      <c r="AK274" s="275"/>
      <c r="AL274" s="510"/>
      <c r="AM274" s="275"/>
      <c r="AN274" s="510"/>
    </row>
    <row r="275" spans="1:40" s="183" customFormat="1" ht="15" customHeight="1">
      <c r="A275" s="384" t="s">
        <v>812</v>
      </c>
      <c r="B275" s="381" t="s">
        <v>217</v>
      </c>
      <c r="C275" s="385">
        <v>160685</v>
      </c>
      <c r="D275" s="383">
        <v>14</v>
      </c>
      <c r="E275" s="275">
        <v>886</v>
      </c>
      <c r="F275" s="510">
        <v>886</v>
      </c>
      <c r="G275" s="275">
        <v>1438</v>
      </c>
      <c r="H275" s="510">
        <v>1438</v>
      </c>
      <c r="I275" s="275"/>
      <c r="J275" s="510"/>
      <c r="K275" s="275"/>
      <c r="L275" s="510"/>
      <c r="M275" s="275"/>
      <c r="N275" s="510"/>
      <c r="O275" s="275"/>
      <c r="P275" s="510"/>
      <c r="Q275" s="275"/>
      <c r="R275" s="510"/>
      <c r="S275" s="275"/>
      <c r="T275" s="510"/>
      <c r="U275" s="275"/>
      <c r="V275" s="510"/>
      <c r="W275" s="275"/>
      <c r="X275" s="510"/>
      <c r="Y275" s="275"/>
      <c r="Z275" s="510"/>
      <c r="AA275" s="275"/>
      <c r="AB275" s="510"/>
      <c r="AC275" s="275"/>
      <c r="AD275" s="510"/>
      <c r="AE275" s="275"/>
      <c r="AF275" s="510"/>
      <c r="AG275" s="275"/>
      <c r="AH275" s="510"/>
      <c r="AI275" s="275"/>
      <c r="AJ275" s="510"/>
      <c r="AK275" s="275"/>
      <c r="AL275" s="510"/>
      <c r="AM275" s="275"/>
      <c r="AN275" s="510"/>
    </row>
    <row r="276" spans="1:40" s="183" customFormat="1" ht="15" customHeight="1">
      <c r="A276" s="384" t="s">
        <v>812</v>
      </c>
      <c r="B276" s="381" t="s">
        <v>218</v>
      </c>
      <c r="C276" s="385">
        <v>160694</v>
      </c>
      <c r="D276" s="383">
        <v>14</v>
      </c>
      <c r="E276" s="275">
        <v>886</v>
      </c>
      <c r="F276" s="510">
        <v>886</v>
      </c>
      <c r="G276" s="275">
        <v>1438</v>
      </c>
      <c r="H276" s="510">
        <v>1438</v>
      </c>
      <c r="I276" s="275"/>
      <c r="J276" s="510"/>
      <c r="K276" s="275"/>
      <c r="L276" s="510"/>
      <c r="M276" s="275"/>
      <c r="N276" s="510"/>
      <c r="O276" s="275"/>
      <c r="P276" s="510"/>
      <c r="Q276" s="275"/>
      <c r="R276" s="510"/>
      <c r="S276" s="275"/>
      <c r="T276" s="510"/>
      <c r="U276" s="275"/>
      <c r="V276" s="510"/>
      <c r="W276" s="275"/>
      <c r="X276" s="510"/>
      <c r="Y276" s="275"/>
      <c r="Z276" s="510"/>
      <c r="AA276" s="275"/>
      <c r="AB276" s="510"/>
      <c r="AC276" s="275"/>
      <c r="AD276" s="510"/>
      <c r="AE276" s="275"/>
      <c r="AF276" s="510"/>
      <c r="AG276" s="275"/>
      <c r="AH276" s="510"/>
      <c r="AI276" s="275"/>
      <c r="AJ276" s="510"/>
      <c r="AK276" s="275"/>
      <c r="AL276" s="510"/>
      <c r="AM276" s="275"/>
      <c r="AN276" s="510"/>
    </row>
    <row r="277" spans="1:40" s="183" customFormat="1" ht="15" customHeight="1">
      <c r="A277" s="384" t="s">
        <v>812</v>
      </c>
      <c r="B277" s="381" t="s">
        <v>219</v>
      </c>
      <c r="C277" s="385">
        <v>159267</v>
      </c>
      <c r="D277" s="383">
        <v>14</v>
      </c>
      <c r="E277" s="275">
        <v>886</v>
      </c>
      <c r="F277" s="510">
        <v>886</v>
      </c>
      <c r="G277" s="275">
        <v>1438</v>
      </c>
      <c r="H277" s="510">
        <v>1438</v>
      </c>
      <c r="I277" s="275"/>
      <c r="J277" s="510"/>
      <c r="K277" s="275"/>
      <c r="L277" s="510"/>
      <c r="M277" s="275"/>
      <c r="N277" s="510"/>
      <c r="O277" s="275"/>
      <c r="P277" s="510"/>
      <c r="Q277" s="275"/>
      <c r="R277" s="510"/>
      <c r="S277" s="275"/>
      <c r="T277" s="510"/>
      <c r="U277" s="275"/>
      <c r="V277" s="510"/>
      <c r="W277" s="275"/>
      <c r="X277" s="510"/>
      <c r="Y277" s="275"/>
      <c r="Z277" s="510"/>
      <c r="AA277" s="275"/>
      <c r="AB277" s="510"/>
      <c r="AC277" s="275"/>
      <c r="AD277" s="510"/>
      <c r="AE277" s="275"/>
      <c r="AF277" s="510"/>
      <c r="AG277" s="275"/>
      <c r="AH277" s="510"/>
      <c r="AI277" s="275"/>
      <c r="AJ277" s="510"/>
      <c r="AK277" s="275"/>
      <c r="AL277" s="510"/>
      <c r="AM277" s="275"/>
      <c r="AN277" s="510"/>
    </row>
    <row r="278" spans="1:40" s="183" customFormat="1" ht="15" customHeight="1">
      <c r="A278" s="384" t="s">
        <v>812</v>
      </c>
      <c r="B278" s="381" t="s">
        <v>220</v>
      </c>
      <c r="C278" s="385">
        <v>160870</v>
      </c>
      <c r="D278" s="383">
        <v>14</v>
      </c>
      <c r="E278" s="275">
        <v>886</v>
      </c>
      <c r="F278" s="510">
        <v>886</v>
      </c>
      <c r="G278" s="275">
        <v>1438</v>
      </c>
      <c r="H278" s="510">
        <v>1438</v>
      </c>
      <c r="I278" s="275"/>
      <c r="J278" s="510"/>
      <c r="K278" s="275"/>
      <c r="L278" s="510"/>
      <c r="M278" s="275"/>
      <c r="N278" s="510"/>
      <c r="O278" s="275"/>
      <c r="P278" s="510"/>
      <c r="Q278" s="275"/>
      <c r="R278" s="510"/>
      <c r="S278" s="275"/>
      <c r="T278" s="510"/>
      <c r="U278" s="275"/>
      <c r="V278" s="510"/>
      <c r="W278" s="275"/>
      <c r="X278" s="510"/>
      <c r="Y278" s="275"/>
      <c r="Z278" s="510"/>
      <c r="AA278" s="275"/>
      <c r="AB278" s="510"/>
      <c r="AC278" s="275"/>
      <c r="AD278" s="510"/>
      <c r="AE278" s="275"/>
      <c r="AF278" s="510"/>
      <c r="AG278" s="275"/>
      <c r="AH278" s="510"/>
      <c r="AI278" s="275"/>
      <c r="AJ278" s="510"/>
      <c r="AK278" s="275"/>
      <c r="AL278" s="510"/>
      <c r="AM278" s="275"/>
      <c r="AN278" s="510"/>
    </row>
    <row r="279" spans="1:40" s="183" customFormat="1" ht="15" customHeight="1">
      <c r="A279" s="384" t="s">
        <v>812</v>
      </c>
      <c r="B279" s="381" t="s">
        <v>221</v>
      </c>
      <c r="C279" s="385">
        <v>160913</v>
      </c>
      <c r="D279" s="383">
        <v>14</v>
      </c>
      <c r="E279" s="275">
        <v>886</v>
      </c>
      <c r="F279" s="510">
        <v>886</v>
      </c>
      <c r="G279" s="275">
        <v>1438</v>
      </c>
      <c r="H279" s="510">
        <v>1438</v>
      </c>
      <c r="I279" s="275"/>
      <c r="J279" s="510"/>
      <c r="K279" s="275"/>
      <c r="L279" s="510"/>
      <c r="M279" s="275"/>
      <c r="N279" s="510"/>
      <c r="O279" s="275"/>
      <c r="P279" s="510"/>
      <c r="Q279" s="275"/>
      <c r="R279" s="510"/>
      <c r="S279" s="275"/>
      <c r="T279" s="510"/>
      <c r="U279" s="275"/>
      <c r="V279" s="510"/>
      <c r="W279" s="275"/>
      <c r="X279" s="510"/>
      <c r="Y279" s="275"/>
      <c r="Z279" s="510"/>
      <c r="AA279" s="275"/>
      <c r="AB279" s="510"/>
      <c r="AC279" s="275"/>
      <c r="AD279" s="510"/>
      <c r="AE279" s="275"/>
      <c r="AF279" s="510"/>
      <c r="AG279" s="275"/>
      <c r="AH279" s="510"/>
      <c r="AI279" s="275"/>
      <c r="AJ279" s="510"/>
      <c r="AK279" s="275"/>
      <c r="AL279" s="510"/>
      <c r="AM279" s="275"/>
      <c r="AN279" s="510"/>
    </row>
    <row r="280" spans="1:40" s="183" customFormat="1" ht="15" customHeight="1">
      <c r="A280" s="384" t="s">
        <v>812</v>
      </c>
      <c r="B280" s="381" t="s">
        <v>222</v>
      </c>
      <c r="C280" s="385">
        <v>159373</v>
      </c>
      <c r="D280" s="383">
        <v>15</v>
      </c>
      <c r="E280" s="275"/>
      <c r="F280" s="510"/>
      <c r="G280" s="275"/>
      <c r="H280" s="510"/>
      <c r="I280" s="275"/>
      <c r="J280" s="510"/>
      <c r="K280" s="275"/>
      <c r="L280" s="510"/>
      <c r="M280" s="275"/>
      <c r="N280" s="510"/>
      <c r="O280" s="275"/>
      <c r="P280" s="510"/>
      <c r="Q280" s="275">
        <v>12725</v>
      </c>
      <c r="R280" s="510">
        <v>12725</v>
      </c>
      <c r="S280" s="275">
        <v>26873</v>
      </c>
      <c r="T280" s="510">
        <v>26873</v>
      </c>
      <c r="U280" s="275">
        <v>10886</v>
      </c>
      <c r="V280" s="510">
        <v>10886</v>
      </c>
      <c r="W280" s="275">
        <v>23260</v>
      </c>
      <c r="X280" s="510">
        <v>23260</v>
      </c>
      <c r="Y280" s="275"/>
      <c r="Z280" s="510"/>
      <c r="AA280" s="275"/>
      <c r="AB280" s="510"/>
      <c r="AC280" s="275"/>
      <c r="AD280" s="510"/>
      <c r="AE280" s="275"/>
      <c r="AF280" s="510"/>
      <c r="AG280" s="275"/>
      <c r="AH280" s="510"/>
      <c r="AI280" s="275"/>
      <c r="AJ280" s="510"/>
      <c r="AK280" s="275"/>
      <c r="AL280" s="510"/>
      <c r="AM280" s="275"/>
      <c r="AN280" s="510"/>
    </row>
    <row r="281" spans="1:40" s="183" customFormat="1" ht="14.25" customHeight="1">
      <c r="A281" s="384" t="s">
        <v>812</v>
      </c>
      <c r="B281" s="384" t="s">
        <v>223</v>
      </c>
      <c r="C281" s="382">
        <v>435000</v>
      </c>
      <c r="D281" s="383">
        <v>15</v>
      </c>
      <c r="E281" s="275"/>
      <c r="F281" s="510"/>
      <c r="G281" s="275"/>
      <c r="H281" s="510"/>
      <c r="I281" s="275"/>
      <c r="J281" s="510"/>
      <c r="K281" s="275"/>
      <c r="L281" s="510"/>
      <c r="M281" s="275"/>
      <c r="N281" s="510"/>
      <c r="O281" s="275"/>
      <c r="P281" s="510"/>
      <c r="Q281" s="275">
        <v>10454</v>
      </c>
      <c r="R281" s="510">
        <v>10457</v>
      </c>
      <c r="S281" s="275">
        <v>24602</v>
      </c>
      <c r="T281" s="510">
        <v>24605</v>
      </c>
      <c r="U281" s="275"/>
      <c r="V281" s="510"/>
      <c r="W281" s="275"/>
      <c r="X281" s="510"/>
      <c r="Y281" s="275"/>
      <c r="Z281" s="510"/>
      <c r="AA281" s="275"/>
      <c r="AB281" s="510"/>
      <c r="AC281" s="275"/>
      <c r="AD281" s="510"/>
      <c r="AE281" s="275"/>
      <c r="AF281" s="510"/>
      <c r="AG281" s="275"/>
      <c r="AH281" s="510"/>
      <c r="AI281" s="275"/>
      <c r="AJ281" s="510"/>
      <c r="AK281" s="275"/>
      <c r="AL281" s="510"/>
      <c r="AM281" s="275"/>
      <c r="AN281" s="510"/>
    </row>
    <row r="282" spans="1:40" s="183" customFormat="1" ht="15" customHeight="1">
      <c r="A282" s="394" t="s">
        <v>529</v>
      </c>
      <c r="B282" s="394" t="s">
        <v>224</v>
      </c>
      <c r="C282" s="395">
        <v>163286</v>
      </c>
      <c r="D282" s="396">
        <v>1</v>
      </c>
      <c r="E282" s="275">
        <v>7906</v>
      </c>
      <c r="F282" s="510">
        <v>7969</v>
      </c>
      <c r="G282" s="275">
        <v>21345</v>
      </c>
      <c r="H282" s="510">
        <v>22208</v>
      </c>
      <c r="I282" s="275">
        <v>10864</v>
      </c>
      <c r="J282" s="510">
        <v>11328</v>
      </c>
      <c r="K282" s="275">
        <v>22264</v>
      </c>
      <c r="L282" s="510">
        <v>23184</v>
      </c>
      <c r="M282" s="275"/>
      <c r="N282" s="510"/>
      <c r="O282" s="275"/>
      <c r="P282" s="510"/>
      <c r="Q282" s="275"/>
      <c r="R282" s="510"/>
      <c r="S282" s="275"/>
      <c r="T282" s="510"/>
      <c r="U282" s="275"/>
      <c r="V282" s="510"/>
      <c r="W282" s="275"/>
      <c r="X282" s="510"/>
      <c r="Y282" s="275"/>
      <c r="Z282" s="510"/>
      <c r="AA282" s="275"/>
      <c r="AB282" s="510"/>
      <c r="AC282" s="275"/>
      <c r="AD282" s="510"/>
      <c r="AE282" s="275"/>
      <c r="AF282" s="510"/>
      <c r="AG282" s="275"/>
      <c r="AH282" s="510"/>
      <c r="AI282" s="275"/>
      <c r="AJ282" s="510"/>
      <c r="AK282" s="275"/>
      <c r="AL282" s="510"/>
      <c r="AM282" s="275"/>
      <c r="AN282" s="510"/>
    </row>
    <row r="283" spans="1:40" s="183" customFormat="1" ht="15" customHeight="1">
      <c r="A283" s="394" t="s">
        <v>529</v>
      </c>
      <c r="B283" s="394" t="s">
        <v>225</v>
      </c>
      <c r="C283" s="395">
        <v>163268</v>
      </c>
      <c r="D283" s="396">
        <v>2</v>
      </c>
      <c r="E283" s="275">
        <v>8622</v>
      </c>
      <c r="F283" s="510">
        <v>8707</v>
      </c>
      <c r="G283" s="275">
        <v>17354</v>
      </c>
      <c r="H283" s="510">
        <v>17439</v>
      </c>
      <c r="I283" s="275">
        <f>(412+91)*24</f>
        <v>12072</v>
      </c>
      <c r="J283" s="510">
        <v>12192</v>
      </c>
      <c r="K283" s="275">
        <f>(681+91)*24</f>
        <v>18528</v>
      </c>
      <c r="L283" s="510">
        <v>18648</v>
      </c>
      <c r="M283" s="275"/>
      <c r="N283" s="510"/>
      <c r="O283" s="275"/>
      <c r="P283" s="510"/>
      <c r="Q283" s="275"/>
      <c r="R283" s="510"/>
      <c r="S283" s="275"/>
      <c r="T283" s="510"/>
      <c r="U283" s="275"/>
      <c r="V283" s="510"/>
      <c r="W283" s="275"/>
      <c r="X283" s="510"/>
      <c r="Y283" s="275"/>
      <c r="Z283" s="510"/>
      <c r="AA283" s="275"/>
      <c r="AB283" s="510"/>
      <c r="AC283" s="275"/>
      <c r="AD283" s="510"/>
      <c r="AE283" s="275"/>
      <c r="AF283" s="510"/>
      <c r="AG283" s="275"/>
      <c r="AH283" s="510"/>
      <c r="AI283" s="275"/>
      <c r="AJ283" s="510"/>
      <c r="AK283" s="275"/>
      <c r="AL283" s="510"/>
      <c r="AM283" s="275"/>
      <c r="AN283" s="510"/>
    </row>
    <row r="284" spans="1:40" s="183" customFormat="1" ht="15" customHeight="1">
      <c r="A284" s="394" t="s">
        <v>529</v>
      </c>
      <c r="B284" s="394" t="s">
        <v>226</v>
      </c>
      <c r="C284" s="395">
        <v>164076</v>
      </c>
      <c r="D284" s="396">
        <v>3</v>
      </c>
      <c r="E284" s="275">
        <v>7164</v>
      </c>
      <c r="F284" s="510">
        <v>7234</v>
      </c>
      <c r="G284" s="275">
        <v>16522</v>
      </c>
      <c r="H284" s="510">
        <v>17174</v>
      </c>
      <c r="I284" s="275">
        <f>((275+78)*24)</f>
        <v>8472</v>
      </c>
      <c r="J284" s="510">
        <v>8808</v>
      </c>
      <c r="K284" s="275">
        <f>(577+78)*24</f>
        <v>15720</v>
      </c>
      <c r="L284" s="510">
        <v>16344</v>
      </c>
      <c r="M284" s="275"/>
      <c r="N284" s="510"/>
      <c r="O284" s="275"/>
      <c r="P284" s="510"/>
      <c r="Q284" s="275"/>
      <c r="R284" s="510"/>
      <c r="S284" s="275"/>
      <c r="T284" s="510"/>
      <c r="U284" s="275"/>
      <c r="V284" s="510"/>
      <c r="W284" s="275"/>
      <c r="X284" s="510"/>
      <c r="Y284" s="275"/>
      <c r="Z284" s="510"/>
      <c r="AA284" s="275"/>
      <c r="AB284" s="510"/>
      <c r="AC284" s="275"/>
      <c r="AD284" s="510"/>
      <c r="AE284" s="275"/>
      <c r="AF284" s="510"/>
      <c r="AG284" s="275"/>
      <c r="AH284" s="510"/>
      <c r="AI284" s="275"/>
      <c r="AJ284" s="510"/>
      <c r="AK284" s="275"/>
      <c r="AL284" s="510"/>
      <c r="AM284" s="275"/>
      <c r="AN284" s="510"/>
    </row>
    <row r="285" spans="1:40" s="183" customFormat="1" ht="15" customHeight="1">
      <c r="A285" s="394" t="s">
        <v>529</v>
      </c>
      <c r="B285" s="394" t="s">
        <v>231</v>
      </c>
      <c r="C285" s="395">
        <v>161873</v>
      </c>
      <c r="D285" s="396">
        <v>4</v>
      </c>
      <c r="E285" s="275">
        <v>6834</v>
      </c>
      <c r="F285" s="510">
        <v>6934</v>
      </c>
      <c r="G285" s="275">
        <v>18920</v>
      </c>
      <c r="H285" s="510">
        <v>19716</v>
      </c>
      <c r="I285" s="275">
        <f>((481+6+20+31)*24)+90+70</f>
        <v>13072</v>
      </c>
      <c r="J285" s="510">
        <v>13868</v>
      </c>
      <c r="K285" s="275">
        <f>((726+6+20+31)*24)+90+70</f>
        <v>18952</v>
      </c>
      <c r="L285" s="510">
        <v>20108</v>
      </c>
      <c r="M285" s="275">
        <v>19235</v>
      </c>
      <c r="N285" s="510">
        <v>20597</v>
      </c>
      <c r="O285" s="275">
        <v>31151</v>
      </c>
      <c r="P285" s="510">
        <v>32754</v>
      </c>
      <c r="Q285" s="275"/>
      <c r="R285" s="510"/>
      <c r="S285" s="275"/>
      <c r="T285" s="510"/>
      <c r="U285" s="275"/>
      <c r="V285" s="510"/>
      <c r="W285" s="275"/>
      <c r="X285" s="510"/>
      <c r="Y285" s="275"/>
      <c r="Z285" s="510"/>
      <c r="AA285" s="275"/>
      <c r="AB285" s="510"/>
      <c r="AC285" s="275"/>
      <c r="AD285" s="510"/>
      <c r="AE285" s="275"/>
      <c r="AF285" s="510"/>
      <c r="AG285" s="275"/>
      <c r="AH285" s="510"/>
      <c r="AI285" s="275"/>
      <c r="AJ285" s="510"/>
      <c r="AK285" s="275"/>
      <c r="AL285" s="510"/>
      <c r="AM285" s="275"/>
      <c r="AN285" s="510"/>
    </row>
    <row r="286" spans="1:40" s="183" customFormat="1" ht="15" customHeight="1">
      <c r="A286" s="394" t="s">
        <v>529</v>
      </c>
      <c r="B286" s="394" t="s">
        <v>227</v>
      </c>
      <c r="C286" s="395">
        <v>162007</v>
      </c>
      <c r="D286" s="396">
        <v>4</v>
      </c>
      <c r="E286" s="275">
        <v>5730</v>
      </c>
      <c r="F286" s="510">
        <v>5939</v>
      </c>
      <c r="G286" s="275">
        <v>15249</v>
      </c>
      <c r="H286" s="510">
        <v>15629</v>
      </c>
      <c r="I286" s="275">
        <f>((306+77)*24)+144</f>
        <v>9336</v>
      </c>
      <c r="J286" s="510">
        <v>9024</v>
      </c>
      <c r="K286" s="275">
        <v>16162</v>
      </c>
      <c r="L286" s="510">
        <v>15994</v>
      </c>
      <c r="M286" s="275"/>
      <c r="N286" s="510"/>
      <c r="O286" s="275"/>
      <c r="P286" s="510"/>
      <c r="Q286" s="275"/>
      <c r="R286" s="510"/>
      <c r="S286" s="275"/>
      <c r="T286" s="510"/>
      <c r="U286" s="275"/>
      <c r="V286" s="510"/>
      <c r="W286" s="275"/>
      <c r="X286" s="510"/>
      <c r="Y286" s="275"/>
      <c r="Z286" s="510"/>
      <c r="AA286" s="275"/>
      <c r="AB286" s="510"/>
      <c r="AC286" s="275"/>
      <c r="AD286" s="510"/>
      <c r="AE286" s="275"/>
      <c r="AF286" s="510"/>
      <c r="AG286" s="275"/>
      <c r="AH286" s="510"/>
      <c r="AI286" s="275"/>
      <c r="AJ286" s="510"/>
      <c r="AK286" s="275"/>
      <c r="AL286" s="510"/>
      <c r="AM286" s="275"/>
      <c r="AN286" s="510"/>
    </row>
    <row r="287" spans="1:40" s="183" customFormat="1" ht="15" customHeight="1">
      <c r="A287" s="394" t="s">
        <v>529</v>
      </c>
      <c r="B287" s="451" t="s">
        <v>233</v>
      </c>
      <c r="C287" s="398">
        <v>162283</v>
      </c>
      <c r="D287" s="399">
        <v>4</v>
      </c>
      <c r="E287" s="275">
        <v>4745</v>
      </c>
      <c r="F287" s="510">
        <v>4980</v>
      </c>
      <c r="G287" s="275">
        <v>11768</v>
      </c>
      <c r="H287" s="510">
        <v>12753</v>
      </c>
      <c r="I287" s="275">
        <f>((207+40+23+54)*24)+120+39</f>
        <v>7935</v>
      </c>
      <c r="J287" s="510">
        <v>8767</v>
      </c>
      <c r="K287" s="275">
        <f>((375+40+23+54)*24)+120+39</f>
        <v>11967</v>
      </c>
      <c r="L287" s="510">
        <v>13159</v>
      </c>
      <c r="M287" s="275"/>
      <c r="N287" s="510"/>
      <c r="O287" s="275"/>
      <c r="P287" s="510"/>
      <c r="Q287" s="275"/>
      <c r="R287" s="510"/>
      <c r="S287" s="275"/>
      <c r="T287" s="510"/>
      <c r="U287" s="275"/>
      <c r="V287" s="510"/>
      <c r="W287" s="275"/>
      <c r="X287" s="510"/>
      <c r="Y287" s="275"/>
      <c r="Z287" s="510"/>
      <c r="AA287" s="275"/>
      <c r="AB287" s="510"/>
      <c r="AC287" s="275"/>
      <c r="AD287" s="510"/>
      <c r="AE287" s="275"/>
      <c r="AF287" s="510"/>
      <c r="AG287" s="275"/>
      <c r="AH287" s="510"/>
      <c r="AI287" s="275"/>
      <c r="AJ287" s="510"/>
      <c r="AK287" s="275"/>
      <c r="AL287" s="510"/>
      <c r="AM287" s="275"/>
      <c r="AN287" s="510"/>
    </row>
    <row r="288" spans="1:40" s="183" customFormat="1" ht="15" customHeight="1">
      <c r="A288" s="394" t="s">
        <v>529</v>
      </c>
      <c r="B288" s="397" t="s">
        <v>228</v>
      </c>
      <c r="C288" s="398">
        <v>162584</v>
      </c>
      <c r="D288" s="399">
        <v>4</v>
      </c>
      <c r="E288" s="275">
        <v>6392</v>
      </c>
      <c r="F288" s="510">
        <v>6550</v>
      </c>
      <c r="G288" s="275">
        <v>15442</v>
      </c>
      <c r="H288" s="510">
        <v>16162</v>
      </c>
      <c r="I288" s="275">
        <f>((294+10+26+12+18)*24)+10</f>
        <v>8650</v>
      </c>
      <c r="J288" s="510">
        <v>9097</v>
      </c>
      <c r="K288" s="275">
        <f>((337+10+26+12+18)*24)+10</f>
        <v>9682</v>
      </c>
      <c r="L288" s="510">
        <v>10185</v>
      </c>
      <c r="M288" s="275"/>
      <c r="N288" s="510"/>
      <c r="O288" s="275"/>
      <c r="P288" s="510"/>
      <c r="Q288" s="275"/>
      <c r="R288" s="510"/>
      <c r="S288" s="275"/>
      <c r="T288" s="510"/>
      <c r="U288" s="275"/>
      <c r="V288" s="510"/>
      <c r="W288" s="275"/>
      <c r="X288" s="510"/>
      <c r="Y288" s="275"/>
      <c r="Z288" s="510"/>
      <c r="AA288" s="275"/>
      <c r="AB288" s="510"/>
      <c r="AC288" s="275"/>
      <c r="AD288" s="510"/>
      <c r="AE288" s="275"/>
      <c r="AF288" s="510"/>
      <c r="AG288" s="275"/>
      <c r="AH288" s="510"/>
      <c r="AI288" s="275"/>
      <c r="AJ288" s="510"/>
      <c r="AK288" s="275"/>
      <c r="AL288" s="510"/>
      <c r="AM288" s="275"/>
      <c r="AN288" s="510"/>
    </row>
    <row r="289" spans="1:40" s="183" customFormat="1" ht="15" customHeight="1">
      <c r="A289" s="394" t="s">
        <v>529</v>
      </c>
      <c r="B289" s="397" t="s">
        <v>229</v>
      </c>
      <c r="C289" s="398">
        <v>163453</v>
      </c>
      <c r="D289" s="399">
        <v>4</v>
      </c>
      <c r="E289" s="275">
        <v>6204</v>
      </c>
      <c r="F289" s="510">
        <v>6318</v>
      </c>
      <c r="G289" s="275">
        <v>13964</v>
      </c>
      <c r="H289" s="510">
        <v>14438</v>
      </c>
      <c r="I289" s="275">
        <f>330*24</f>
        <v>7920</v>
      </c>
      <c r="J289" s="510">
        <v>8640</v>
      </c>
      <c r="K289" s="275">
        <f>536*24</f>
        <v>12864</v>
      </c>
      <c r="L289" s="510">
        <v>14232</v>
      </c>
      <c r="M289" s="275"/>
      <c r="N289" s="510"/>
      <c r="O289" s="275"/>
      <c r="P289" s="510"/>
      <c r="Q289" s="275"/>
      <c r="R289" s="510"/>
      <c r="S289" s="275"/>
      <c r="T289" s="510"/>
      <c r="U289" s="275"/>
      <c r="V289" s="510"/>
      <c r="W289" s="275"/>
      <c r="X289" s="510"/>
      <c r="Y289" s="275"/>
      <c r="Z289" s="510"/>
      <c r="AA289" s="275"/>
      <c r="AB289" s="510"/>
      <c r="AC289" s="275"/>
      <c r="AD289" s="510"/>
      <c r="AE289" s="275"/>
      <c r="AF289" s="510"/>
      <c r="AG289" s="275"/>
      <c r="AH289" s="510"/>
      <c r="AI289" s="275"/>
      <c r="AJ289" s="510"/>
      <c r="AK289" s="275"/>
      <c r="AL289" s="510"/>
      <c r="AM289" s="275"/>
      <c r="AN289" s="510"/>
    </row>
    <row r="290" spans="1:40" s="183" customFormat="1" ht="15" customHeight="1">
      <c r="A290" s="394" t="s">
        <v>529</v>
      </c>
      <c r="B290" s="394" t="s">
        <v>230</v>
      </c>
      <c r="C290" s="395">
        <v>163851</v>
      </c>
      <c r="D290" s="396">
        <v>4</v>
      </c>
      <c r="E290" s="275">
        <v>6412</v>
      </c>
      <c r="F290" s="510">
        <v>6412</v>
      </c>
      <c r="G290" s="275">
        <v>14306</v>
      </c>
      <c r="H290" s="510">
        <v>14500</v>
      </c>
      <c r="I290" s="275">
        <f>(260+4+13+25+7)*24</f>
        <v>7416</v>
      </c>
      <c r="J290" s="510">
        <v>7416</v>
      </c>
      <c r="K290" s="275">
        <f>(546+4+13+25+7)*24</f>
        <v>14280</v>
      </c>
      <c r="L290" s="510">
        <v>14520</v>
      </c>
      <c r="M290" s="275"/>
      <c r="N290" s="510"/>
      <c r="O290" s="275"/>
      <c r="P290" s="510"/>
      <c r="Q290" s="275"/>
      <c r="R290" s="510"/>
      <c r="S290" s="275"/>
      <c r="T290" s="510"/>
      <c r="U290" s="275"/>
      <c r="V290" s="510"/>
      <c r="W290" s="275"/>
      <c r="X290" s="510"/>
      <c r="Y290" s="275"/>
      <c r="Z290" s="510"/>
      <c r="AA290" s="275"/>
      <c r="AB290" s="510"/>
      <c r="AC290" s="275"/>
      <c r="AD290" s="510"/>
      <c r="AE290" s="275"/>
      <c r="AF290" s="510"/>
      <c r="AG290" s="275"/>
      <c r="AH290" s="510"/>
      <c r="AI290" s="275"/>
      <c r="AJ290" s="510"/>
      <c r="AK290" s="275"/>
      <c r="AL290" s="510"/>
      <c r="AM290" s="275"/>
      <c r="AN290" s="510"/>
    </row>
    <row r="291" spans="1:40" s="183" customFormat="1" ht="15" customHeight="1">
      <c r="A291" s="394" t="s">
        <v>529</v>
      </c>
      <c r="B291" s="394" t="s">
        <v>232</v>
      </c>
      <c r="C291" s="395">
        <v>163338</v>
      </c>
      <c r="D291" s="396">
        <v>4</v>
      </c>
      <c r="E291" s="275">
        <v>5908</v>
      </c>
      <c r="F291" s="510">
        <v>5988</v>
      </c>
      <c r="G291" s="275">
        <v>12475</v>
      </c>
      <c r="H291" s="510">
        <v>12555</v>
      </c>
      <c r="I291" s="275">
        <f>(225*24)+80</f>
        <v>5480</v>
      </c>
      <c r="J291" s="510">
        <v>5480</v>
      </c>
      <c r="K291" s="275">
        <f>(408*24)+80</f>
        <v>9872</v>
      </c>
      <c r="L291" s="510">
        <v>9872</v>
      </c>
      <c r="M291" s="275"/>
      <c r="N291" s="510"/>
      <c r="O291" s="275"/>
      <c r="P291" s="510"/>
      <c r="Q291" s="275"/>
      <c r="R291" s="510"/>
      <c r="S291" s="275"/>
      <c r="T291" s="510"/>
      <c r="U291" s="275"/>
      <c r="V291" s="510"/>
      <c r="W291" s="275"/>
      <c r="X291" s="510"/>
      <c r="Y291" s="275"/>
      <c r="Z291" s="510"/>
      <c r="AA291" s="275"/>
      <c r="AB291" s="510"/>
      <c r="AC291" s="275"/>
      <c r="AD291" s="510"/>
      <c r="AE291" s="275"/>
      <c r="AF291" s="510"/>
      <c r="AG291" s="275"/>
      <c r="AH291" s="510"/>
      <c r="AI291" s="275"/>
      <c r="AJ291" s="510"/>
      <c r="AK291" s="275"/>
      <c r="AL291" s="510"/>
      <c r="AM291" s="275"/>
      <c r="AN291" s="510"/>
    </row>
    <row r="292" spans="1:40" s="183" customFormat="1" ht="15" customHeight="1">
      <c r="A292" s="394" t="s">
        <v>529</v>
      </c>
      <c r="B292" s="394" t="s">
        <v>234</v>
      </c>
      <c r="C292" s="395">
        <v>163912</v>
      </c>
      <c r="D292" s="396">
        <v>6</v>
      </c>
      <c r="E292" s="275">
        <v>11418</v>
      </c>
      <c r="F292" s="510">
        <v>11989</v>
      </c>
      <c r="G292" s="275">
        <v>21260</v>
      </c>
      <c r="H292" s="510">
        <v>20584</v>
      </c>
      <c r="I292" s="275">
        <v>11418</v>
      </c>
      <c r="J292" s="510">
        <v>11989</v>
      </c>
      <c r="K292" s="275"/>
      <c r="L292" s="510"/>
      <c r="M292" s="275"/>
      <c r="N292" s="510"/>
      <c r="O292" s="275"/>
      <c r="P292" s="510"/>
      <c r="Q292" s="275"/>
      <c r="R292" s="510"/>
      <c r="S292" s="275"/>
      <c r="T292" s="510"/>
      <c r="U292" s="275"/>
      <c r="V292" s="510"/>
      <c r="W292" s="275"/>
      <c r="X292" s="510"/>
      <c r="Y292" s="275"/>
      <c r="Z292" s="510"/>
      <c r="AA292" s="275"/>
      <c r="AB292" s="510"/>
      <c r="AC292" s="275"/>
      <c r="AD292" s="510"/>
      <c r="AE292" s="275"/>
      <c r="AF292" s="510"/>
      <c r="AG292" s="275"/>
      <c r="AH292" s="510"/>
      <c r="AI292" s="275"/>
      <c r="AJ292" s="510"/>
      <c r="AK292" s="275"/>
      <c r="AL292" s="510"/>
      <c r="AM292" s="275"/>
      <c r="AN292" s="510"/>
    </row>
    <row r="293" spans="1:40" s="183" customFormat="1" ht="15" customHeight="1">
      <c r="A293" s="394" t="s">
        <v>529</v>
      </c>
      <c r="B293" s="394" t="s">
        <v>235</v>
      </c>
      <c r="C293" s="395">
        <v>161767</v>
      </c>
      <c r="D293" s="396">
        <v>8</v>
      </c>
      <c r="E293" s="275">
        <v>2860</v>
      </c>
      <c r="F293" s="510">
        <v>2860</v>
      </c>
      <c r="G293" s="275">
        <v>9040</v>
      </c>
      <c r="H293" s="510">
        <v>9040</v>
      </c>
      <c r="I293" s="275"/>
      <c r="J293" s="510"/>
      <c r="K293" s="275"/>
      <c r="L293" s="510"/>
      <c r="M293" s="275"/>
      <c r="N293" s="510"/>
      <c r="O293" s="275"/>
      <c r="P293" s="510"/>
      <c r="Q293" s="275"/>
      <c r="R293" s="510"/>
      <c r="S293" s="275"/>
      <c r="T293" s="510"/>
      <c r="U293" s="275"/>
      <c r="V293" s="510"/>
      <c r="W293" s="275"/>
      <c r="X293" s="510"/>
      <c r="Y293" s="275"/>
      <c r="Z293" s="510"/>
      <c r="AA293" s="275"/>
      <c r="AB293" s="510"/>
      <c r="AC293" s="275"/>
      <c r="AD293" s="510"/>
      <c r="AE293" s="275"/>
      <c r="AF293" s="510"/>
      <c r="AG293" s="275"/>
      <c r="AH293" s="510"/>
      <c r="AI293" s="275"/>
      <c r="AJ293" s="510"/>
      <c r="AK293" s="275"/>
      <c r="AL293" s="510"/>
      <c r="AM293" s="275"/>
      <c r="AN293" s="510"/>
    </row>
    <row r="294" spans="1:40" s="183" customFormat="1" ht="15" customHeight="1">
      <c r="A294" s="394" t="s">
        <v>529</v>
      </c>
      <c r="B294" s="394" t="s">
        <v>236</v>
      </c>
      <c r="C294" s="395">
        <v>434672</v>
      </c>
      <c r="D294" s="396">
        <v>8</v>
      </c>
      <c r="E294" s="275">
        <v>2966</v>
      </c>
      <c r="F294" s="510">
        <v>3056</v>
      </c>
      <c r="G294" s="275">
        <v>7136</v>
      </c>
      <c r="H294" s="510">
        <v>7436</v>
      </c>
      <c r="I294" s="275"/>
      <c r="J294" s="510"/>
      <c r="K294" s="275"/>
      <c r="L294" s="510"/>
      <c r="M294" s="275"/>
      <c r="N294" s="510"/>
      <c r="O294" s="275"/>
      <c r="P294" s="510"/>
      <c r="Q294" s="275"/>
      <c r="R294" s="510"/>
      <c r="S294" s="275"/>
      <c r="T294" s="510"/>
      <c r="U294" s="275"/>
      <c r="V294" s="510"/>
      <c r="W294" s="275"/>
      <c r="X294" s="510"/>
      <c r="Y294" s="275"/>
      <c r="Z294" s="510"/>
      <c r="AA294" s="275"/>
      <c r="AB294" s="510"/>
      <c r="AC294" s="275"/>
      <c r="AD294" s="510"/>
      <c r="AE294" s="275"/>
      <c r="AF294" s="510"/>
      <c r="AG294" s="275"/>
      <c r="AH294" s="510"/>
      <c r="AI294" s="275"/>
      <c r="AJ294" s="510"/>
      <c r="AK294" s="275"/>
      <c r="AL294" s="510"/>
      <c r="AM294" s="275"/>
      <c r="AN294" s="510"/>
    </row>
    <row r="295" spans="1:40" s="183" customFormat="1" ht="15" customHeight="1">
      <c r="A295" s="394" t="s">
        <v>529</v>
      </c>
      <c r="B295" s="394" t="s">
        <v>237</v>
      </c>
      <c r="C295" s="395">
        <v>163426</v>
      </c>
      <c r="D295" s="396">
        <v>8</v>
      </c>
      <c r="E295" s="275">
        <v>3708</v>
      </c>
      <c r="F295" s="510">
        <v>3876</v>
      </c>
      <c r="G295" s="275">
        <v>9612</v>
      </c>
      <c r="H295" s="510">
        <v>9996</v>
      </c>
      <c r="I295" s="275"/>
      <c r="J295" s="510"/>
      <c r="K295" s="275"/>
      <c r="L295" s="510"/>
      <c r="M295" s="275"/>
      <c r="N295" s="510"/>
      <c r="O295" s="275"/>
      <c r="P295" s="510"/>
      <c r="Q295" s="275"/>
      <c r="R295" s="510"/>
      <c r="S295" s="275"/>
      <c r="T295" s="510"/>
      <c r="U295" s="275"/>
      <c r="V295" s="510"/>
      <c r="W295" s="275"/>
      <c r="X295" s="510"/>
      <c r="Y295" s="275"/>
      <c r="Z295" s="510"/>
      <c r="AA295" s="275"/>
      <c r="AB295" s="510"/>
      <c r="AC295" s="275"/>
      <c r="AD295" s="510"/>
      <c r="AE295" s="275"/>
      <c r="AF295" s="510"/>
      <c r="AG295" s="275"/>
      <c r="AH295" s="510"/>
      <c r="AI295" s="275"/>
      <c r="AJ295" s="510"/>
      <c r="AK295" s="275"/>
      <c r="AL295" s="510"/>
      <c r="AM295" s="275"/>
      <c r="AN295" s="510"/>
    </row>
    <row r="296" spans="1:40" s="183" customFormat="1" ht="15" customHeight="1">
      <c r="A296" s="394" t="s">
        <v>529</v>
      </c>
      <c r="B296" s="394" t="s">
        <v>238</v>
      </c>
      <c r="C296" s="395">
        <v>163657</v>
      </c>
      <c r="D296" s="396">
        <v>8</v>
      </c>
      <c r="E296" s="275">
        <v>3965</v>
      </c>
      <c r="F296" s="510">
        <v>3710</v>
      </c>
      <c r="G296" s="275">
        <v>8780</v>
      </c>
      <c r="H296" s="510">
        <v>8630</v>
      </c>
      <c r="I296" s="275"/>
      <c r="J296" s="510"/>
      <c r="K296" s="275"/>
      <c r="L296" s="510"/>
      <c r="M296" s="275"/>
      <c r="N296" s="510"/>
      <c r="O296" s="275"/>
      <c r="P296" s="510"/>
      <c r="Q296" s="275"/>
      <c r="R296" s="510"/>
      <c r="S296" s="275"/>
      <c r="T296" s="510"/>
      <c r="U296" s="275"/>
      <c r="V296" s="510"/>
      <c r="W296" s="275"/>
      <c r="X296" s="510"/>
      <c r="Y296" s="275"/>
      <c r="Z296" s="510"/>
      <c r="AA296" s="275"/>
      <c r="AB296" s="510"/>
      <c r="AC296" s="275"/>
      <c r="AD296" s="510"/>
      <c r="AE296" s="275"/>
      <c r="AF296" s="510"/>
      <c r="AG296" s="275"/>
      <c r="AH296" s="510"/>
      <c r="AI296" s="275"/>
      <c r="AJ296" s="510"/>
      <c r="AK296" s="275"/>
      <c r="AL296" s="510"/>
      <c r="AM296" s="275"/>
      <c r="AN296" s="510"/>
    </row>
    <row r="297" spans="1:40" s="183" customFormat="1" ht="15" customHeight="1">
      <c r="A297" s="394" t="s">
        <v>529</v>
      </c>
      <c r="B297" s="451" t="s">
        <v>244</v>
      </c>
      <c r="C297" s="400">
        <v>161688</v>
      </c>
      <c r="D297" s="401">
        <v>9</v>
      </c>
      <c r="E297" s="275">
        <v>3044</v>
      </c>
      <c r="F297" s="510">
        <v>3074</v>
      </c>
      <c r="G297" s="275">
        <v>6404</v>
      </c>
      <c r="H297" s="510">
        <v>6434</v>
      </c>
      <c r="I297" s="275"/>
      <c r="J297" s="510"/>
      <c r="K297" s="275"/>
      <c r="L297" s="510"/>
      <c r="M297" s="275"/>
      <c r="N297" s="510"/>
      <c r="O297" s="275"/>
      <c r="P297" s="510"/>
      <c r="Q297" s="275"/>
      <c r="R297" s="510"/>
      <c r="S297" s="275"/>
      <c r="T297" s="510"/>
      <c r="U297" s="275"/>
      <c r="V297" s="510"/>
      <c r="W297" s="275"/>
      <c r="X297" s="510"/>
      <c r="Y297" s="275"/>
      <c r="Z297" s="510"/>
      <c r="AA297" s="275"/>
      <c r="AB297" s="510"/>
      <c r="AC297" s="275"/>
      <c r="AD297" s="510"/>
      <c r="AE297" s="275"/>
      <c r="AF297" s="510"/>
      <c r="AG297" s="275"/>
      <c r="AH297" s="510"/>
      <c r="AI297" s="275"/>
      <c r="AJ297" s="510"/>
      <c r="AK297" s="275"/>
      <c r="AL297" s="510"/>
      <c r="AM297" s="275"/>
      <c r="AN297" s="510"/>
    </row>
    <row r="298" spans="1:40" s="183" customFormat="1" ht="15" customHeight="1">
      <c r="A298" s="394" t="s">
        <v>529</v>
      </c>
      <c r="B298" s="394" t="s">
        <v>239</v>
      </c>
      <c r="C298" s="395">
        <v>161864</v>
      </c>
      <c r="D298" s="396">
        <v>9</v>
      </c>
      <c r="E298" s="275">
        <v>2700</v>
      </c>
      <c r="F298" s="510">
        <v>2750</v>
      </c>
      <c r="G298" s="275">
        <v>5400</v>
      </c>
      <c r="H298" s="510">
        <v>5450</v>
      </c>
      <c r="I298" s="275"/>
      <c r="J298" s="510"/>
      <c r="K298" s="275"/>
      <c r="L298" s="510"/>
      <c r="M298" s="275"/>
      <c r="N298" s="510"/>
      <c r="O298" s="275"/>
      <c r="P298" s="510"/>
      <c r="Q298" s="275"/>
      <c r="R298" s="510"/>
      <c r="S298" s="275"/>
      <c r="T298" s="510"/>
      <c r="U298" s="275"/>
      <c r="V298" s="510"/>
      <c r="W298" s="275"/>
      <c r="X298" s="510"/>
      <c r="Y298" s="275"/>
      <c r="Z298" s="510"/>
      <c r="AA298" s="275"/>
      <c r="AB298" s="510"/>
      <c r="AC298" s="275"/>
      <c r="AD298" s="510"/>
      <c r="AE298" s="275"/>
      <c r="AF298" s="510"/>
      <c r="AG298" s="275"/>
      <c r="AH298" s="510"/>
      <c r="AI298" s="275"/>
      <c r="AJ298" s="510"/>
      <c r="AK298" s="275"/>
      <c r="AL298" s="510"/>
      <c r="AM298" s="275"/>
      <c r="AN298" s="510"/>
    </row>
    <row r="299" spans="1:40" s="183" customFormat="1" ht="15" customHeight="1">
      <c r="A299" s="394" t="s">
        <v>529</v>
      </c>
      <c r="B299" s="394" t="s">
        <v>240</v>
      </c>
      <c r="C299" s="395">
        <v>162122</v>
      </c>
      <c r="D299" s="396">
        <v>9</v>
      </c>
      <c r="E299" s="275">
        <v>3384</v>
      </c>
      <c r="F299" s="510">
        <v>3384</v>
      </c>
      <c r="G299" s="275">
        <v>7524</v>
      </c>
      <c r="H299" s="510">
        <v>7524</v>
      </c>
      <c r="I299" s="275"/>
      <c r="J299" s="510"/>
      <c r="K299" s="275"/>
      <c r="L299" s="510"/>
      <c r="M299" s="275"/>
      <c r="N299" s="510"/>
      <c r="O299" s="275"/>
      <c r="P299" s="510"/>
      <c r="Q299" s="275"/>
      <c r="R299" s="510"/>
      <c r="S299" s="275"/>
      <c r="T299" s="510"/>
      <c r="U299" s="275"/>
      <c r="V299" s="510"/>
      <c r="W299" s="275"/>
      <c r="X299" s="510"/>
      <c r="Y299" s="275"/>
      <c r="Z299" s="510"/>
      <c r="AA299" s="275"/>
      <c r="AB299" s="510"/>
      <c r="AC299" s="275"/>
      <c r="AD299" s="510"/>
      <c r="AE299" s="275"/>
      <c r="AF299" s="510"/>
      <c r="AG299" s="275"/>
      <c r="AH299" s="510"/>
      <c r="AI299" s="275"/>
      <c r="AJ299" s="510"/>
      <c r="AK299" s="275"/>
      <c r="AL299" s="510"/>
      <c r="AM299" s="275"/>
      <c r="AN299" s="510"/>
    </row>
    <row r="300" spans="1:40" s="183" customFormat="1" ht="15" customHeight="1">
      <c r="A300" s="394" t="s">
        <v>529</v>
      </c>
      <c r="B300" s="397" t="s">
        <v>241</v>
      </c>
      <c r="C300" s="398">
        <v>162557</v>
      </c>
      <c r="D300" s="399">
        <v>9</v>
      </c>
      <c r="E300" s="275">
        <v>2959</v>
      </c>
      <c r="F300" s="510">
        <v>3028</v>
      </c>
      <c r="G300" s="275">
        <v>8119</v>
      </c>
      <c r="H300" s="510">
        <v>8278</v>
      </c>
      <c r="I300" s="275"/>
      <c r="J300" s="510"/>
      <c r="K300" s="275"/>
      <c r="L300" s="510"/>
      <c r="M300" s="275"/>
      <c r="N300" s="510"/>
      <c r="O300" s="275"/>
      <c r="P300" s="510"/>
      <c r="Q300" s="275"/>
      <c r="R300" s="510"/>
      <c r="S300" s="275"/>
      <c r="T300" s="510"/>
      <c r="U300" s="275"/>
      <c r="V300" s="510"/>
      <c r="W300" s="275"/>
      <c r="X300" s="510"/>
      <c r="Y300" s="275"/>
      <c r="Z300" s="510"/>
      <c r="AA300" s="275"/>
      <c r="AB300" s="510"/>
      <c r="AC300" s="275"/>
      <c r="AD300" s="510"/>
      <c r="AE300" s="275"/>
      <c r="AF300" s="510"/>
      <c r="AG300" s="275"/>
      <c r="AH300" s="510"/>
      <c r="AI300" s="275"/>
      <c r="AJ300" s="510"/>
      <c r="AK300" s="275"/>
      <c r="AL300" s="510"/>
      <c r="AM300" s="275"/>
      <c r="AN300" s="510"/>
    </row>
    <row r="301" spans="1:40" s="183" customFormat="1" ht="15" customHeight="1">
      <c r="A301" s="394" t="s">
        <v>529</v>
      </c>
      <c r="B301" s="451" t="s">
        <v>1103</v>
      </c>
      <c r="C301" s="400">
        <v>162690</v>
      </c>
      <c r="D301" s="401">
        <v>9</v>
      </c>
      <c r="E301" s="275">
        <v>3070</v>
      </c>
      <c r="F301" s="510">
        <v>3120</v>
      </c>
      <c r="G301" s="275">
        <v>6130</v>
      </c>
      <c r="H301" s="510">
        <v>6180</v>
      </c>
      <c r="I301" s="275"/>
      <c r="J301" s="510"/>
      <c r="K301" s="275"/>
      <c r="L301" s="510"/>
      <c r="M301" s="275"/>
      <c r="N301" s="510"/>
      <c r="O301" s="275"/>
      <c r="P301" s="510"/>
      <c r="Q301" s="275"/>
      <c r="R301" s="510"/>
      <c r="S301" s="275"/>
      <c r="T301" s="510"/>
      <c r="U301" s="275"/>
      <c r="V301" s="510"/>
      <c r="W301" s="275"/>
      <c r="X301" s="510"/>
      <c r="Y301" s="275"/>
      <c r="Z301" s="510"/>
      <c r="AA301" s="275"/>
      <c r="AB301" s="510"/>
      <c r="AC301" s="275"/>
      <c r="AD301" s="510"/>
      <c r="AE301" s="275"/>
      <c r="AF301" s="510"/>
      <c r="AG301" s="275"/>
      <c r="AH301" s="510"/>
      <c r="AI301" s="275"/>
      <c r="AJ301" s="510"/>
      <c r="AK301" s="275"/>
      <c r="AL301" s="510"/>
      <c r="AM301" s="275"/>
      <c r="AN301" s="510"/>
    </row>
    <row r="302" spans="1:40" s="183" customFormat="1" ht="15" customHeight="1">
      <c r="A302" s="394" t="s">
        <v>529</v>
      </c>
      <c r="B302" s="394" t="s">
        <v>242</v>
      </c>
      <c r="C302" s="395">
        <v>162706</v>
      </c>
      <c r="D302" s="396">
        <v>9</v>
      </c>
      <c r="E302" s="275">
        <v>2541</v>
      </c>
      <c r="F302" s="510">
        <v>2541</v>
      </c>
      <c r="G302" s="275">
        <v>7161</v>
      </c>
      <c r="H302" s="510">
        <v>7161</v>
      </c>
      <c r="I302" s="275"/>
      <c r="J302" s="510"/>
      <c r="K302" s="275"/>
      <c r="L302" s="510"/>
      <c r="M302" s="275"/>
      <c r="N302" s="510"/>
      <c r="O302" s="275"/>
      <c r="P302" s="510"/>
      <c r="Q302" s="275"/>
      <c r="R302" s="510"/>
      <c r="S302" s="275"/>
      <c r="T302" s="510"/>
      <c r="U302" s="275"/>
      <c r="V302" s="510"/>
      <c r="W302" s="275"/>
      <c r="X302" s="510"/>
      <c r="Y302" s="275"/>
      <c r="Z302" s="510"/>
      <c r="AA302" s="275"/>
      <c r="AB302" s="510"/>
      <c r="AC302" s="275"/>
      <c r="AD302" s="510"/>
      <c r="AE302" s="275"/>
      <c r="AF302" s="510"/>
      <c r="AG302" s="275"/>
      <c r="AH302" s="510"/>
      <c r="AI302" s="275"/>
      <c r="AJ302" s="510"/>
      <c r="AK302" s="275"/>
      <c r="AL302" s="510"/>
      <c r="AM302" s="275"/>
      <c r="AN302" s="510"/>
    </row>
    <row r="303" spans="1:40" s="183" customFormat="1" ht="15" customHeight="1">
      <c r="A303" s="394" t="s">
        <v>529</v>
      </c>
      <c r="B303" s="394" t="s">
        <v>243</v>
      </c>
      <c r="C303" s="395">
        <v>162779</v>
      </c>
      <c r="D303" s="396">
        <v>9</v>
      </c>
      <c r="E303" s="275">
        <v>3853</v>
      </c>
      <c r="F303" s="510">
        <v>3876</v>
      </c>
      <c r="G303" s="275">
        <v>7693</v>
      </c>
      <c r="H303" s="510">
        <v>7833</v>
      </c>
      <c r="I303" s="275"/>
      <c r="J303" s="510"/>
      <c r="K303" s="275"/>
      <c r="L303" s="510"/>
      <c r="M303" s="275"/>
      <c r="N303" s="510"/>
      <c r="O303" s="275"/>
      <c r="P303" s="510"/>
      <c r="Q303" s="275"/>
      <c r="R303" s="510"/>
      <c r="S303" s="275"/>
      <c r="T303" s="510"/>
      <c r="U303" s="275"/>
      <c r="V303" s="510"/>
      <c r="W303" s="275"/>
      <c r="X303" s="510"/>
      <c r="Y303" s="275"/>
      <c r="Z303" s="510"/>
      <c r="AA303" s="275"/>
      <c r="AB303" s="510"/>
      <c r="AC303" s="275"/>
      <c r="AD303" s="510"/>
      <c r="AE303" s="275"/>
      <c r="AF303" s="510"/>
      <c r="AG303" s="275"/>
      <c r="AH303" s="510"/>
      <c r="AI303" s="275"/>
      <c r="AJ303" s="510"/>
      <c r="AK303" s="275"/>
      <c r="AL303" s="510"/>
      <c r="AM303" s="275"/>
      <c r="AN303" s="510"/>
    </row>
    <row r="304" spans="1:40" s="183" customFormat="1" ht="15" customHeight="1">
      <c r="A304" s="394" t="s">
        <v>529</v>
      </c>
      <c r="B304" s="397" t="s">
        <v>245</v>
      </c>
      <c r="C304" s="398">
        <v>405872</v>
      </c>
      <c r="D304" s="399">
        <v>10</v>
      </c>
      <c r="E304" s="275">
        <v>3234</v>
      </c>
      <c r="F304" s="510">
        <v>3234</v>
      </c>
      <c r="G304" s="275">
        <v>6788</v>
      </c>
      <c r="H304" s="510">
        <v>6788</v>
      </c>
      <c r="I304" s="275"/>
      <c r="J304" s="510"/>
      <c r="K304" s="275"/>
      <c r="L304" s="510"/>
      <c r="M304" s="275"/>
      <c r="N304" s="510"/>
      <c r="O304" s="275"/>
      <c r="P304" s="510"/>
      <c r="Q304" s="275"/>
      <c r="R304" s="510"/>
      <c r="S304" s="275"/>
      <c r="T304" s="510"/>
      <c r="U304" s="275"/>
      <c r="V304" s="510"/>
      <c r="W304" s="275"/>
      <c r="X304" s="510"/>
      <c r="Y304" s="275"/>
      <c r="Z304" s="510"/>
      <c r="AA304" s="275"/>
      <c r="AB304" s="510"/>
      <c r="AC304" s="275"/>
      <c r="AD304" s="510"/>
      <c r="AE304" s="275"/>
      <c r="AF304" s="510"/>
      <c r="AG304" s="275"/>
      <c r="AH304" s="510"/>
      <c r="AI304" s="275"/>
      <c r="AJ304" s="510"/>
      <c r="AK304" s="275"/>
      <c r="AL304" s="510"/>
      <c r="AM304" s="275"/>
      <c r="AN304" s="510"/>
    </row>
    <row r="305" spans="1:40" s="183" customFormat="1" ht="15" customHeight="1">
      <c r="A305" s="394" t="s">
        <v>529</v>
      </c>
      <c r="B305" s="394" t="s">
        <v>1100</v>
      </c>
      <c r="C305" s="395">
        <v>162104</v>
      </c>
      <c r="D305" s="396">
        <v>10</v>
      </c>
      <c r="E305" s="275">
        <v>2940</v>
      </c>
      <c r="F305" s="510">
        <v>2940</v>
      </c>
      <c r="G305" s="275">
        <v>6990</v>
      </c>
      <c r="H305" s="510">
        <v>6990</v>
      </c>
      <c r="I305" s="275"/>
      <c r="J305" s="510"/>
      <c r="K305" s="275"/>
      <c r="L305" s="510"/>
      <c r="M305" s="275"/>
      <c r="N305" s="510"/>
      <c r="O305" s="275"/>
      <c r="P305" s="510"/>
      <c r="Q305" s="275"/>
      <c r="R305" s="510"/>
      <c r="S305" s="275"/>
      <c r="T305" s="510"/>
      <c r="U305" s="275"/>
      <c r="V305" s="510"/>
      <c r="W305" s="275"/>
      <c r="X305" s="510"/>
      <c r="Y305" s="275"/>
      <c r="Z305" s="510"/>
      <c r="AA305" s="275"/>
      <c r="AB305" s="510"/>
      <c r="AC305" s="275"/>
      <c r="AD305" s="510"/>
      <c r="AE305" s="275"/>
      <c r="AF305" s="510"/>
      <c r="AG305" s="275"/>
      <c r="AH305" s="510"/>
      <c r="AI305" s="275"/>
      <c r="AJ305" s="510"/>
      <c r="AK305" s="275"/>
      <c r="AL305" s="510"/>
      <c r="AM305" s="275"/>
      <c r="AN305" s="510"/>
    </row>
    <row r="306" spans="1:40" s="183" customFormat="1" ht="15" customHeight="1">
      <c r="A306" s="394" t="s">
        <v>529</v>
      </c>
      <c r="B306" s="394" t="s">
        <v>1101</v>
      </c>
      <c r="C306" s="395">
        <v>162168</v>
      </c>
      <c r="D306" s="396">
        <v>10</v>
      </c>
      <c r="E306" s="275">
        <v>3094</v>
      </c>
      <c r="F306" s="510">
        <v>3094</v>
      </c>
      <c r="G306" s="275">
        <v>7474</v>
      </c>
      <c r="H306" s="510">
        <v>7474</v>
      </c>
      <c r="I306" s="275"/>
      <c r="J306" s="510"/>
      <c r="K306" s="275"/>
      <c r="L306" s="510"/>
      <c r="M306" s="275"/>
      <c r="N306" s="510"/>
      <c r="O306" s="275"/>
      <c r="P306" s="510"/>
      <c r="Q306" s="275"/>
      <c r="R306" s="510"/>
      <c r="S306" s="275"/>
      <c r="T306" s="510"/>
      <c r="U306" s="275"/>
      <c r="V306" s="510"/>
      <c r="W306" s="275"/>
      <c r="X306" s="510"/>
      <c r="Y306" s="275"/>
      <c r="Z306" s="510"/>
      <c r="AA306" s="275"/>
      <c r="AB306" s="510"/>
      <c r="AC306" s="275"/>
      <c r="AD306" s="510"/>
      <c r="AE306" s="275"/>
      <c r="AF306" s="510"/>
      <c r="AG306" s="275"/>
      <c r="AH306" s="510"/>
      <c r="AI306" s="275"/>
      <c r="AJ306" s="510"/>
      <c r="AK306" s="275"/>
      <c r="AL306" s="510"/>
      <c r="AM306" s="275"/>
      <c r="AN306" s="510"/>
    </row>
    <row r="307" spans="1:40" s="183" customFormat="1" ht="15" customHeight="1">
      <c r="A307" s="394" t="s">
        <v>529</v>
      </c>
      <c r="B307" s="397" t="s">
        <v>1102</v>
      </c>
      <c r="C307" s="398">
        <v>162609</v>
      </c>
      <c r="D307" s="399">
        <v>10</v>
      </c>
      <c r="E307" s="275">
        <v>2970</v>
      </c>
      <c r="F307" s="510">
        <v>2970</v>
      </c>
      <c r="G307" s="275">
        <v>7260</v>
      </c>
      <c r="H307" s="510">
        <v>7260</v>
      </c>
      <c r="I307" s="275"/>
      <c r="J307" s="510"/>
      <c r="K307" s="275"/>
      <c r="L307" s="510"/>
      <c r="M307" s="275"/>
      <c r="N307" s="510"/>
      <c r="O307" s="275"/>
      <c r="P307" s="510"/>
      <c r="Q307" s="275"/>
      <c r="R307" s="510"/>
      <c r="S307" s="275"/>
      <c r="T307" s="510"/>
      <c r="U307" s="275"/>
      <c r="V307" s="510"/>
      <c r="W307" s="275"/>
      <c r="X307" s="510"/>
      <c r="Y307" s="275"/>
      <c r="Z307" s="510"/>
      <c r="AA307" s="275"/>
      <c r="AB307" s="510"/>
      <c r="AC307" s="275"/>
      <c r="AD307" s="510"/>
      <c r="AE307" s="275"/>
      <c r="AF307" s="510"/>
      <c r="AG307" s="275"/>
      <c r="AH307" s="510"/>
      <c r="AI307" s="275"/>
      <c r="AJ307" s="510"/>
      <c r="AK307" s="275"/>
      <c r="AL307" s="510"/>
      <c r="AM307" s="275"/>
      <c r="AN307" s="510"/>
    </row>
    <row r="308" spans="1:40" s="183" customFormat="1" ht="15" customHeight="1">
      <c r="A308" s="394" t="s">
        <v>529</v>
      </c>
      <c r="B308" s="394" t="s">
        <v>1104</v>
      </c>
      <c r="C308" s="395">
        <v>164313</v>
      </c>
      <c r="D308" s="396">
        <v>10</v>
      </c>
      <c r="E308" s="275">
        <v>2336</v>
      </c>
      <c r="F308" s="510">
        <v>2404</v>
      </c>
      <c r="G308" s="275">
        <v>6716</v>
      </c>
      <c r="H308" s="510">
        <v>6844</v>
      </c>
      <c r="I308" s="275"/>
      <c r="J308" s="510"/>
      <c r="K308" s="275"/>
      <c r="L308" s="510"/>
      <c r="M308" s="275"/>
      <c r="N308" s="510"/>
      <c r="O308" s="275"/>
      <c r="P308" s="510"/>
      <c r="Q308" s="275"/>
      <c r="R308" s="510"/>
      <c r="S308" s="275"/>
      <c r="T308" s="510"/>
      <c r="U308" s="275"/>
      <c r="V308" s="510"/>
      <c r="W308" s="275"/>
      <c r="X308" s="510"/>
      <c r="Y308" s="275"/>
      <c r="Z308" s="510"/>
      <c r="AA308" s="275"/>
      <c r="AB308" s="510"/>
      <c r="AC308" s="275"/>
      <c r="AD308" s="510"/>
      <c r="AE308" s="275"/>
      <c r="AF308" s="510"/>
      <c r="AG308" s="275"/>
      <c r="AH308" s="510"/>
      <c r="AI308" s="275"/>
      <c r="AJ308" s="510"/>
      <c r="AK308" s="275"/>
      <c r="AL308" s="510"/>
      <c r="AM308" s="275"/>
      <c r="AN308" s="510"/>
    </row>
    <row r="309" spans="1:40" s="183" customFormat="1" ht="15" customHeight="1">
      <c r="A309" s="394" t="s">
        <v>529</v>
      </c>
      <c r="B309" s="402" t="s">
        <v>1106</v>
      </c>
      <c r="C309" s="395">
        <v>163259</v>
      </c>
      <c r="D309" s="396">
        <v>15</v>
      </c>
      <c r="E309" s="275">
        <v>6542</v>
      </c>
      <c r="F309" s="510">
        <v>6603</v>
      </c>
      <c r="G309" s="275">
        <v>15997</v>
      </c>
      <c r="H309" s="510">
        <v>17715</v>
      </c>
      <c r="I309" s="275">
        <f>((429+10)*24)+480</f>
        <v>11016</v>
      </c>
      <c r="J309" s="510">
        <v>11544</v>
      </c>
      <c r="K309" s="275">
        <f>((767+10)*24)+480</f>
        <v>19128</v>
      </c>
      <c r="L309" s="510">
        <v>20064</v>
      </c>
      <c r="M309" s="275">
        <v>19105</v>
      </c>
      <c r="N309" s="510">
        <v>20535</v>
      </c>
      <c r="O309" s="275">
        <v>30384</v>
      </c>
      <c r="P309" s="510">
        <v>31814</v>
      </c>
      <c r="Q309" s="275">
        <v>20615</v>
      </c>
      <c r="R309" s="510">
        <v>21722</v>
      </c>
      <c r="S309" s="275">
        <v>36958</v>
      </c>
      <c r="T309" s="510">
        <v>39957</v>
      </c>
      <c r="U309" s="275">
        <v>18275</v>
      </c>
      <c r="V309" s="510">
        <v>19331</v>
      </c>
      <c r="W309" s="275">
        <v>38288</v>
      </c>
      <c r="X309" s="510">
        <v>40983</v>
      </c>
      <c r="Y309" s="275">
        <v>13382</v>
      </c>
      <c r="Z309" s="510">
        <v>14443</v>
      </c>
      <c r="AA309" s="275">
        <v>26867</v>
      </c>
      <c r="AB309" s="510">
        <v>28297</v>
      </c>
      <c r="AC309" s="275"/>
      <c r="AD309" s="510"/>
      <c r="AE309" s="275"/>
      <c r="AF309" s="510"/>
      <c r="AG309" s="275"/>
      <c r="AH309" s="510"/>
      <c r="AI309" s="275"/>
      <c r="AJ309" s="510"/>
      <c r="AK309" s="275"/>
      <c r="AL309" s="510"/>
      <c r="AM309" s="275"/>
      <c r="AN309" s="510"/>
    </row>
    <row r="310" spans="1:40" s="183" customFormat="1" ht="15" customHeight="1">
      <c r="A310" s="394" t="s">
        <v>529</v>
      </c>
      <c r="B310" s="394" t="s">
        <v>1105</v>
      </c>
      <c r="C310" s="395">
        <v>163204</v>
      </c>
      <c r="D310" s="396">
        <v>15</v>
      </c>
      <c r="E310" s="275">
        <v>7050</v>
      </c>
      <c r="F310" s="510">
        <v>7050</v>
      </c>
      <c r="G310" s="275">
        <v>13470</v>
      </c>
      <c r="H310" s="510">
        <v>14130</v>
      </c>
      <c r="I310" s="275">
        <f>(371+5)*24</f>
        <v>9024</v>
      </c>
      <c r="J310" s="510">
        <v>9456</v>
      </c>
      <c r="K310" s="275">
        <f>(604+5)*24</f>
        <v>14616</v>
      </c>
      <c r="L310" s="510">
        <v>15336</v>
      </c>
      <c r="M310" s="275"/>
      <c r="N310" s="510"/>
      <c r="O310" s="275"/>
      <c r="P310" s="510"/>
      <c r="Q310" s="275"/>
      <c r="R310" s="510"/>
      <c r="S310" s="275"/>
      <c r="T310" s="510"/>
      <c r="U310" s="275"/>
      <c r="V310" s="510"/>
      <c r="W310" s="275"/>
      <c r="X310" s="510"/>
      <c r="Y310" s="275"/>
      <c r="Z310" s="510"/>
      <c r="AA310" s="275"/>
      <c r="AB310" s="510"/>
      <c r="AC310" s="275"/>
      <c r="AD310" s="510"/>
      <c r="AE310" s="275"/>
      <c r="AF310" s="510"/>
      <c r="AG310" s="275"/>
      <c r="AH310" s="510"/>
      <c r="AI310" s="275"/>
      <c r="AJ310" s="510"/>
      <c r="AK310" s="275"/>
      <c r="AL310" s="510"/>
      <c r="AM310" s="275"/>
      <c r="AN310" s="510"/>
    </row>
    <row r="311" spans="1:40" s="327" customFormat="1" ht="15" customHeight="1">
      <c r="A311" s="325" t="s">
        <v>530</v>
      </c>
      <c r="B311" s="452" t="s">
        <v>294</v>
      </c>
      <c r="C311" s="329">
        <v>176080</v>
      </c>
      <c r="D311" s="200">
        <v>1</v>
      </c>
      <c r="E311" s="275">
        <v>4595</v>
      </c>
      <c r="F311" s="510">
        <v>4978</v>
      </c>
      <c r="G311" s="275">
        <v>10551</v>
      </c>
      <c r="H311" s="510">
        <v>11469</v>
      </c>
      <c r="I311" s="275">
        <v>4595</v>
      </c>
      <c r="J311" s="510">
        <v>4978</v>
      </c>
      <c r="K311" s="275">
        <v>10551</v>
      </c>
      <c r="L311" s="510">
        <v>11469</v>
      </c>
      <c r="M311" s="275"/>
      <c r="N311" s="510"/>
      <c r="O311" s="275"/>
      <c r="P311" s="510"/>
      <c r="Q311" s="275"/>
      <c r="R311" s="510"/>
      <c r="S311" s="275"/>
      <c r="T311" s="510"/>
      <c r="U311" s="275"/>
      <c r="V311" s="510"/>
      <c r="W311" s="275"/>
      <c r="X311" s="510"/>
      <c r="Y311" s="275"/>
      <c r="Z311" s="510"/>
      <c r="AA311" s="275"/>
      <c r="AB311" s="510"/>
      <c r="AC311" s="275"/>
      <c r="AD311" s="510"/>
      <c r="AE311" s="275"/>
      <c r="AF311" s="510"/>
      <c r="AG311" s="275"/>
      <c r="AH311" s="510"/>
      <c r="AI311" s="275"/>
      <c r="AJ311" s="510"/>
      <c r="AK311" s="275">
        <v>11928</v>
      </c>
      <c r="AL311" s="510">
        <v>12968</v>
      </c>
      <c r="AM311" s="275">
        <v>30670</v>
      </c>
      <c r="AN311" s="510">
        <v>32750</v>
      </c>
    </row>
    <row r="312" spans="1:40" s="327" customFormat="1" ht="15" customHeight="1">
      <c r="A312" s="325" t="s">
        <v>530</v>
      </c>
      <c r="B312" s="325" t="s">
        <v>292</v>
      </c>
      <c r="C312" s="326">
        <v>176372</v>
      </c>
      <c r="D312" s="326">
        <v>1</v>
      </c>
      <c r="E312" s="275">
        <v>4593</v>
      </c>
      <c r="F312" s="510">
        <v>4915</v>
      </c>
      <c r="G312" s="275">
        <v>10811</v>
      </c>
      <c r="H312" s="510">
        <v>11693</v>
      </c>
      <c r="I312" s="275">
        <v>4593</v>
      </c>
      <c r="J312" s="510">
        <v>4915</v>
      </c>
      <c r="K312" s="275">
        <v>10811</v>
      </c>
      <c r="L312" s="510">
        <v>11693</v>
      </c>
      <c r="M312" s="275"/>
      <c r="N312" s="510"/>
      <c r="O312" s="275"/>
      <c r="P312" s="510"/>
      <c r="Q312" s="275"/>
      <c r="R312" s="510"/>
      <c r="S312" s="275"/>
      <c r="T312" s="510"/>
      <c r="U312" s="275"/>
      <c r="V312" s="510"/>
      <c r="W312" s="275"/>
      <c r="X312" s="510"/>
      <c r="Y312" s="275"/>
      <c r="Z312" s="510"/>
      <c r="AA312" s="275"/>
      <c r="AB312" s="510"/>
      <c r="AC312" s="275"/>
      <c r="AD312" s="510"/>
      <c r="AE312" s="275"/>
      <c r="AF312" s="510"/>
      <c r="AG312" s="275"/>
      <c r="AH312" s="510"/>
      <c r="AI312" s="275"/>
      <c r="AJ312" s="510"/>
      <c r="AK312" s="275"/>
      <c r="AL312" s="510"/>
      <c r="AM312" s="275"/>
      <c r="AN312" s="510"/>
    </row>
    <row r="313" spans="1:40" s="327" customFormat="1" ht="15" customHeight="1">
      <c r="A313" s="325" t="s">
        <v>530</v>
      </c>
      <c r="B313" s="328" t="s">
        <v>295</v>
      </c>
      <c r="C313" s="326">
        <v>176017</v>
      </c>
      <c r="D313" s="326">
        <v>2</v>
      </c>
      <c r="E313" s="275">
        <v>4603</v>
      </c>
      <c r="F313" s="510">
        <v>4934</v>
      </c>
      <c r="G313" s="275">
        <v>10566</v>
      </c>
      <c r="H313" s="510">
        <v>11438</v>
      </c>
      <c r="I313" s="275">
        <v>4603</v>
      </c>
      <c r="J313" s="510">
        <v>4934</v>
      </c>
      <c r="K313" s="275">
        <v>10566</v>
      </c>
      <c r="L313" s="510">
        <v>11438</v>
      </c>
      <c r="M313" s="275">
        <v>8300</v>
      </c>
      <c r="N313" s="510">
        <v>8930</v>
      </c>
      <c r="O313" s="275">
        <v>16180</v>
      </c>
      <c r="P313" s="510">
        <v>18550</v>
      </c>
      <c r="Q313" s="275"/>
      <c r="R313" s="510"/>
      <c r="S313" s="275"/>
      <c r="T313" s="510"/>
      <c r="U313" s="275"/>
      <c r="V313" s="510"/>
      <c r="W313" s="275"/>
      <c r="X313" s="510"/>
      <c r="Y313" s="275">
        <v>7738</v>
      </c>
      <c r="Z313" s="510">
        <v>8548</v>
      </c>
      <c r="AA313" s="275">
        <v>14774</v>
      </c>
      <c r="AB313" s="510">
        <v>17098</v>
      </c>
      <c r="AC313" s="275"/>
      <c r="AD313" s="510"/>
      <c r="AE313" s="275"/>
      <c r="AF313" s="510"/>
      <c r="AG313" s="275"/>
      <c r="AH313" s="510"/>
      <c r="AI313" s="275"/>
      <c r="AJ313" s="510"/>
      <c r="AK313" s="275"/>
      <c r="AL313" s="510"/>
      <c r="AM313" s="275"/>
      <c r="AN313" s="510"/>
    </row>
    <row r="314" spans="1:40" s="327" customFormat="1" ht="15" customHeight="1">
      <c r="A314" s="325" t="s">
        <v>530</v>
      </c>
      <c r="B314" s="328" t="s">
        <v>293</v>
      </c>
      <c r="C314" s="326">
        <v>175856</v>
      </c>
      <c r="D314" s="326">
        <v>2</v>
      </c>
      <c r="E314" s="275">
        <v>4224</v>
      </c>
      <c r="F314" s="510">
        <v>4477</v>
      </c>
      <c r="G314" s="275">
        <v>9553</v>
      </c>
      <c r="H314" s="510">
        <v>10072</v>
      </c>
      <c r="I314" s="275">
        <v>4224</v>
      </c>
      <c r="J314" s="510">
        <v>4477</v>
      </c>
      <c r="K314" s="275">
        <v>9553</v>
      </c>
      <c r="L314" s="510">
        <v>10072</v>
      </c>
      <c r="M314" s="275"/>
      <c r="N314" s="510"/>
      <c r="O314" s="275"/>
      <c r="P314" s="510"/>
      <c r="Q314" s="275"/>
      <c r="R314" s="510"/>
      <c r="S314" s="275"/>
      <c r="T314" s="510"/>
      <c r="U314" s="275"/>
      <c r="V314" s="510"/>
      <c r="W314" s="275"/>
      <c r="X314" s="510"/>
      <c r="Y314" s="275"/>
      <c r="Z314" s="510"/>
      <c r="AA314" s="275"/>
      <c r="AB314" s="510"/>
      <c r="AC314" s="275"/>
      <c r="AD314" s="510"/>
      <c r="AE314" s="275"/>
      <c r="AF314" s="510"/>
      <c r="AG314" s="275"/>
      <c r="AH314" s="510"/>
      <c r="AI314" s="275"/>
      <c r="AJ314" s="510"/>
      <c r="AK314" s="275"/>
      <c r="AL314" s="510"/>
      <c r="AM314" s="275"/>
      <c r="AN314" s="510"/>
    </row>
    <row r="315" spans="1:40" s="327" customFormat="1" ht="15" customHeight="1">
      <c r="A315" s="325" t="s">
        <v>530</v>
      </c>
      <c r="B315" s="325" t="s">
        <v>296</v>
      </c>
      <c r="C315" s="326">
        <v>175342</v>
      </c>
      <c r="D315" s="326">
        <v>4</v>
      </c>
      <c r="E315" s="275">
        <v>4156</v>
      </c>
      <c r="F315" s="510">
        <v>4323</v>
      </c>
      <c r="G315" s="275">
        <v>9332</v>
      </c>
      <c r="H315" s="510">
        <v>9809</v>
      </c>
      <c r="I315" s="275">
        <v>3844</v>
      </c>
      <c r="J315" s="510">
        <v>4324</v>
      </c>
      <c r="K315" s="275">
        <v>9020</v>
      </c>
      <c r="L315" s="510">
        <v>9810</v>
      </c>
      <c r="M315" s="275"/>
      <c r="N315" s="510"/>
      <c r="O315" s="275"/>
      <c r="P315" s="510"/>
      <c r="Q315" s="275"/>
      <c r="R315" s="510"/>
      <c r="S315" s="275"/>
      <c r="T315" s="510"/>
      <c r="U315" s="275"/>
      <c r="V315" s="510"/>
      <c r="W315" s="275"/>
      <c r="X315" s="510"/>
      <c r="Y315" s="275"/>
      <c r="Z315" s="510"/>
      <c r="AA315" s="275"/>
      <c r="AB315" s="510"/>
      <c r="AC315" s="275"/>
      <c r="AD315" s="510"/>
      <c r="AE315" s="275"/>
      <c r="AF315" s="510"/>
      <c r="AG315" s="275"/>
      <c r="AH315" s="510"/>
      <c r="AI315" s="275"/>
      <c r="AJ315" s="510"/>
      <c r="AK315" s="275"/>
      <c r="AL315" s="510"/>
      <c r="AM315" s="275"/>
      <c r="AN315" s="510"/>
    </row>
    <row r="316" spans="1:40" s="327" customFormat="1" ht="15" customHeight="1">
      <c r="A316" s="325" t="s">
        <v>530</v>
      </c>
      <c r="B316" s="328" t="s">
        <v>297</v>
      </c>
      <c r="C316" s="329">
        <v>175616</v>
      </c>
      <c r="D316" s="200">
        <v>4</v>
      </c>
      <c r="E316" s="275">
        <v>4008</v>
      </c>
      <c r="F316" s="510">
        <v>4248</v>
      </c>
      <c r="G316" s="275">
        <v>9574</v>
      </c>
      <c r="H316" s="510">
        <v>10259</v>
      </c>
      <c r="I316" s="275">
        <v>4008</v>
      </c>
      <c r="J316" s="510">
        <v>4248</v>
      </c>
      <c r="K316" s="275">
        <v>9574</v>
      </c>
      <c r="L316" s="510">
        <v>10259</v>
      </c>
      <c r="M316" s="275"/>
      <c r="N316" s="510"/>
      <c r="O316" s="275"/>
      <c r="P316" s="510"/>
      <c r="Q316" s="275"/>
      <c r="R316" s="510"/>
      <c r="S316" s="275"/>
      <c r="T316" s="510"/>
      <c r="U316" s="275"/>
      <c r="V316" s="510"/>
      <c r="W316" s="275"/>
      <c r="X316" s="510"/>
      <c r="Y316" s="275"/>
      <c r="Z316" s="510"/>
      <c r="AA316" s="275"/>
      <c r="AB316" s="510"/>
      <c r="AC316" s="275"/>
      <c r="AD316" s="510"/>
      <c r="AE316" s="275"/>
      <c r="AF316" s="510"/>
      <c r="AG316" s="275"/>
      <c r="AH316" s="510"/>
      <c r="AI316" s="275"/>
      <c r="AJ316" s="510"/>
      <c r="AK316" s="275"/>
      <c r="AL316" s="510"/>
      <c r="AM316" s="275"/>
      <c r="AN316" s="510"/>
    </row>
    <row r="317" spans="1:40" s="327" customFormat="1" ht="15" customHeight="1">
      <c r="A317" s="325" t="s">
        <v>530</v>
      </c>
      <c r="B317" s="325" t="s">
        <v>298</v>
      </c>
      <c r="C317" s="326">
        <v>176035</v>
      </c>
      <c r="D317" s="326">
        <v>5</v>
      </c>
      <c r="E317" s="275">
        <v>3933</v>
      </c>
      <c r="F317" s="510">
        <v>4209</v>
      </c>
      <c r="G317" s="275">
        <v>9724</v>
      </c>
      <c r="H317" s="510">
        <v>10723</v>
      </c>
      <c r="I317" s="275">
        <v>3933</v>
      </c>
      <c r="J317" s="510">
        <v>4209</v>
      </c>
      <c r="K317" s="275">
        <v>9724</v>
      </c>
      <c r="L317" s="510">
        <v>10723</v>
      </c>
      <c r="M317" s="275"/>
      <c r="N317" s="510"/>
      <c r="O317" s="275"/>
      <c r="P317" s="510"/>
      <c r="Q317" s="275"/>
      <c r="R317" s="510"/>
      <c r="S317" s="275"/>
      <c r="T317" s="510"/>
      <c r="U317" s="275"/>
      <c r="V317" s="510"/>
      <c r="W317" s="275"/>
      <c r="X317" s="510"/>
      <c r="Y317" s="275"/>
      <c r="Z317" s="510"/>
      <c r="AA317" s="275"/>
      <c r="AB317" s="510"/>
      <c r="AC317" s="275"/>
      <c r="AD317" s="510"/>
      <c r="AE317" s="275"/>
      <c r="AF317" s="510"/>
      <c r="AG317" s="275"/>
      <c r="AH317" s="510"/>
      <c r="AI317" s="275"/>
      <c r="AJ317" s="510"/>
      <c r="AK317" s="275"/>
      <c r="AL317" s="510"/>
      <c r="AM317" s="275"/>
      <c r="AN317" s="510"/>
    </row>
    <row r="318" spans="1:40" s="327" customFormat="1" ht="15" customHeight="1">
      <c r="A318" s="325" t="s">
        <v>530</v>
      </c>
      <c r="B318" s="328" t="s">
        <v>299</v>
      </c>
      <c r="C318" s="326">
        <v>176044</v>
      </c>
      <c r="D318" s="326">
        <v>5</v>
      </c>
      <c r="E318" s="275">
        <v>4247</v>
      </c>
      <c r="F318" s="510">
        <v>4417</v>
      </c>
      <c r="G318" s="275">
        <v>9701</v>
      </c>
      <c r="H318" s="510">
        <v>10198</v>
      </c>
      <c r="I318" s="275">
        <v>4359</v>
      </c>
      <c r="J318" s="510">
        <v>4578</v>
      </c>
      <c r="K318" s="275">
        <v>9927</v>
      </c>
      <c r="L318" s="510">
        <v>10428</v>
      </c>
      <c r="M318" s="275"/>
      <c r="N318" s="510"/>
      <c r="O318" s="275"/>
      <c r="P318" s="510"/>
      <c r="Q318" s="275"/>
      <c r="R318" s="510"/>
      <c r="S318" s="275"/>
      <c r="T318" s="510"/>
      <c r="U318" s="275"/>
      <c r="V318" s="510"/>
      <c r="W318" s="275"/>
      <c r="X318" s="510"/>
      <c r="Y318" s="275"/>
      <c r="Z318" s="510"/>
      <c r="AA318" s="275"/>
      <c r="AB318" s="510"/>
      <c r="AC318" s="275"/>
      <c r="AD318" s="510"/>
      <c r="AE318" s="275"/>
      <c r="AF318" s="510"/>
      <c r="AG318" s="275"/>
      <c r="AH318" s="510"/>
      <c r="AI318" s="275"/>
      <c r="AJ318" s="510"/>
      <c r="AK318" s="275"/>
      <c r="AL318" s="510"/>
      <c r="AM318" s="275"/>
      <c r="AN318" s="510"/>
    </row>
    <row r="319" spans="1:41" s="183" customFormat="1" ht="15" customHeight="1">
      <c r="A319" s="325" t="s">
        <v>530</v>
      </c>
      <c r="B319" s="325" t="s">
        <v>300</v>
      </c>
      <c r="C319" s="326">
        <v>176026</v>
      </c>
      <c r="D319" s="326">
        <v>15</v>
      </c>
      <c r="E319" s="275">
        <v>4603</v>
      </c>
      <c r="F319" s="510">
        <v>4934</v>
      </c>
      <c r="G319" s="275">
        <v>10566</v>
      </c>
      <c r="H319" s="510">
        <v>11438</v>
      </c>
      <c r="I319" s="275">
        <v>4603</v>
      </c>
      <c r="J319" s="510">
        <v>4934</v>
      </c>
      <c r="K319" s="275">
        <v>10566</v>
      </c>
      <c r="L319" s="510">
        <v>11438</v>
      </c>
      <c r="M319" s="275"/>
      <c r="N319" s="510"/>
      <c r="O319" s="275"/>
      <c r="P319" s="510"/>
      <c r="Q319" s="275">
        <v>8649</v>
      </c>
      <c r="R319" s="510">
        <v>9649</v>
      </c>
      <c r="S319" s="275">
        <v>16661</v>
      </c>
      <c r="T319" s="510">
        <v>18661</v>
      </c>
      <c r="U319" s="275">
        <v>8030</v>
      </c>
      <c r="V319" s="510">
        <v>9030</v>
      </c>
      <c r="W319" s="275">
        <v>16711</v>
      </c>
      <c r="X319" s="510">
        <v>18711</v>
      </c>
      <c r="Y319" s="275"/>
      <c r="Z319" s="510"/>
      <c r="AA319" s="275"/>
      <c r="AB319" s="510"/>
      <c r="AC319" s="275"/>
      <c r="AD319" s="510"/>
      <c r="AE319" s="275"/>
      <c r="AF319" s="510"/>
      <c r="AG319" s="275"/>
      <c r="AH319" s="510"/>
      <c r="AI319" s="275"/>
      <c r="AJ319" s="510"/>
      <c r="AK319" s="275"/>
      <c r="AL319" s="510"/>
      <c r="AM319" s="275"/>
      <c r="AN319" s="510"/>
      <c r="AO319" s="327"/>
    </row>
    <row r="320" spans="1:41" s="327" customFormat="1" ht="15" customHeight="1">
      <c r="A320" s="315" t="s">
        <v>530</v>
      </c>
      <c r="B320" s="331" t="s">
        <v>1107</v>
      </c>
      <c r="C320" s="333">
        <v>175786</v>
      </c>
      <c r="D320" s="321">
        <v>8</v>
      </c>
      <c r="E320" s="275">
        <v>1740</v>
      </c>
      <c r="F320" s="510">
        <v>1740</v>
      </c>
      <c r="G320" s="275">
        <v>3946</v>
      </c>
      <c r="H320" s="510">
        <v>3946</v>
      </c>
      <c r="I320" s="275"/>
      <c r="J320" s="510"/>
      <c r="K320" s="275"/>
      <c r="L320" s="510"/>
      <c r="M320" s="275"/>
      <c r="N320" s="510"/>
      <c r="O320" s="275"/>
      <c r="P320" s="510"/>
      <c r="Q320" s="275"/>
      <c r="R320" s="510"/>
      <c r="S320" s="275"/>
      <c r="T320" s="510"/>
      <c r="U320" s="275"/>
      <c r="V320" s="510"/>
      <c r="W320" s="275"/>
      <c r="X320" s="510"/>
      <c r="Y320" s="275"/>
      <c r="Z320" s="510"/>
      <c r="AA320" s="275"/>
      <c r="AB320" s="510"/>
      <c r="AC320" s="275"/>
      <c r="AD320" s="510"/>
      <c r="AE320" s="275"/>
      <c r="AF320" s="510"/>
      <c r="AG320" s="275"/>
      <c r="AH320" s="510"/>
      <c r="AI320" s="275"/>
      <c r="AJ320" s="510"/>
      <c r="AK320" s="275"/>
      <c r="AL320" s="510"/>
      <c r="AM320" s="275"/>
      <c r="AN320" s="510"/>
      <c r="AO320" s="183"/>
    </row>
    <row r="321" spans="1:41" s="183" customFormat="1" ht="15" customHeight="1">
      <c r="A321" s="315" t="s">
        <v>530</v>
      </c>
      <c r="B321" s="315" t="s">
        <v>1108</v>
      </c>
      <c r="C321" s="330">
        <v>176071</v>
      </c>
      <c r="D321" s="318">
        <v>8</v>
      </c>
      <c r="E321" s="275">
        <v>1602</v>
      </c>
      <c r="F321" s="510">
        <v>1662</v>
      </c>
      <c r="G321" s="275">
        <v>3448</v>
      </c>
      <c r="H321" s="510">
        <v>3508</v>
      </c>
      <c r="I321" s="275"/>
      <c r="J321" s="510"/>
      <c r="K321" s="275"/>
      <c r="L321" s="510"/>
      <c r="M321" s="275"/>
      <c r="N321" s="510"/>
      <c r="O321" s="275"/>
      <c r="P321" s="510"/>
      <c r="Q321" s="275"/>
      <c r="R321" s="510"/>
      <c r="S321" s="275"/>
      <c r="T321" s="510"/>
      <c r="U321" s="275"/>
      <c r="V321" s="510"/>
      <c r="W321" s="275"/>
      <c r="X321" s="510"/>
      <c r="Y321" s="275"/>
      <c r="Z321" s="510"/>
      <c r="AA321" s="275"/>
      <c r="AB321" s="510"/>
      <c r="AC321" s="275"/>
      <c r="AD321" s="510"/>
      <c r="AE321" s="275"/>
      <c r="AF321" s="510"/>
      <c r="AG321" s="275"/>
      <c r="AH321" s="510"/>
      <c r="AI321" s="275"/>
      <c r="AJ321" s="510"/>
      <c r="AK321" s="275"/>
      <c r="AL321" s="510"/>
      <c r="AM321" s="275"/>
      <c r="AN321" s="510"/>
      <c r="AO321" s="403"/>
    </row>
    <row r="322" spans="1:41" s="403" customFormat="1" ht="15" customHeight="1">
      <c r="A322" s="315" t="s">
        <v>530</v>
      </c>
      <c r="B322" s="331" t="s">
        <v>1109</v>
      </c>
      <c r="C322" s="330">
        <v>176178</v>
      </c>
      <c r="D322" s="318">
        <v>8</v>
      </c>
      <c r="E322" s="275">
        <v>1700</v>
      </c>
      <c r="F322" s="510">
        <v>1700</v>
      </c>
      <c r="G322" s="275">
        <v>3700</v>
      </c>
      <c r="H322" s="510">
        <v>3700</v>
      </c>
      <c r="I322" s="275"/>
      <c r="J322" s="510"/>
      <c r="K322" s="275"/>
      <c r="L322" s="510"/>
      <c r="M322" s="275"/>
      <c r="N322" s="510"/>
      <c r="O322" s="275"/>
      <c r="P322" s="510"/>
      <c r="Q322" s="275"/>
      <c r="R322" s="510"/>
      <c r="S322" s="275"/>
      <c r="T322" s="510"/>
      <c r="U322" s="275"/>
      <c r="V322" s="510"/>
      <c r="W322" s="275"/>
      <c r="X322" s="510"/>
      <c r="Y322" s="275"/>
      <c r="Z322" s="510"/>
      <c r="AA322" s="275"/>
      <c r="AB322" s="510"/>
      <c r="AC322" s="275"/>
      <c r="AD322" s="510"/>
      <c r="AE322" s="275"/>
      <c r="AF322" s="510"/>
      <c r="AG322" s="275"/>
      <c r="AH322" s="510"/>
      <c r="AI322" s="275"/>
      <c r="AJ322" s="510"/>
      <c r="AK322" s="275"/>
      <c r="AL322" s="510"/>
      <c r="AM322" s="275"/>
      <c r="AN322" s="510"/>
      <c r="AO322" s="183"/>
    </row>
    <row r="323" spans="1:40" s="183" customFormat="1" ht="15" customHeight="1">
      <c r="A323" s="315" t="s">
        <v>530</v>
      </c>
      <c r="B323" s="331" t="s">
        <v>1110</v>
      </c>
      <c r="C323" s="333">
        <v>175573</v>
      </c>
      <c r="D323" s="321">
        <v>9</v>
      </c>
      <c r="E323" s="275">
        <v>1800</v>
      </c>
      <c r="F323" s="510">
        <v>1800</v>
      </c>
      <c r="G323" s="275">
        <v>3600</v>
      </c>
      <c r="H323" s="510">
        <v>3600</v>
      </c>
      <c r="I323" s="275"/>
      <c r="J323" s="510"/>
      <c r="K323" s="275"/>
      <c r="L323" s="510"/>
      <c r="M323" s="275"/>
      <c r="N323" s="510"/>
      <c r="O323" s="275"/>
      <c r="P323" s="510"/>
      <c r="Q323" s="275"/>
      <c r="R323" s="510"/>
      <c r="S323" s="275"/>
      <c r="T323" s="510"/>
      <c r="U323" s="275"/>
      <c r="V323" s="510"/>
      <c r="W323" s="275"/>
      <c r="X323" s="510"/>
      <c r="Y323" s="275"/>
      <c r="Z323" s="510"/>
      <c r="AA323" s="275"/>
      <c r="AB323" s="510"/>
      <c r="AC323" s="275"/>
      <c r="AD323" s="510"/>
      <c r="AE323" s="275"/>
      <c r="AF323" s="510"/>
      <c r="AG323" s="275"/>
      <c r="AH323" s="510"/>
      <c r="AI323" s="275"/>
      <c r="AJ323" s="510"/>
      <c r="AK323" s="275"/>
      <c r="AL323" s="510"/>
      <c r="AM323" s="275"/>
      <c r="AN323" s="510"/>
    </row>
    <row r="324" spans="1:40" s="183" customFormat="1" ht="15" customHeight="1">
      <c r="A324" s="315" t="s">
        <v>530</v>
      </c>
      <c r="B324" s="331" t="s">
        <v>1111</v>
      </c>
      <c r="C324" s="332">
        <v>175643</v>
      </c>
      <c r="D324" s="324">
        <v>9</v>
      </c>
      <c r="E324" s="275">
        <v>1552</v>
      </c>
      <c r="F324" s="510">
        <v>1552</v>
      </c>
      <c r="G324" s="275">
        <v>3652</v>
      </c>
      <c r="H324" s="510">
        <v>3652</v>
      </c>
      <c r="I324" s="275"/>
      <c r="J324" s="510"/>
      <c r="K324" s="275"/>
      <c r="L324" s="510"/>
      <c r="M324" s="275"/>
      <c r="N324" s="510"/>
      <c r="O324" s="275"/>
      <c r="P324" s="510"/>
      <c r="Q324" s="275"/>
      <c r="R324" s="510"/>
      <c r="S324" s="275"/>
      <c r="T324" s="510"/>
      <c r="U324" s="275"/>
      <c r="V324" s="510"/>
      <c r="W324" s="275"/>
      <c r="X324" s="510"/>
      <c r="Y324" s="275"/>
      <c r="Z324" s="510"/>
      <c r="AA324" s="275"/>
      <c r="AB324" s="510"/>
      <c r="AC324" s="275"/>
      <c r="AD324" s="510"/>
      <c r="AE324" s="275"/>
      <c r="AF324" s="510"/>
      <c r="AG324" s="275"/>
      <c r="AH324" s="510"/>
      <c r="AI324" s="275"/>
      <c r="AJ324" s="510"/>
      <c r="AK324" s="275"/>
      <c r="AL324" s="510"/>
      <c r="AM324" s="275"/>
      <c r="AN324" s="510"/>
    </row>
    <row r="325" spans="1:40" s="183" customFormat="1" ht="15" customHeight="1">
      <c r="A325" s="315" t="s">
        <v>530</v>
      </c>
      <c r="B325" s="331" t="s">
        <v>1112</v>
      </c>
      <c r="C325" s="332">
        <v>175652</v>
      </c>
      <c r="D325" s="324">
        <v>9</v>
      </c>
      <c r="E325" s="275">
        <v>1820</v>
      </c>
      <c r="F325" s="510">
        <v>1820</v>
      </c>
      <c r="G325" s="275">
        <v>3570</v>
      </c>
      <c r="H325" s="510">
        <v>3570</v>
      </c>
      <c r="I325" s="275"/>
      <c r="J325" s="510"/>
      <c r="K325" s="275"/>
      <c r="L325" s="510"/>
      <c r="M325" s="275"/>
      <c r="N325" s="510"/>
      <c r="O325" s="275"/>
      <c r="P325" s="510"/>
      <c r="Q325" s="275"/>
      <c r="R325" s="510"/>
      <c r="S325" s="275"/>
      <c r="T325" s="510"/>
      <c r="U325" s="275"/>
      <c r="V325" s="510"/>
      <c r="W325" s="275"/>
      <c r="X325" s="510"/>
      <c r="Y325" s="275"/>
      <c r="Z325" s="510"/>
      <c r="AA325" s="275"/>
      <c r="AB325" s="510"/>
      <c r="AC325" s="275"/>
      <c r="AD325" s="510"/>
      <c r="AE325" s="275"/>
      <c r="AF325" s="510"/>
      <c r="AG325" s="275"/>
      <c r="AH325" s="510"/>
      <c r="AI325" s="275"/>
      <c r="AJ325" s="510"/>
      <c r="AK325" s="275"/>
      <c r="AL325" s="510"/>
      <c r="AM325" s="275"/>
      <c r="AN325" s="510"/>
    </row>
    <row r="326" spans="1:40" s="183" customFormat="1" ht="15" customHeight="1">
      <c r="A326" s="315" t="s">
        <v>530</v>
      </c>
      <c r="B326" s="315" t="s">
        <v>1113</v>
      </c>
      <c r="C326" s="330">
        <v>175810</v>
      </c>
      <c r="D326" s="318">
        <v>9</v>
      </c>
      <c r="E326" s="275">
        <v>1424</v>
      </c>
      <c r="F326" s="510">
        <v>1424</v>
      </c>
      <c r="G326" s="275">
        <v>3124</v>
      </c>
      <c r="H326" s="510">
        <v>3124</v>
      </c>
      <c r="I326" s="275"/>
      <c r="J326" s="510"/>
      <c r="K326" s="275"/>
      <c r="L326" s="510"/>
      <c r="M326" s="275"/>
      <c r="N326" s="510"/>
      <c r="O326" s="275"/>
      <c r="P326" s="510"/>
      <c r="Q326" s="275"/>
      <c r="R326" s="510"/>
      <c r="S326" s="275"/>
      <c r="T326" s="510"/>
      <c r="U326" s="275"/>
      <c r="V326" s="510"/>
      <c r="W326" s="275"/>
      <c r="X326" s="510"/>
      <c r="Y326" s="275"/>
      <c r="Z326" s="510"/>
      <c r="AA326" s="275"/>
      <c r="AB326" s="510"/>
      <c r="AC326" s="275"/>
      <c r="AD326" s="510"/>
      <c r="AE326" s="275"/>
      <c r="AF326" s="510"/>
      <c r="AG326" s="275"/>
      <c r="AH326" s="510"/>
      <c r="AI326" s="275"/>
      <c r="AJ326" s="510"/>
      <c r="AK326" s="275"/>
      <c r="AL326" s="510"/>
      <c r="AM326" s="275"/>
      <c r="AN326" s="510"/>
    </row>
    <row r="327" spans="1:40" s="183" customFormat="1" ht="15" customHeight="1">
      <c r="A327" s="315" t="s">
        <v>530</v>
      </c>
      <c r="B327" s="315" t="s">
        <v>1114</v>
      </c>
      <c r="C327" s="330">
        <v>175829</v>
      </c>
      <c r="D327" s="318">
        <v>9</v>
      </c>
      <c r="E327" s="275">
        <v>1660</v>
      </c>
      <c r="F327" s="510">
        <v>1660</v>
      </c>
      <c r="G327" s="275">
        <v>3410</v>
      </c>
      <c r="H327" s="510">
        <v>3410</v>
      </c>
      <c r="I327" s="275"/>
      <c r="J327" s="510"/>
      <c r="K327" s="275"/>
      <c r="L327" s="510"/>
      <c r="M327" s="275"/>
      <c r="N327" s="510"/>
      <c r="O327" s="275"/>
      <c r="P327" s="510"/>
      <c r="Q327" s="275"/>
      <c r="R327" s="510"/>
      <c r="S327" s="275"/>
      <c r="T327" s="510"/>
      <c r="U327" s="275"/>
      <c r="V327" s="510"/>
      <c r="W327" s="275"/>
      <c r="X327" s="510"/>
      <c r="Y327" s="275"/>
      <c r="Z327" s="510"/>
      <c r="AA327" s="275"/>
      <c r="AB327" s="510"/>
      <c r="AC327" s="275"/>
      <c r="AD327" s="510"/>
      <c r="AE327" s="275"/>
      <c r="AF327" s="510"/>
      <c r="AG327" s="275"/>
      <c r="AH327" s="510"/>
      <c r="AI327" s="275"/>
      <c r="AJ327" s="510"/>
      <c r="AK327" s="275"/>
      <c r="AL327" s="510"/>
      <c r="AM327" s="275"/>
      <c r="AN327" s="510"/>
    </row>
    <row r="328" spans="1:40" s="183" customFormat="1" ht="15" customHeight="1">
      <c r="A328" s="315" t="s">
        <v>530</v>
      </c>
      <c r="B328" s="315" t="s">
        <v>1115</v>
      </c>
      <c r="C328" s="330">
        <v>175883</v>
      </c>
      <c r="D328" s="318">
        <v>9</v>
      </c>
      <c r="E328" s="275">
        <v>1740</v>
      </c>
      <c r="F328" s="510">
        <v>1760</v>
      </c>
      <c r="G328" s="275">
        <v>3640</v>
      </c>
      <c r="H328" s="510">
        <v>3660</v>
      </c>
      <c r="I328" s="275"/>
      <c r="J328" s="510"/>
      <c r="K328" s="275"/>
      <c r="L328" s="510"/>
      <c r="M328" s="275"/>
      <c r="N328" s="510"/>
      <c r="O328" s="275"/>
      <c r="P328" s="510"/>
      <c r="Q328" s="275"/>
      <c r="R328" s="510"/>
      <c r="S328" s="275"/>
      <c r="T328" s="510"/>
      <c r="U328" s="275"/>
      <c r="V328" s="510"/>
      <c r="W328" s="275"/>
      <c r="X328" s="510"/>
      <c r="Y328" s="275"/>
      <c r="Z328" s="510"/>
      <c r="AA328" s="275"/>
      <c r="AB328" s="510"/>
      <c r="AC328" s="275"/>
      <c r="AD328" s="510"/>
      <c r="AE328" s="275"/>
      <c r="AF328" s="510"/>
      <c r="AG328" s="275"/>
      <c r="AH328" s="510"/>
      <c r="AI328" s="275"/>
      <c r="AJ328" s="510"/>
      <c r="AK328" s="275"/>
      <c r="AL328" s="510"/>
      <c r="AM328" s="275"/>
      <c r="AN328" s="510"/>
    </row>
    <row r="329" spans="1:40" s="183" customFormat="1" ht="15" customHeight="1">
      <c r="A329" s="315" t="s">
        <v>530</v>
      </c>
      <c r="B329" s="315" t="s">
        <v>1116</v>
      </c>
      <c r="C329" s="330">
        <v>175935</v>
      </c>
      <c r="D329" s="318">
        <v>9</v>
      </c>
      <c r="E329" s="275">
        <v>1630</v>
      </c>
      <c r="F329" s="510">
        <v>1630</v>
      </c>
      <c r="G329" s="275">
        <v>3310</v>
      </c>
      <c r="H329" s="510">
        <v>3310</v>
      </c>
      <c r="I329" s="275"/>
      <c r="J329" s="510"/>
      <c r="K329" s="275"/>
      <c r="L329" s="510"/>
      <c r="M329" s="275"/>
      <c r="N329" s="510"/>
      <c r="O329" s="275"/>
      <c r="P329" s="510"/>
      <c r="Q329" s="275"/>
      <c r="R329" s="510"/>
      <c r="S329" s="275"/>
      <c r="T329" s="510"/>
      <c r="U329" s="275"/>
      <c r="V329" s="510"/>
      <c r="W329" s="275"/>
      <c r="X329" s="510"/>
      <c r="Y329" s="275"/>
      <c r="Z329" s="510"/>
      <c r="AA329" s="275"/>
      <c r="AB329" s="510"/>
      <c r="AC329" s="275"/>
      <c r="AD329" s="510"/>
      <c r="AE329" s="275"/>
      <c r="AF329" s="510"/>
      <c r="AG329" s="275"/>
      <c r="AH329" s="510"/>
      <c r="AI329" s="275"/>
      <c r="AJ329" s="510"/>
      <c r="AK329" s="275"/>
      <c r="AL329" s="510"/>
      <c r="AM329" s="275"/>
      <c r="AN329" s="510"/>
    </row>
    <row r="330" spans="1:40" s="183" customFormat="1" ht="15" customHeight="1">
      <c r="A330" s="315" t="s">
        <v>530</v>
      </c>
      <c r="B330" s="315" t="s">
        <v>833</v>
      </c>
      <c r="C330" s="330">
        <v>176008</v>
      </c>
      <c r="D330" s="318">
        <v>9</v>
      </c>
      <c r="E330" s="275">
        <v>1920</v>
      </c>
      <c r="F330" s="510">
        <v>1920</v>
      </c>
      <c r="G330" s="275">
        <v>3528</v>
      </c>
      <c r="H330" s="510">
        <v>3528</v>
      </c>
      <c r="I330" s="275"/>
      <c r="J330" s="510"/>
      <c r="K330" s="275"/>
      <c r="L330" s="510"/>
      <c r="M330" s="275"/>
      <c r="N330" s="510"/>
      <c r="O330" s="275"/>
      <c r="P330" s="510"/>
      <c r="Q330" s="275"/>
      <c r="R330" s="510"/>
      <c r="S330" s="275"/>
      <c r="T330" s="510"/>
      <c r="U330" s="275"/>
      <c r="V330" s="510"/>
      <c r="W330" s="275"/>
      <c r="X330" s="510"/>
      <c r="Y330" s="275"/>
      <c r="Z330" s="510"/>
      <c r="AA330" s="275"/>
      <c r="AB330" s="510"/>
      <c r="AC330" s="275"/>
      <c r="AD330" s="510"/>
      <c r="AE330" s="275"/>
      <c r="AF330" s="510"/>
      <c r="AG330" s="275"/>
      <c r="AH330" s="510"/>
      <c r="AI330" s="275"/>
      <c r="AJ330" s="510"/>
      <c r="AK330" s="275"/>
      <c r="AL330" s="510"/>
      <c r="AM330" s="275"/>
      <c r="AN330" s="510"/>
    </row>
    <row r="331" spans="1:40" s="183" customFormat="1" ht="15" customHeight="1">
      <c r="A331" s="315" t="s">
        <v>530</v>
      </c>
      <c r="B331" s="315" t="s">
        <v>834</v>
      </c>
      <c r="C331" s="330">
        <v>176169</v>
      </c>
      <c r="D331" s="318">
        <v>9</v>
      </c>
      <c r="E331" s="275">
        <v>1764</v>
      </c>
      <c r="F331" s="510">
        <v>1830</v>
      </c>
      <c r="G331" s="275">
        <v>3484</v>
      </c>
      <c r="H331" s="510">
        <v>3660</v>
      </c>
      <c r="I331" s="275"/>
      <c r="J331" s="510"/>
      <c r="K331" s="275"/>
      <c r="L331" s="510"/>
      <c r="M331" s="275"/>
      <c r="N331" s="510"/>
      <c r="O331" s="275"/>
      <c r="P331" s="510"/>
      <c r="Q331" s="275"/>
      <c r="R331" s="510"/>
      <c r="S331" s="275"/>
      <c r="T331" s="510"/>
      <c r="U331" s="275"/>
      <c r="V331" s="510"/>
      <c r="W331" s="275"/>
      <c r="X331" s="510"/>
      <c r="Y331" s="275"/>
      <c r="Z331" s="510"/>
      <c r="AA331" s="275"/>
      <c r="AB331" s="510"/>
      <c r="AC331" s="275"/>
      <c r="AD331" s="510"/>
      <c r="AE331" s="275"/>
      <c r="AF331" s="510"/>
      <c r="AG331" s="275"/>
      <c r="AH331" s="510"/>
      <c r="AI331" s="275"/>
      <c r="AJ331" s="510"/>
      <c r="AK331" s="275"/>
      <c r="AL331" s="510"/>
      <c r="AM331" s="275"/>
      <c r="AN331" s="510"/>
    </row>
    <row r="332" spans="1:41" s="183" customFormat="1" ht="15" customHeight="1">
      <c r="A332" s="315" t="s">
        <v>530</v>
      </c>
      <c r="B332" s="331" t="s">
        <v>835</v>
      </c>
      <c r="C332" s="333">
        <v>176239</v>
      </c>
      <c r="D332" s="318">
        <v>9</v>
      </c>
      <c r="E332" s="275">
        <v>1726</v>
      </c>
      <c r="F332" s="510">
        <v>1726</v>
      </c>
      <c r="G332" s="275">
        <v>4124</v>
      </c>
      <c r="H332" s="510">
        <v>4124</v>
      </c>
      <c r="I332" s="275"/>
      <c r="J332" s="510"/>
      <c r="K332" s="275"/>
      <c r="L332" s="510"/>
      <c r="M332" s="275"/>
      <c r="N332" s="510"/>
      <c r="O332" s="275"/>
      <c r="P332" s="510"/>
      <c r="Q332" s="275"/>
      <c r="R332" s="510"/>
      <c r="S332" s="275"/>
      <c r="T332" s="510"/>
      <c r="U332" s="275"/>
      <c r="V332" s="510"/>
      <c r="W332" s="275"/>
      <c r="X332" s="510"/>
      <c r="Y332" s="275"/>
      <c r="Z332" s="510"/>
      <c r="AA332" s="275"/>
      <c r="AB332" s="510"/>
      <c r="AC332" s="275"/>
      <c r="AD332" s="510"/>
      <c r="AE332" s="275"/>
      <c r="AF332" s="510"/>
      <c r="AG332" s="275"/>
      <c r="AH332" s="510"/>
      <c r="AI332" s="275"/>
      <c r="AJ332" s="510"/>
      <c r="AK332" s="275"/>
      <c r="AL332" s="510"/>
      <c r="AM332" s="275"/>
      <c r="AN332" s="510"/>
      <c r="AO332" s="403"/>
    </row>
    <row r="333" spans="1:41" s="403" customFormat="1" ht="15" customHeight="1">
      <c r="A333" s="315" t="s">
        <v>530</v>
      </c>
      <c r="B333" s="315" t="s">
        <v>836</v>
      </c>
      <c r="C333" s="330">
        <v>175519</v>
      </c>
      <c r="D333" s="318">
        <v>10</v>
      </c>
      <c r="E333" s="275">
        <v>1800</v>
      </c>
      <c r="F333" s="510">
        <v>1800</v>
      </c>
      <c r="G333" s="275">
        <v>4700</v>
      </c>
      <c r="H333" s="510">
        <v>4700</v>
      </c>
      <c r="I333" s="275"/>
      <c r="J333" s="510"/>
      <c r="K333" s="275"/>
      <c r="L333" s="510"/>
      <c r="M333" s="275"/>
      <c r="N333" s="510"/>
      <c r="O333" s="275"/>
      <c r="P333" s="510"/>
      <c r="Q333" s="275"/>
      <c r="R333" s="510"/>
      <c r="S333" s="275"/>
      <c r="T333" s="510"/>
      <c r="U333" s="275"/>
      <c r="V333" s="510"/>
      <c r="W333" s="275"/>
      <c r="X333" s="510"/>
      <c r="Y333" s="275"/>
      <c r="Z333" s="510"/>
      <c r="AA333" s="275"/>
      <c r="AB333" s="510"/>
      <c r="AC333" s="275"/>
      <c r="AD333" s="510"/>
      <c r="AE333" s="275"/>
      <c r="AF333" s="510"/>
      <c r="AG333" s="275"/>
      <c r="AH333" s="510"/>
      <c r="AI333" s="275"/>
      <c r="AJ333" s="510"/>
      <c r="AK333" s="275"/>
      <c r="AL333" s="510"/>
      <c r="AM333" s="275"/>
      <c r="AN333" s="510"/>
      <c r="AO333" s="183"/>
    </row>
    <row r="334" spans="1:40" s="183" customFormat="1" ht="15" customHeight="1">
      <c r="A334" s="315" t="s">
        <v>530</v>
      </c>
      <c r="B334" s="315" t="s">
        <v>837</v>
      </c>
      <c r="C334" s="330">
        <v>176354</v>
      </c>
      <c r="D334" s="318">
        <v>10</v>
      </c>
      <c r="E334" s="275">
        <v>1800</v>
      </c>
      <c r="F334" s="510">
        <v>1800</v>
      </c>
      <c r="G334" s="275">
        <v>4000</v>
      </c>
      <c r="H334" s="510">
        <v>4500</v>
      </c>
      <c r="I334" s="275"/>
      <c r="J334" s="510"/>
      <c r="K334" s="275"/>
      <c r="L334" s="510"/>
      <c r="M334" s="275"/>
      <c r="N334" s="510"/>
      <c r="O334" s="275"/>
      <c r="P334" s="510"/>
      <c r="Q334" s="275"/>
      <c r="R334" s="510"/>
      <c r="S334" s="275"/>
      <c r="T334" s="510"/>
      <c r="U334" s="275"/>
      <c r="V334" s="510"/>
      <c r="W334" s="275"/>
      <c r="X334" s="510"/>
      <c r="Y334" s="275"/>
      <c r="Z334" s="510"/>
      <c r="AA334" s="275"/>
      <c r="AB334" s="510"/>
      <c r="AC334" s="275"/>
      <c r="AD334" s="510"/>
      <c r="AE334" s="275"/>
      <c r="AF334" s="510"/>
      <c r="AG334" s="275"/>
      <c r="AH334" s="510"/>
      <c r="AI334" s="275"/>
      <c r="AJ334" s="510"/>
      <c r="AK334" s="275"/>
      <c r="AL334" s="510"/>
      <c r="AM334" s="275"/>
      <c r="AN334" s="510"/>
    </row>
    <row r="335" spans="1:40" s="183" customFormat="1" ht="15" customHeight="1">
      <c r="A335" s="189" t="s">
        <v>531</v>
      </c>
      <c r="B335" s="189" t="s">
        <v>263</v>
      </c>
      <c r="C335" s="190">
        <v>199120</v>
      </c>
      <c r="D335" s="191">
        <v>1</v>
      </c>
      <c r="E335" s="275">
        <v>5033</v>
      </c>
      <c r="F335" s="510">
        <v>5340</v>
      </c>
      <c r="G335" s="275">
        <v>19681</v>
      </c>
      <c r="H335" s="510">
        <v>20988</v>
      </c>
      <c r="I335" s="275">
        <v>5680</v>
      </c>
      <c r="J335" s="510">
        <f>4613+1623</f>
        <v>6236</v>
      </c>
      <c r="K335" s="275">
        <v>19678</v>
      </c>
      <c r="L335" s="510">
        <f>18611+1623</f>
        <v>20234</v>
      </c>
      <c r="M335" s="275">
        <v>12947</v>
      </c>
      <c r="N335" s="510">
        <f>10202+2802</f>
        <v>13004</v>
      </c>
      <c r="O335" s="275">
        <v>25365</v>
      </c>
      <c r="P335" s="510">
        <f>22620+2802</f>
        <v>25422</v>
      </c>
      <c r="Q335" s="275">
        <v>11373</v>
      </c>
      <c r="R335" s="510">
        <f>10292+1627</f>
        <v>11919</v>
      </c>
      <c r="S335" s="275">
        <v>35039</v>
      </c>
      <c r="T335" s="510">
        <f>33958+1627</f>
        <v>35585</v>
      </c>
      <c r="U335" s="275">
        <v>14461</v>
      </c>
      <c r="V335" s="510">
        <f>12635+1882</f>
        <v>14517</v>
      </c>
      <c r="W335" s="275">
        <v>29943</v>
      </c>
      <c r="X335" s="510">
        <f>28117+1882</f>
        <v>29999</v>
      </c>
      <c r="Y335" s="275">
        <v>11449</v>
      </c>
      <c r="Z335" s="510">
        <f>11380+1626</f>
        <v>13006</v>
      </c>
      <c r="AA335" s="275">
        <v>27384</v>
      </c>
      <c r="AB335" s="510">
        <f>27351+1626</f>
        <v>28977</v>
      </c>
      <c r="AC335" s="275"/>
      <c r="AD335" s="510"/>
      <c r="AE335" s="275"/>
      <c r="AF335" s="510"/>
      <c r="AG335" s="275"/>
      <c r="AH335" s="510"/>
      <c r="AI335" s="275"/>
      <c r="AJ335" s="510"/>
      <c r="AK335" s="275"/>
      <c r="AL335" s="510"/>
      <c r="AM335" s="275"/>
      <c r="AN335" s="510"/>
    </row>
    <row r="336" spans="1:40" s="183" customFormat="1" ht="15" customHeight="1">
      <c r="A336" s="189" t="s">
        <v>531</v>
      </c>
      <c r="B336" s="189" t="s">
        <v>262</v>
      </c>
      <c r="C336" s="190">
        <v>199193</v>
      </c>
      <c r="D336" s="191">
        <v>1</v>
      </c>
      <c r="E336" s="275">
        <v>4783</v>
      </c>
      <c r="F336" s="510">
        <v>5117</v>
      </c>
      <c r="G336" s="275">
        <v>16981</v>
      </c>
      <c r="H336" s="510">
        <v>17315</v>
      </c>
      <c r="I336" s="275">
        <v>5302</v>
      </c>
      <c r="J336" s="510">
        <f>4268+1368</f>
        <v>5636</v>
      </c>
      <c r="K336" s="275">
        <v>17350</v>
      </c>
      <c r="L336" s="510">
        <f>16316+1368</f>
        <v>17684</v>
      </c>
      <c r="M336" s="275"/>
      <c r="N336" s="510"/>
      <c r="O336" s="275"/>
      <c r="P336" s="510"/>
      <c r="Q336" s="275"/>
      <c r="R336" s="510"/>
      <c r="S336" s="275"/>
      <c r="T336" s="510"/>
      <c r="U336" s="275"/>
      <c r="V336" s="510"/>
      <c r="W336" s="275"/>
      <c r="X336" s="510"/>
      <c r="Y336" s="275"/>
      <c r="Z336" s="510"/>
      <c r="AA336" s="275"/>
      <c r="AB336" s="510"/>
      <c r="AC336" s="275"/>
      <c r="AD336" s="510"/>
      <c r="AE336" s="275"/>
      <c r="AF336" s="510"/>
      <c r="AG336" s="275"/>
      <c r="AH336" s="510"/>
      <c r="AI336" s="275"/>
      <c r="AJ336" s="510"/>
      <c r="AK336" s="275">
        <v>10246</v>
      </c>
      <c r="AL336" s="510">
        <f>9212+1368</f>
        <v>10580</v>
      </c>
      <c r="AM336" s="275">
        <v>33009</v>
      </c>
      <c r="AN336" s="510">
        <f>31975+1368</f>
        <v>33343</v>
      </c>
    </row>
    <row r="337" spans="1:40" s="183" customFormat="1" ht="15" customHeight="1">
      <c r="A337" s="189" t="s">
        <v>531</v>
      </c>
      <c r="B337" s="453" t="s">
        <v>472</v>
      </c>
      <c r="C337" s="215">
        <v>199139</v>
      </c>
      <c r="D337" s="216">
        <v>2</v>
      </c>
      <c r="E337" s="275">
        <v>3895</v>
      </c>
      <c r="F337" s="510">
        <v>4153</v>
      </c>
      <c r="G337" s="275">
        <v>14307</v>
      </c>
      <c r="H337" s="510">
        <v>14565</v>
      </c>
      <c r="I337" s="275">
        <v>4270</v>
      </c>
      <c r="J337" s="510">
        <f>2855+1692</f>
        <v>4547</v>
      </c>
      <c r="K337" s="275">
        <v>14477</v>
      </c>
      <c r="L337" s="510">
        <f>13062+1692</f>
        <v>14754</v>
      </c>
      <c r="M337" s="275"/>
      <c r="N337" s="510"/>
      <c r="O337" s="275"/>
      <c r="P337" s="510"/>
      <c r="Q337" s="275"/>
      <c r="R337" s="510"/>
      <c r="S337" s="275"/>
      <c r="T337" s="510"/>
      <c r="U337" s="275"/>
      <c r="V337" s="510"/>
      <c r="W337" s="275"/>
      <c r="X337" s="510"/>
      <c r="Y337" s="275"/>
      <c r="Z337" s="510"/>
      <c r="AA337" s="275"/>
      <c r="AB337" s="510"/>
      <c r="AC337" s="275"/>
      <c r="AD337" s="510"/>
      <c r="AE337" s="275"/>
      <c r="AF337" s="510"/>
      <c r="AG337" s="275"/>
      <c r="AH337" s="510"/>
      <c r="AI337" s="275"/>
      <c r="AJ337" s="510"/>
      <c r="AK337" s="275"/>
      <c r="AL337" s="510"/>
      <c r="AM337" s="275"/>
      <c r="AN337" s="510"/>
    </row>
    <row r="338" spans="1:40" s="183" customFormat="1" ht="15" customHeight="1">
      <c r="A338" s="189" t="s">
        <v>531</v>
      </c>
      <c r="B338" s="189" t="s">
        <v>264</v>
      </c>
      <c r="C338" s="190">
        <v>199148</v>
      </c>
      <c r="D338" s="191">
        <v>2</v>
      </c>
      <c r="E338" s="275">
        <v>3813</v>
      </c>
      <c r="F338" s="510">
        <v>4029</v>
      </c>
      <c r="G338" s="275">
        <v>15081</v>
      </c>
      <c r="H338" s="510">
        <v>15297</v>
      </c>
      <c r="I338" s="275">
        <v>4197</v>
      </c>
      <c r="J338" s="510">
        <f>2842+1571</f>
        <v>4413</v>
      </c>
      <c r="K338" s="275">
        <v>15247</v>
      </c>
      <c r="L338" s="510">
        <f>13892+1571</f>
        <v>15463</v>
      </c>
      <c r="M338" s="275"/>
      <c r="N338" s="510"/>
      <c r="O338" s="275"/>
      <c r="P338" s="510"/>
      <c r="Q338" s="275"/>
      <c r="R338" s="510"/>
      <c r="S338" s="275"/>
      <c r="T338" s="510"/>
      <c r="U338" s="275"/>
      <c r="V338" s="510"/>
      <c r="W338" s="275"/>
      <c r="X338" s="510"/>
      <c r="Y338" s="275"/>
      <c r="Z338" s="510"/>
      <c r="AA338" s="275"/>
      <c r="AB338" s="510"/>
      <c r="AC338" s="275"/>
      <c r="AD338" s="510"/>
      <c r="AE338" s="275"/>
      <c r="AF338" s="510"/>
      <c r="AG338" s="275"/>
      <c r="AH338" s="510"/>
      <c r="AI338" s="275"/>
      <c r="AJ338" s="510"/>
      <c r="AK338" s="275"/>
      <c r="AL338" s="510"/>
      <c r="AM338" s="275"/>
      <c r="AN338" s="510"/>
    </row>
    <row r="339" spans="1:40" s="183" customFormat="1" ht="15" customHeight="1">
      <c r="A339" s="189" t="s">
        <v>531</v>
      </c>
      <c r="B339" s="192" t="s">
        <v>437</v>
      </c>
      <c r="C339" s="215">
        <v>198464</v>
      </c>
      <c r="D339" s="216">
        <v>3</v>
      </c>
      <c r="E339" s="275">
        <v>4003</v>
      </c>
      <c r="F339" s="510">
        <v>4368</v>
      </c>
      <c r="G339" s="275">
        <v>14517</v>
      </c>
      <c r="H339" s="510">
        <v>14882</v>
      </c>
      <c r="I339" s="275">
        <v>4484</v>
      </c>
      <c r="J339" s="510">
        <f>2912+1937</f>
        <v>4849</v>
      </c>
      <c r="K339" s="275">
        <v>14800</v>
      </c>
      <c r="L339" s="510">
        <f>13228+1937</f>
        <v>15165</v>
      </c>
      <c r="M339" s="275"/>
      <c r="N339" s="510"/>
      <c r="O339" s="275"/>
      <c r="P339" s="510"/>
      <c r="Q339" s="275">
        <v>8844</v>
      </c>
      <c r="R339" s="510">
        <f>7130+1936</f>
        <v>9066</v>
      </c>
      <c r="S339" s="275">
        <v>33834</v>
      </c>
      <c r="T339" s="510">
        <f>32239+1936</f>
        <v>34175</v>
      </c>
      <c r="U339" s="275"/>
      <c r="V339" s="510"/>
      <c r="W339" s="275"/>
      <c r="X339" s="510"/>
      <c r="Y339" s="275"/>
      <c r="Z339" s="510"/>
      <c r="AA339" s="275"/>
      <c r="AB339" s="510"/>
      <c r="AC339" s="275"/>
      <c r="AD339" s="510"/>
      <c r="AE339" s="275"/>
      <c r="AF339" s="510"/>
      <c r="AG339" s="275"/>
      <c r="AH339" s="510"/>
      <c r="AI339" s="275"/>
      <c r="AJ339" s="510"/>
      <c r="AK339" s="275"/>
      <c r="AL339" s="510"/>
      <c r="AM339" s="275"/>
      <c r="AN339" s="510"/>
    </row>
    <row r="340" spans="1:40" s="183" customFormat="1" ht="15" customHeight="1">
      <c r="A340" s="189" t="s">
        <v>531</v>
      </c>
      <c r="B340" s="189" t="s">
        <v>439</v>
      </c>
      <c r="C340" s="190">
        <v>199157</v>
      </c>
      <c r="D340" s="191">
        <v>3</v>
      </c>
      <c r="E340" s="275">
        <v>3396</v>
      </c>
      <c r="F340" s="510">
        <v>3606</v>
      </c>
      <c r="G340" s="275">
        <v>13140</v>
      </c>
      <c r="H340" s="510">
        <v>13350</v>
      </c>
      <c r="I340" s="275">
        <v>3844</v>
      </c>
      <c r="J340" s="510">
        <f>2690+1364</f>
        <v>4054</v>
      </c>
      <c r="K340" s="275">
        <v>13425</v>
      </c>
      <c r="L340" s="510">
        <f>12271+1364</f>
        <v>13635</v>
      </c>
      <c r="M340" s="275">
        <v>4063</v>
      </c>
      <c r="N340" s="510">
        <f>3670+1463</f>
        <v>5133</v>
      </c>
      <c r="O340" s="275">
        <v>15923</v>
      </c>
      <c r="P340" s="510">
        <f>15530+1463</f>
        <v>16993</v>
      </c>
      <c r="Q340" s="275"/>
      <c r="R340" s="510"/>
      <c r="S340" s="275"/>
      <c r="T340" s="510"/>
      <c r="U340" s="275"/>
      <c r="V340" s="510"/>
      <c r="W340" s="275"/>
      <c r="X340" s="510"/>
      <c r="Y340" s="275"/>
      <c r="Z340" s="510"/>
      <c r="AA340" s="275"/>
      <c r="AB340" s="510"/>
      <c r="AC340" s="275"/>
      <c r="AD340" s="510"/>
      <c r="AE340" s="275"/>
      <c r="AF340" s="510"/>
      <c r="AG340" s="275"/>
      <c r="AH340" s="510"/>
      <c r="AI340" s="275"/>
      <c r="AJ340" s="510"/>
      <c r="AK340" s="275"/>
      <c r="AL340" s="510"/>
      <c r="AM340" s="275"/>
      <c r="AN340" s="510"/>
    </row>
    <row r="341" spans="1:40" s="183" customFormat="1" ht="15" customHeight="1">
      <c r="A341" s="189" t="s">
        <v>531</v>
      </c>
      <c r="B341" s="189" t="s">
        <v>436</v>
      </c>
      <c r="C341" s="190">
        <v>197869</v>
      </c>
      <c r="D341" s="191">
        <v>3</v>
      </c>
      <c r="E341" s="275">
        <v>4023</v>
      </c>
      <c r="F341" s="510">
        <v>4241</v>
      </c>
      <c r="G341" s="275">
        <v>13765</v>
      </c>
      <c r="H341" s="510">
        <v>13983</v>
      </c>
      <c r="I341" s="275">
        <v>4425</v>
      </c>
      <c r="J341" s="510">
        <f>2593+2050</f>
        <v>4643</v>
      </c>
      <c r="K341" s="275">
        <v>14008</v>
      </c>
      <c r="L341" s="510">
        <f>12176+2050</f>
        <v>14226</v>
      </c>
      <c r="M341" s="275"/>
      <c r="N341" s="510"/>
      <c r="O341" s="275"/>
      <c r="P341" s="510"/>
      <c r="Q341" s="275"/>
      <c r="R341" s="510"/>
      <c r="S341" s="275"/>
      <c r="T341" s="510"/>
      <c r="U341" s="275"/>
      <c r="V341" s="510"/>
      <c r="W341" s="275"/>
      <c r="X341" s="510"/>
      <c r="Y341" s="275"/>
      <c r="Z341" s="510"/>
      <c r="AA341" s="275"/>
      <c r="AB341" s="510"/>
      <c r="AC341" s="275"/>
      <c r="AD341" s="510"/>
      <c r="AE341" s="275"/>
      <c r="AF341" s="510"/>
      <c r="AG341" s="275"/>
      <c r="AH341" s="510"/>
      <c r="AI341" s="275"/>
      <c r="AJ341" s="510"/>
      <c r="AK341" s="275"/>
      <c r="AL341" s="510"/>
      <c r="AM341" s="275"/>
      <c r="AN341" s="510"/>
    </row>
    <row r="342" spans="1:40" s="183" customFormat="1" ht="15" customHeight="1">
      <c r="A342" s="189" t="s">
        <v>531</v>
      </c>
      <c r="B342" s="189" t="s">
        <v>438</v>
      </c>
      <c r="C342" s="190">
        <v>199102</v>
      </c>
      <c r="D342" s="191">
        <v>3</v>
      </c>
      <c r="E342" s="275">
        <v>3414</v>
      </c>
      <c r="F342" s="510">
        <v>3500</v>
      </c>
      <c r="G342" s="275">
        <v>12856</v>
      </c>
      <c r="H342" s="510">
        <v>12942</v>
      </c>
      <c r="I342" s="275">
        <v>3486</v>
      </c>
      <c r="J342" s="510">
        <f>2066+1506</f>
        <v>3572</v>
      </c>
      <c r="K342" s="275">
        <v>13071</v>
      </c>
      <c r="L342" s="510">
        <f>11651+1506</f>
        <v>13157</v>
      </c>
      <c r="M342" s="275"/>
      <c r="N342" s="510"/>
      <c r="O342" s="275"/>
      <c r="P342" s="510"/>
      <c r="Q342" s="275"/>
      <c r="R342" s="510"/>
      <c r="S342" s="275"/>
      <c r="T342" s="510"/>
      <c r="U342" s="275"/>
      <c r="V342" s="510"/>
      <c r="W342" s="275"/>
      <c r="X342" s="510"/>
      <c r="Y342" s="275"/>
      <c r="Z342" s="510"/>
      <c r="AA342" s="275"/>
      <c r="AB342" s="510"/>
      <c r="AC342" s="275"/>
      <c r="AD342" s="510"/>
      <c r="AE342" s="275"/>
      <c r="AF342" s="510"/>
      <c r="AG342" s="275"/>
      <c r="AH342" s="510"/>
      <c r="AI342" s="275"/>
      <c r="AJ342" s="510"/>
      <c r="AK342" s="275"/>
      <c r="AL342" s="510"/>
      <c r="AM342" s="275"/>
      <c r="AN342" s="510"/>
    </row>
    <row r="343" spans="1:40" s="183" customFormat="1" ht="15" customHeight="1">
      <c r="A343" s="189" t="s">
        <v>531</v>
      </c>
      <c r="B343" s="189" t="s">
        <v>473</v>
      </c>
      <c r="C343" s="190">
        <v>199218</v>
      </c>
      <c r="D343" s="277">
        <v>3</v>
      </c>
      <c r="E343" s="275">
        <v>4160</v>
      </c>
      <c r="F343" s="510">
        <v>4399</v>
      </c>
      <c r="G343" s="275">
        <v>14095</v>
      </c>
      <c r="H343" s="510">
        <v>14362</v>
      </c>
      <c r="I343" s="275">
        <v>4461</v>
      </c>
      <c r="J343" s="510">
        <f>2714+1986</f>
        <v>4700</v>
      </c>
      <c r="K343" s="275">
        <v>14298</v>
      </c>
      <c r="L343" s="510">
        <f>12579+1986</f>
        <v>14565</v>
      </c>
      <c r="M343" s="275"/>
      <c r="N343" s="510"/>
      <c r="O343" s="275"/>
      <c r="P343" s="510"/>
      <c r="Q343" s="275"/>
      <c r="R343" s="510"/>
      <c r="S343" s="275"/>
      <c r="T343" s="510"/>
      <c r="U343" s="275"/>
      <c r="V343" s="510"/>
      <c r="W343" s="275"/>
      <c r="X343" s="510"/>
      <c r="Y343" s="275"/>
      <c r="Z343" s="510"/>
      <c r="AA343" s="275"/>
      <c r="AB343" s="510"/>
      <c r="AC343" s="275"/>
      <c r="AD343" s="510"/>
      <c r="AE343" s="275"/>
      <c r="AF343" s="510"/>
      <c r="AG343" s="275"/>
      <c r="AH343" s="510"/>
      <c r="AI343" s="275"/>
      <c r="AJ343" s="510"/>
      <c r="AK343" s="275"/>
      <c r="AL343" s="510"/>
      <c r="AM343" s="275"/>
      <c r="AN343" s="510"/>
    </row>
    <row r="344" spans="1:40" s="183" customFormat="1" ht="15" customHeight="1">
      <c r="A344" s="189" t="s">
        <v>531</v>
      </c>
      <c r="B344" s="189" t="s">
        <v>474</v>
      </c>
      <c r="C344" s="190">
        <v>200004</v>
      </c>
      <c r="D344" s="191">
        <v>3</v>
      </c>
      <c r="E344" s="275">
        <v>3731</v>
      </c>
      <c r="F344" s="510">
        <v>4061</v>
      </c>
      <c r="G344" s="275">
        <v>13314</v>
      </c>
      <c r="H344" s="510">
        <v>13644</v>
      </c>
      <c r="I344" s="275">
        <v>4000</v>
      </c>
      <c r="J344" s="510">
        <f>2314+2033</f>
        <v>4347</v>
      </c>
      <c r="K344" s="275">
        <v>13585</v>
      </c>
      <c r="L344" s="510">
        <f>11899+2033</f>
        <v>13932</v>
      </c>
      <c r="M344" s="275"/>
      <c r="N344" s="510"/>
      <c r="O344" s="275"/>
      <c r="P344" s="510"/>
      <c r="Q344" s="275"/>
      <c r="R344" s="510"/>
      <c r="S344" s="275"/>
      <c r="T344" s="510"/>
      <c r="U344" s="275"/>
      <c r="V344" s="510"/>
      <c r="W344" s="275"/>
      <c r="X344" s="510"/>
      <c r="Y344" s="275"/>
      <c r="Z344" s="510"/>
      <c r="AA344" s="275"/>
      <c r="AB344" s="510"/>
      <c r="AC344" s="275"/>
      <c r="AD344" s="510"/>
      <c r="AE344" s="275"/>
      <c r="AF344" s="510"/>
      <c r="AG344" s="275"/>
      <c r="AH344" s="510"/>
      <c r="AI344" s="275"/>
      <c r="AJ344" s="510"/>
      <c r="AK344" s="275"/>
      <c r="AL344" s="510"/>
      <c r="AM344" s="275"/>
      <c r="AN344" s="510"/>
    </row>
    <row r="345" spans="1:40" s="183" customFormat="1" ht="15" customHeight="1">
      <c r="A345" s="189" t="s">
        <v>531</v>
      </c>
      <c r="B345" s="189" t="s">
        <v>475</v>
      </c>
      <c r="C345" s="190">
        <v>198543</v>
      </c>
      <c r="D345" s="191">
        <v>4</v>
      </c>
      <c r="E345" s="275">
        <v>2867</v>
      </c>
      <c r="F345" s="510">
        <f>1826+1218</f>
        <v>3044</v>
      </c>
      <c r="G345" s="275">
        <v>12603</v>
      </c>
      <c r="H345" s="510">
        <f>12008+1218</f>
        <v>13226</v>
      </c>
      <c r="I345" s="275">
        <v>3239</v>
      </c>
      <c r="J345" s="510">
        <f>2118+1218</f>
        <v>3336</v>
      </c>
      <c r="K345" s="275">
        <v>12829</v>
      </c>
      <c r="L345" s="510">
        <f>11708+1218</f>
        <v>12926</v>
      </c>
      <c r="M345" s="275"/>
      <c r="N345" s="510"/>
      <c r="O345" s="275"/>
      <c r="P345" s="510"/>
      <c r="Q345" s="275"/>
      <c r="R345" s="510"/>
      <c r="S345" s="275"/>
      <c r="T345" s="510"/>
      <c r="U345" s="275"/>
      <c r="V345" s="510"/>
      <c r="W345" s="275"/>
      <c r="X345" s="510"/>
      <c r="Y345" s="275"/>
      <c r="Z345" s="510"/>
      <c r="AA345" s="275"/>
      <c r="AB345" s="510"/>
      <c r="AC345" s="275"/>
      <c r="AD345" s="510"/>
      <c r="AE345" s="275"/>
      <c r="AF345" s="510"/>
      <c r="AG345" s="275"/>
      <c r="AH345" s="510"/>
      <c r="AI345" s="275"/>
      <c r="AJ345" s="510"/>
      <c r="AK345" s="275"/>
      <c r="AL345" s="510"/>
      <c r="AM345" s="275"/>
      <c r="AN345" s="510"/>
    </row>
    <row r="346" spans="1:40" s="183" customFormat="1" ht="15" customHeight="1">
      <c r="A346" s="189" t="s">
        <v>531</v>
      </c>
      <c r="B346" s="189" t="s">
        <v>476</v>
      </c>
      <c r="C346" s="190">
        <v>199281</v>
      </c>
      <c r="D346" s="191">
        <v>5</v>
      </c>
      <c r="E346" s="275">
        <v>3322</v>
      </c>
      <c r="F346" s="510">
        <v>3507</v>
      </c>
      <c r="G346" s="275">
        <v>12582</v>
      </c>
      <c r="H346" s="510">
        <v>12767</v>
      </c>
      <c r="I346" s="275">
        <v>3031</v>
      </c>
      <c r="J346" s="510">
        <f>2021+1169</f>
        <v>3190</v>
      </c>
      <c r="K346" s="275">
        <v>12438</v>
      </c>
      <c r="L346" s="510">
        <f>11428+1169</f>
        <v>12597</v>
      </c>
      <c r="M346" s="275"/>
      <c r="N346" s="510"/>
      <c r="O346" s="275"/>
      <c r="P346" s="510"/>
      <c r="Q346" s="275"/>
      <c r="R346" s="510"/>
      <c r="S346" s="275"/>
      <c r="T346" s="510"/>
      <c r="U346" s="275"/>
      <c r="V346" s="510"/>
      <c r="W346" s="275"/>
      <c r="X346" s="510"/>
      <c r="Y346" s="275"/>
      <c r="Z346" s="510"/>
      <c r="AA346" s="275"/>
      <c r="AB346" s="510"/>
      <c r="AC346" s="275"/>
      <c r="AD346" s="510"/>
      <c r="AE346" s="275"/>
      <c r="AF346" s="510"/>
      <c r="AG346" s="275"/>
      <c r="AH346" s="510"/>
      <c r="AI346" s="275"/>
      <c r="AJ346" s="510"/>
      <c r="AK346" s="275"/>
      <c r="AL346" s="510"/>
      <c r="AM346" s="275"/>
      <c r="AN346" s="510"/>
    </row>
    <row r="347" spans="1:40" s="183" customFormat="1" ht="15" customHeight="1">
      <c r="A347" s="189" t="s">
        <v>531</v>
      </c>
      <c r="B347" s="453" t="s">
        <v>479</v>
      </c>
      <c r="C347" s="215">
        <v>199999</v>
      </c>
      <c r="D347" s="216">
        <v>5</v>
      </c>
      <c r="E347" s="275">
        <v>3108</v>
      </c>
      <c r="F347" s="510">
        <v>3300</v>
      </c>
      <c r="G347" s="275">
        <v>11748</v>
      </c>
      <c r="H347" s="510">
        <v>11940</v>
      </c>
      <c r="I347" s="275">
        <v>3467</v>
      </c>
      <c r="J347" s="510">
        <f>2060+1599</f>
        <v>3659</v>
      </c>
      <c r="K347" s="275">
        <v>11960</v>
      </c>
      <c r="L347" s="510">
        <f>10553+1599</f>
        <v>12152</v>
      </c>
      <c r="M347" s="275"/>
      <c r="N347" s="510"/>
      <c r="O347" s="275"/>
      <c r="P347" s="510"/>
      <c r="Q347" s="275"/>
      <c r="R347" s="510"/>
      <c r="S347" s="275"/>
      <c r="T347" s="510"/>
      <c r="U347" s="275"/>
      <c r="V347" s="510"/>
      <c r="W347" s="275"/>
      <c r="X347" s="510"/>
      <c r="Y347" s="275"/>
      <c r="Z347" s="510"/>
      <c r="AA347" s="275"/>
      <c r="AB347" s="510"/>
      <c r="AC347" s="275"/>
      <c r="AD347" s="510"/>
      <c r="AE347" s="275"/>
      <c r="AF347" s="510"/>
      <c r="AG347" s="275"/>
      <c r="AH347" s="510"/>
      <c r="AI347" s="275"/>
      <c r="AJ347" s="510"/>
      <c r="AK347" s="275"/>
      <c r="AL347" s="510"/>
      <c r="AM347" s="275"/>
      <c r="AN347" s="510"/>
    </row>
    <row r="348" spans="1:40" s="183" customFormat="1" ht="15" customHeight="1">
      <c r="A348" s="189" t="s">
        <v>531</v>
      </c>
      <c r="B348" s="189" t="s">
        <v>477</v>
      </c>
      <c r="C348" s="190">
        <v>198507</v>
      </c>
      <c r="D348" s="191">
        <v>6</v>
      </c>
      <c r="E348" s="275">
        <v>2765</v>
      </c>
      <c r="F348" s="510">
        <v>2898</v>
      </c>
      <c r="G348" s="275">
        <v>11104</v>
      </c>
      <c r="H348" s="510">
        <v>11779</v>
      </c>
      <c r="I348" s="275">
        <v>2824</v>
      </c>
      <c r="J348" s="510">
        <f>1650+1311</f>
        <v>2961</v>
      </c>
      <c r="K348" s="275">
        <v>11317</v>
      </c>
      <c r="L348" s="510">
        <f>10695+1311</f>
        <v>12006</v>
      </c>
      <c r="M348" s="275"/>
      <c r="N348" s="510"/>
      <c r="O348" s="275"/>
      <c r="P348" s="510"/>
      <c r="Q348" s="275"/>
      <c r="R348" s="510"/>
      <c r="S348" s="275"/>
      <c r="T348" s="510"/>
      <c r="U348" s="275"/>
      <c r="V348" s="510"/>
      <c r="W348" s="275"/>
      <c r="X348" s="510"/>
      <c r="Y348" s="275"/>
      <c r="Z348" s="510"/>
      <c r="AA348" s="275"/>
      <c r="AB348" s="510"/>
      <c r="AC348" s="275"/>
      <c r="AD348" s="510"/>
      <c r="AE348" s="275"/>
      <c r="AF348" s="510"/>
      <c r="AG348" s="275"/>
      <c r="AH348" s="510"/>
      <c r="AI348" s="275"/>
      <c r="AJ348" s="510"/>
      <c r="AK348" s="275"/>
      <c r="AL348" s="510"/>
      <c r="AM348" s="275"/>
      <c r="AN348" s="510"/>
    </row>
    <row r="349" spans="1:40" s="183" customFormat="1" ht="15" customHeight="1">
      <c r="A349" s="189" t="s">
        <v>531</v>
      </c>
      <c r="B349" s="189" t="s">
        <v>478</v>
      </c>
      <c r="C349" s="190">
        <v>199111</v>
      </c>
      <c r="D349" s="191">
        <v>6</v>
      </c>
      <c r="E349" s="275">
        <v>3811</v>
      </c>
      <c r="F349" s="510">
        <v>4045</v>
      </c>
      <c r="G349" s="275">
        <v>13936</v>
      </c>
      <c r="H349" s="510">
        <v>15035</v>
      </c>
      <c r="I349" s="275">
        <v>4169</v>
      </c>
      <c r="J349" s="510">
        <f>2705+1738</f>
        <v>4443</v>
      </c>
      <c r="K349" s="275">
        <v>14108</v>
      </c>
      <c r="L349" s="510">
        <f>13569+1738</f>
        <v>15307</v>
      </c>
      <c r="M349" s="275"/>
      <c r="N349" s="510"/>
      <c r="O349" s="275"/>
      <c r="P349" s="510"/>
      <c r="Q349" s="275"/>
      <c r="R349" s="510"/>
      <c r="S349" s="275"/>
      <c r="T349" s="510"/>
      <c r="U349" s="275"/>
      <c r="V349" s="510"/>
      <c r="W349" s="275"/>
      <c r="X349" s="510"/>
      <c r="Y349" s="275"/>
      <c r="Z349" s="510"/>
      <c r="AA349" s="275"/>
      <c r="AB349" s="510"/>
      <c r="AC349" s="275"/>
      <c r="AD349" s="510"/>
      <c r="AE349" s="275"/>
      <c r="AF349" s="510"/>
      <c r="AG349" s="275"/>
      <c r="AH349" s="510"/>
      <c r="AI349" s="275"/>
      <c r="AJ349" s="510"/>
      <c r="AK349" s="275"/>
      <c r="AL349" s="510"/>
      <c r="AM349" s="275"/>
      <c r="AN349" s="510"/>
    </row>
    <row r="350" spans="1:40" s="183" customFormat="1" ht="15" customHeight="1">
      <c r="A350" s="189" t="s">
        <v>531</v>
      </c>
      <c r="B350" s="189" t="s">
        <v>480</v>
      </c>
      <c r="C350" s="190">
        <v>199184</v>
      </c>
      <c r="D350" s="191">
        <v>15</v>
      </c>
      <c r="E350" s="275">
        <v>4704</v>
      </c>
      <c r="F350" s="510">
        <v>5061</v>
      </c>
      <c r="G350" s="275">
        <v>15984</v>
      </c>
      <c r="H350" s="510">
        <v>16491</v>
      </c>
      <c r="I350" s="275">
        <v>5116</v>
      </c>
      <c r="J350" s="510">
        <f>3636+1837</f>
        <v>5473</v>
      </c>
      <c r="K350" s="275">
        <v>16550</v>
      </c>
      <c r="L350" s="510">
        <f>15220+1837</f>
        <v>17057</v>
      </c>
      <c r="M350" s="275"/>
      <c r="N350" s="510"/>
      <c r="O350" s="275"/>
      <c r="P350" s="510"/>
      <c r="Q350" s="275"/>
      <c r="R350" s="510"/>
      <c r="S350" s="275"/>
      <c r="T350" s="510"/>
      <c r="U350" s="275"/>
      <c r="V350" s="510"/>
      <c r="W350" s="275"/>
      <c r="X350" s="510"/>
      <c r="Y350" s="275"/>
      <c r="Z350" s="510"/>
      <c r="AA350" s="275"/>
      <c r="AB350" s="510"/>
      <c r="AC350" s="275"/>
      <c r="AD350" s="510"/>
      <c r="AE350" s="275"/>
      <c r="AF350" s="510"/>
      <c r="AG350" s="275"/>
      <c r="AH350" s="510"/>
      <c r="AI350" s="275"/>
      <c r="AJ350" s="510"/>
      <c r="AK350" s="275"/>
      <c r="AL350" s="510"/>
      <c r="AM350" s="275"/>
      <c r="AN350" s="510"/>
    </row>
    <row r="351" spans="1:40" s="183" customFormat="1" ht="15" customHeight="1">
      <c r="A351" s="194" t="s">
        <v>531</v>
      </c>
      <c r="B351" s="194" t="s">
        <v>481</v>
      </c>
      <c r="C351" s="195">
        <v>197887</v>
      </c>
      <c r="D351" s="196">
        <v>8</v>
      </c>
      <c r="E351" s="275">
        <v>1291</v>
      </c>
      <c r="F351" s="510">
        <v>1375</v>
      </c>
      <c r="G351" s="275">
        <v>7051</v>
      </c>
      <c r="H351" s="510">
        <v>7497</v>
      </c>
      <c r="I351" s="275"/>
      <c r="J351" s="510"/>
      <c r="K351" s="275"/>
      <c r="L351" s="510"/>
      <c r="M351" s="275"/>
      <c r="N351" s="510"/>
      <c r="O351" s="275"/>
      <c r="P351" s="510"/>
      <c r="Q351" s="275"/>
      <c r="R351" s="510"/>
      <c r="S351" s="275"/>
      <c r="T351" s="510"/>
      <c r="U351" s="275"/>
      <c r="V351" s="510"/>
      <c r="W351" s="275"/>
      <c r="X351" s="510"/>
      <c r="Y351" s="275"/>
      <c r="Z351" s="510"/>
      <c r="AA351" s="275"/>
      <c r="AB351" s="510"/>
      <c r="AC351" s="275"/>
      <c r="AD351" s="510"/>
      <c r="AE351" s="275"/>
      <c r="AF351" s="510"/>
      <c r="AG351" s="275"/>
      <c r="AH351" s="510"/>
      <c r="AI351" s="275"/>
      <c r="AJ351" s="510"/>
      <c r="AK351" s="275"/>
      <c r="AL351" s="510"/>
      <c r="AM351" s="275"/>
      <c r="AN351" s="510"/>
    </row>
    <row r="352" spans="1:40" s="183" customFormat="1" ht="15" customHeight="1">
      <c r="A352" s="194" t="s">
        <v>531</v>
      </c>
      <c r="B352" s="194" t="s">
        <v>482</v>
      </c>
      <c r="C352" s="195">
        <v>198154</v>
      </c>
      <c r="D352" s="196">
        <v>8</v>
      </c>
      <c r="E352" s="275">
        <v>1334</v>
      </c>
      <c r="F352" s="510">
        <v>1414</v>
      </c>
      <c r="G352" s="275">
        <v>7094</v>
      </c>
      <c r="H352" s="510">
        <v>7536</v>
      </c>
      <c r="I352" s="275"/>
      <c r="J352" s="510"/>
      <c r="K352" s="275"/>
      <c r="L352" s="510"/>
      <c r="M352" s="275"/>
      <c r="N352" s="510"/>
      <c r="O352" s="275"/>
      <c r="P352" s="510"/>
      <c r="Q352" s="275"/>
      <c r="R352" s="510"/>
      <c r="S352" s="275"/>
      <c r="T352" s="510"/>
      <c r="U352" s="275"/>
      <c r="V352" s="510"/>
      <c r="W352" s="275"/>
      <c r="X352" s="510"/>
      <c r="Y352" s="275"/>
      <c r="Z352" s="510"/>
      <c r="AA352" s="275"/>
      <c r="AB352" s="510"/>
      <c r="AC352" s="275"/>
      <c r="AD352" s="510"/>
      <c r="AE352" s="275"/>
      <c r="AF352" s="510"/>
      <c r="AG352" s="275"/>
      <c r="AH352" s="510"/>
      <c r="AI352" s="275"/>
      <c r="AJ352" s="510"/>
      <c r="AK352" s="275"/>
      <c r="AL352" s="510"/>
      <c r="AM352" s="275"/>
      <c r="AN352" s="510"/>
    </row>
    <row r="353" spans="1:40" s="183" customFormat="1" ht="15" customHeight="1">
      <c r="A353" s="194" t="s">
        <v>531</v>
      </c>
      <c r="B353" s="193" t="s">
        <v>483</v>
      </c>
      <c r="C353" s="195">
        <v>198233</v>
      </c>
      <c r="D353" s="196">
        <v>8</v>
      </c>
      <c r="E353" s="275">
        <v>1299</v>
      </c>
      <c r="F353" s="510">
        <v>1378</v>
      </c>
      <c r="G353" s="275">
        <v>7059</v>
      </c>
      <c r="H353" s="510">
        <v>7500</v>
      </c>
      <c r="I353" s="275"/>
      <c r="J353" s="510"/>
      <c r="K353" s="275"/>
      <c r="L353" s="510"/>
      <c r="M353" s="275"/>
      <c r="N353" s="510"/>
      <c r="O353" s="275"/>
      <c r="P353" s="510"/>
      <c r="Q353" s="275"/>
      <c r="R353" s="510"/>
      <c r="S353" s="275"/>
      <c r="T353" s="510"/>
      <c r="U353" s="275"/>
      <c r="V353" s="510"/>
      <c r="W353" s="275"/>
      <c r="X353" s="510"/>
      <c r="Y353" s="275"/>
      <c r="Z353" s="510"/>
      <c r="AA353" s="275"/>
      <c r="AB353" s="510"/>
      <c r="AC353" s="275"/>
      <c r="AD353" s="510"/>
      <c r="AE353" s="275"/>
      <c r="AF353" s="510"/>
      <c r="AG353" s="275"/>
      <c r="AH353" s="510"/>
      <c r="AI353" s="275"/>
      <c r="AJ353" s="510"/>
      <c r="AK353" s="275"/>
      <c r="AL353" s="510"/>
      <c r="AM353" s="275"/>
      <c r="AN353" s="510"/>
    </row>
    <row r="354" spans="1:40" s="183" customFormat="1" ht="15" customHeight="1">
      <c r="A354" s="194" t="s">
        <v>531</v>
      </c>
      <c r="B354" s="194" t="s">
        <v>484</v>
      </c>
      <c r="C354" s="195">
        <v>198251</v>
      </c>
      <c r="D354" s="196">
        <v>8</v>
      </c>
      <c r="E354" s="275">
        <v>1332</v>
      </c>
      <c r="F354" s="510">
        <v>1412</v>
      </c>
      <c r="G354" s="275">
        <v>7092</v>
      </c>
      <c r="H354" s="510">
        <v>7534</v>
      </c>
      <c r="I354" s="275"/>
      <c r="J354" s="510"/>
      <c r="K354" s="275"/>
      <c r="L354" s="510"/>
      <c r="M354" s="275"/>
      <c r="N354" s="510"/>
      <c r="O354" s="275"/>
      <c r="P354" s="510"/>
      <c r="Q354" s="275"/>
      <c r="R354" s="510"/>
      <c r="S354" s="275"/>
      <c r="T354" s="510"/>
      <c r="U354" s="275"/>
      <c r="V354" s="510"/>
      <c r="W354" s="275"/>
      <c r="X354" s="510"/>
      <c r="Y354" s="275"/>
      <c r="Z354" s="510"/>
      <c r="AA354" s="275"/>
      <c r="AB354" s="510"/>
      <c r="AC354" s="275"/>
      <c r="AD354" s="510"/>
      <c r="AE354" s="275"/>
      <c r="AF354" s="510"/>
      <c r="AG354" s="275"/>
      <c r="AH354" s="510"/>
      <c r="AI354" s="275"/>
      <c r="AJ354" s="510"/>
      <c r="AK354" s="275"/>
      <c r="AL354" s="510"/>
      <c r="AM354" s="275"/>
      <c r="AN354" s="510"/>
    </row>
    <row r="355" spans="1:40" s="183" customFormat="1" ht="15" customHeight="1">
      <c r="A355" s="194" t="s">
        <v>531</v>
      </c>
      <c r="B355" s="194" t="s">
        <v>485</v>
      </c>
      <c r="C355" s="195">
        <v>198260</v>
      </c>
      <c r="D355" s="196">
        <v>8</v>
      </c>
      <c r="E355" s="275">
        <v>1434</v>
      </c>
      <c r="F355" s="510">
        <v>1524</v>
      </c>
      <c r="G355" s="275">
        <v>7194</v>
      </c>
      <c r="H355" s="510">
        <v>7646</v>
      </c>
      <c r="I355" s="275"/>
      <c r="J355" s="510"/>
      <c r="K355" s="275"/>
      <c r="L355" s="510"/>
      <c r="M355" s="275"/>
      <c r="N355" s="510"/>
      <c r="O355" s="275"/>
      <c r="P355" s="510"/>
      <c r="Q355" s="275"/>
      <c r="R355" s="510"/>
      <c r="S355" s="275"/>
      <c r="T355" s="510"/>
      <c r="U355" s="275"/>
      <c r="V355" s="510"/>
      <c r="W355" s="275"/>
      <c r="X355" s="510"/>
      <c r="Y355" s="275"/>
      <c r="Z355" s="510"/>
      <c r="AA355" s="275"/>
      <c r="AB355" s="510"/>
      <c r="AC355" s="275"/>
      <c r="AD355" s="510"/>
      <c r="AE355" s="275"/>
      <c r="AF355" s="510"/>
      <c r="AG355" s="275"/>
      <c r="AH355" s="510"/>
      <c r="AI355" s="275"/>
      <c r="AJ355" s="510"/>
      <c r="AK355" s="275"/>
      <c r="AL355" s="510"/>
      <c r="AM355" s="275"/>
      <c r="AN355" s="510"/>
    </row>
    <row r="356" spans="1:40" s="183" customFormat="1" ht="15" customHeight="1">
      <c r="A356" s="194" t="s">
        <v>531</v>
      </c>
      <c r="B356" s="214" t="s">
        <v>499</v>
      </c>
      <c r="C356" s="213">
        <v>198455</v>
      </c>
      <c r="D356" s="206">
        <v>8</v>
      </c>
      <c r="E356" s="275">
        <v>1308</v>
      </c>
      <c r="F356" s="510">
        <v>1414</v>
      </c>
      <c r="G356" s="275">
        <v>7068</v>
      </c>
      <c r="H356" s="510">
        <v>7536</v>
      </c>
      <c r="I356" s="275"/>
      <c r="J356" s="510"/>
      <c r="K356" s="275"/>
      <c r="L356" s="510"/>
      <c r="M356" s="275"/>
      <c r="N356" s="510"/>
      <c r="O356" s="275"/>
      <c r="P356" s="510"/>
      <c r="Q356" s="275"/>
      <c r="R356" s="510"/>
      <c r="S356" s="275"/>
      <c r="T356" s="510"/>
      <c r="U356" s="275"/>
      <c r="V356" s="510"/>
      <c r="W356" s="275"/>
      <c r="X356" s="510"/>
      <c r="Y356" s="275"/>
      <c r="Z356" s="510"/>
      <c r="AA356" s="275"/>
      <c r="AB356" s="510"/>
      <c r="AC356" s="275"/>
      <c r="AD356" s="510"/>
      <c r="AE356" s="275"/>
      <c r="AF356" s="510"/>
      <c r="AG356" s="275"/>
      <c r="AH356" s="510"/>
      <c r="AI356" s="275"/>
      <c r="AJ356" s="510"/>
      <c r="AK356" s="275"/>
      <c r="AL356" s="510"/>
      <c r="AM356" s="275"/>
      <c r="AN356" s="510"/>
    </row>
    <row r="357" spans="1:40" s="183" customFormat="1" ht="15" customHeight="1">
      <c r="A357" s="194" t="s">
        <v>531</v>
      </c>
      <c r="B357" s="194" t="s">
        <v>486</v>
      </c>
      <c r="C357" s="195">
        <v>198534</v>
      </c>
      <c r="D357" s="196">
        <v>8</v>
      </c>
      <c r="E357" s="275">
        <v>1324</v>
      </c>
      <c r="F357" s="510">
        <v>1404</v>
      </c>
      <c r="G357" s="275">
        <v>7084</v>
      </c>
      <c r="H357" s="510">
        <v>7526</v>
      </c>
      <c r="I357" s="275"/>
      <c r="J357" s="510"/>
      <c r="K357" s="275"/>
      <c r="L357" s="510"/>
      <c r="M357" s="275"/>
      <c r="N357" s="510"/>
      <c r="O357" s="275"/>
      <c r="P357" s="510"/>
      <c r="Q357" s="275"/>
      <c r="R357" s="510"/>
      <c r="S357" s="275"/>
      <c r="T357" s="510"/>
      <c r="U357" s="275"/>
      <c r="V357" s="510"/>
      <c r="W357" s="275"/>
      <c r="X357" s="510"/>
      <c r="Y357" s="275"/>
      <c r="Z357" s="510"/>
      <c r="AA357" s="275"/>
      <c r="AB357" s="510"/>
      <c r="AC357" s="275"/>
      <c r="AD357" s="510"/>
      <c r="AE357" s="275"/>
      <c r="AF357" s="510"/>
      <c r="AG357" s="275"/>
      <c r="AH357" s="510"/>
      <c r="AI357" s="275"/>
      <c r="AJ357" s="510"/>
      <c r="AK357" s="275"/>
      <c r="AL357" s="510"/>
      <c r="AM357" s="275"/>
      <c r="AN357" s="510"/>
    </row>
    <row r="358" spans="1:40" s="183" customFormat="1" ht="15" customHeight="1">
      <c r="A358" s="194" t="s">
        <v>531</v>
      </c>
      <c r="B358" s="194" t="s">
        <v>487</v>
      </c>
      <c r="C358" s="195">
        <v>198552</v>
      </c>
      <c r="D358" s="196">
        <v>8</v>
      </c>
      <c r="E358" s="275">
        <v>1329</v>
      </c>
      <c r="F358" s="510">
        <v>1406</v>
      </c>
      <c r="G358" s="275">
        <v>7089</v>
      </c>
      <c r="H358" s="510">
        <v>7528</v>
      </c>
      <c r="I358" s="275"/>
      <c r="J358" s="510"/>
      <c r="K358" s="275"/>
      <c r="L358" s="510"/>
      <c r="M358" s="275"/>
      <c r="N358" s="510"/>
      <c r="O358" s="275"/>
      <c r="P358" s="510"/>
      <c r="Q358" s="275"/>
      <c r="R358" s="510"/>
      <c r="S358" s="275"/>
      <c r="T358" s="510"/>
      <c r="U358" s="275"/>
      <c r="V358" s="510"/>
      <c r="W358" s="275"/>
      <c r="X358" s="510"/>
      <c r="Y358" s="275"/>
      <c r="Z358" s="510"/>
      <c r="AA358" s="275"/>
      <c r="AB358" s="510"/>
      <c r="AC358" s="275"/>
      <c r="AD358" s="510"/>
      <c r="AE358" s="275"/>
      <c r="AF358" s="510"/>
      <c r="AG358" s="275"/>
      <c r="AH358" s="510"/>
      <c r="AI358" s="275"/>
      <c r="AJ358" s="510"/>
      <c r="AK358" s="275"/>
      <c r="AL358" s="510"/>
      <c r="AM358" s="275"/>
      <c r="AN358" s="510"/>
    </row>
    <row r="359" spans="1:40" s="183" customFormat="1" ht="15" customHeight="1">
      <c r="A359" s="194" t="s">
        <v>531</v>
      </c>
      <c r="B359" s="194" t="s">
        <v>488</v>
      </c>
      <c r="C359" s="195">
        <v>198622</v>
      </c>
      <c r="D359" s="196">
        <v>8</v>
      </c>
      <c r="E359" s="275">
        <v>1339</v>
      </c>
      <c r="F359" s="510">
        <v>1481</v>
      </c>
      <c r="G359" s="275">
        <v>7099</v>
      </c>
      <c r="H359" s="510">
        <v>7603</v>
      </c>
      <c r="I359" s="275"/>
      <c r="J359" s="510"/>
      <c r="K359" s="275"/>
      <c r="L359" s="510"/>
      <c r="M359" s="275"/>
      <c r="N359" s="510"/>
      <c r="O359" s="275"/>
      <c r="P359" s="510"/>
      <c r="Q359" s="275"/>
      <c r="R359" s="510"/>
      <c r="S359" s="275"/>
      <c r="T359" s="510"/>
      <c r="U359" s="275"/>
      <c r="V359" s="510"/>
      <c r="W359" s="275"/>
      <c r="X359" s="510"/>
      <c r="Y359" s="275"/>
      <c r="Z359" s="510"/>
      <c r="AA359" s="275"/>
      <c r="AB359" s="510"/>
      <c r="AC359" s="275"/>
      <c r="AD359" s="510"/>
      <c r="AE359" s="275"/>
      <c r="AF359" s="510"/>
      <c r="AG359" s="275"/>
      <c r="AH359" s="510"/>
      <c r="AI359" s="275"/>
      <c r="AJ359" s="510"/>
      <c r="AK359" s="275"/>
      <c r="AL359" s="510"/>
      <c r="AM359" s="275"/>
      <c r="AN359" s="510"/>
    </row>
    <row r="360" spans="1:40" s="183" customFormat="1" ht="15" customHeight="1">
      <c r="A360" s="194" t="s">
        <v>531</v>
      </c>
      <c r="B360" s="194" t="s">
        <v>489</v>
      </c>
      <c r="C360" s="195">
        <v>199333</v>
      </c>
      <c r="D360" s="196">
        <v>8</v>
      </c>
      <c r="E360" s="275">
        <v>1340</v>
      </c>
      <c r="F360" s="510">
        <v>1426</v>
      </c>
      <c r="G360" s="275">
        <v>7100</v>
      </c>
      <c r="H360" s="510">
        <v>7548</v>
      </c>
      <c r="I360" s="275"/>
      <c r="J360" s="510"/>
      <c r="K360" s="275"/>
      <c r="L360" s="510"/>
      <c r="M360" s="275"/>
      <c r="N360" s="510"/>
      <c r="O360" s="275"/>
      <c r="P360" s="510"/>
      <c r="Q360" s="275"/>
      <c r="R360" s="510"/>
      <c r="S360" s="275"/>
      <c r="T360" s="510"/>
      <c r="U360" s="275"/>
      <c r="V360" s="510"/>
      <c r="W360" s="275"/>
      <c r="X360" s="510"/>
      <c r="Y360" s="275"/>
      <c r="Z360" s="510"/>
      <c r="AA360" s="275"/>
      <c r="AB360" s="510"/>
      <c r="AC360" s="275"/>
      <c r="AD360" s="510"/>
      <c r="AE360" s="275"/>
      <c r="AF360" s="510"/>
      <c r="AG360" s="275"/>
      <c r="AH360" s="510"/>
      <c r="AI360" s="275"/>
      <c r="AJ360" s="510"/>
      <c r="AK360" s="275"/>
      <c r="AL360" s="510"/>
      <c r="AM360" s="275"/>
      <c r="AN360" s="510"/>
    </row>
    <row r="361" spans="1:40" s="183" customFormat="1" ht="15" customHeight="1">
      <c r="A361" s="194" t="s">
        <v>531</v>
      </c>
      <c r="B361" s="212" t="s">
        <v>513</v>
      </c>
      <c r="C361" s="213">
        <v>199494</v>
      </c>
      <c r="D361" s="206">
        <v>8</v>
      </c>
      <c r="E361" s="275">
        <v>1296</v>
      </c>
      <c r="F361" s="510">
        <v>1408</v>
      </c>
      <c r="G361" s="275">
        <v>7056</v>
      </c>
      <c r="H361" s="510">
        <v>7530</v>
      </c>
      <c r="I361" s="275"/>
      <c r="J361" s="510"/>
      <c r="K361" s="275"/>
      <c r="L361" s="510"/>
      <c r="M361" s="275"/>
      <c r="N361" s="510"/>
      <c r="O361" s="275"/>
      <c r="P361" s="510"/>
      <c r="Q361" s="275"/>
      <c r="R361" s="510"/>
      <c r="S361" s="275"/>
      <c r="T361" s="510"/>
      <c r="U361" s="275"/>
      <c r="V361" s="510"/>
      <c r="W361" s="275"/>
      <c r="X361" s="510"/>
      <c r="Y361" s="275"/>
      <c r="Z361" s="510"/>
      <c r="AA361" s="275"/>
      <c r="AB361" s="510"/>
      <c r="AC361" s="275"/>
      <c r="AD361" s="510"/>
      <c r="AE361" s="275"/>
      <c r="AF361" s="510"/>
      <c r="AG361" s="275"/>
      <c r="AH361" s="510"/>
      <c r="AI361" s="275"/>
      <c r="AJ361" s="510"/>
      <c r="AK361" s="275"/>
      <c r="AL361" s="510"/>
      <c r="AM361" s="275"/>
      <c r="AN361" s="510"/>
    </row>
    <row r="362" spans="1:40" s="183" customFormat="1" ht="15" customHeight="1">
      <c r="A362" s="194" t="s">
        <v>531</v>
      </c>
      <c r="B362" s="194" t="s">
        <v>490</v>
      </c>
      <c r="C362" s="195">
        <v>199856</v>
      </c>
      <c r="D362" s="196">
        <v>8</v>
      </c>
      <c r="E362" s="275">
        <v>1292</v>
      </c>
      <c r="F362" s="510">
        <v>1406</v>
      </c>
      <c r="G362" s="275">
        <v>7052</v>
      </c>
      <c r="H362" s="510">
        <v>7528</v>
      </c>
      <c r="I362" s="275"/>
      <c r="J362" s="510"/>
      <c r="K362" s="275"/>
      <c r="L362" s="510"/>
      <c r="M362" s="275"/>
      <c r="N362" s="510"/>
      <c r="O362" s="275"/>
      <c r="P362" s="510"/>
      <c r="Q362" s="275"/>
      <c r="R362" s="510"/>
      <c r="S362" s="275"/>
      <c r="T362" s="510"/>
      <c r="U362" s="275"/>
      <c r="V362" s="510"/>
      <c r="W362" s="275"/>
      <c r="X362" s="510"/>
      <c r="Y362" s="275"/>
      <c r="Z362" s="510"/>
      <c r="AA362" s="275"/>
      <c r="AB362" s="510"/>
      <c r="AC362" s="275"/>
      <c r="AD362" s="510"/>
      <c r="AE362" s="275"/>
      <c r="AF362" s="510"/>
      <c r="AG362" s="275"/>
      <c r="AH362" s="510"/>
      <c r="AI362" s="275"/>
      <c r="AJ362" s="510"/>
      <c r="AK362" s="275"/>
      <c r="AL362" s="510"/>
      <c r="AM362" s="275"/>
      <c r="AN362" s="510"/>
    </row>
    <row r="363" spans="1:40" s="183" customFormat="1" ht="15" customHeight="1">
      <c r="A363" s="194" t="s">
        <v>531</v>
      </c>
      <c r="B363" s="194" t="s">
        <v>491</v>
      </c>
      <c r="C363" s="195">
        <v>199786</v>
      </c>
      <c r="D363" s="196">
        <v>9</v>
      </c>
      <c r="E363" s="275">
        <v>1294</v>
      </c>
      <c r="F363" s="510">
        <v>1374</v>
      </c>
      <c r="G363" s="275">
        <v>7054</v>
      </c>
      <c r="H363" s="510">
        <v>7496</v>
      </c>
      <c r="I363" s="275"/>
      <c r="J363" s="510"/>
      <c r="K363" s="275"/>
      <c r="L363" s="510"/>
      <c r="M363" s="275"/>
      <c r="N363" s="510"/>
      <c r="O363" s="275"/>
      <c r="P363" s="510"/>
      <c r="Q363" s="275"/>
      <c r="R363" s="510"/>
      <c r="S363" s="275"/>
      <c r="T363" s="510"/>
      <c r="U363" s="275"/>
      <c r="V363" s="510"/>
      <c r="W363" s="275"/>
      <c r="X363" s="510"/>
      <c r="Y363" s="275"/>
      <c r="Z363" s="510"/>
      <c r="AA363" s="275"/>
      <c r="AB363" s="510"/>
      <c r="AC363" s="275"/>
      <c r="AD363" s="510"/>
      <c r="AE363" s="275"/>
      <c r="AF363" s="510"/>
      <c r="AG363" s="275"/>
      <c r="AH363" s="510"/>
      <c r="AI363" s="275"/>
      <c r="AJ363" s="510"/>
      <c r="AK363" s="275"/>
      <c r="AL363" s="510"/>
      <c r="AM363" s="275"/>
      <c r="AN363" s="510"/>
    </row>
    <row r="364" spans="1:40" s="183" customFormat="1" ht="15" customHeight="1">
      <c r="A364" s="194" t="s">
        <v>531</v>
      </c>
      <c r="B364" s="212" t="s">
        <v>492</v>
      </c>
      <c r="C364" s="213">
        <v>197966</v>
      </c>
      <c r="D364" s="206">
        <v>9</v>
      </c>
      <c r="E364" s="275">
        <v>1328</v>
      </c>
      <c r="F364" s="510">
        <v>1408</v>
      </c>
      <c r="G364" s="275">
        <v>7088</v>
      </c>
      <c r="H364" s="510">
        <v>7530</v>
      </c>
      <c r="I364" s="275"/>
      <c r="J364" s="510"/>
      <c r="K364" s="275"/>
      <c r="L364" s="510"/>
      <c r="M364" s="275"/>
      <c r="N364" s="510"/>
      <c r="O364" s="275"/>
      <c r="P364" s="510"/>
      <c r="Q364" s="275"/>
      <c r="R364" s="510"/>
      <c r="S364" s="275"/>
      <c r="T364" s="510"/>
      <c r="U364" s="275"/>
      <c r="V364" s="510"/>
      <c r="W364" s="275"/>
      <c r="X364" s="510"/>
      <c r="Y364" s="275"/>
      <c r="Z364" s="510"/>
      <c r="AA364" s="275"/>
      <c r="AB364" s="510"/>
      <c r="AC364" s="275"/>
      <c r="AD364" s="510"/>
      <c r="AE364" s="275"/>
      <c r="AF364" s="510"/>
      <c r="AG364" s="275"/>
      <c r="AH364" s="510"/>
      <c r="AI364" s="275"/>
      <c r="AJ364" s="510"/>
      <c r="AK364" s="275"/>
      <c r="AL364" s="510"/>
      <c r="AM364" s="275"/>
      <c r="AN364" s="510"/>
    </row>
    <row r="365" spans="1:40" s="183" customFormat="1" ht="15" customHeight="1">
      <c r="A365" s="194" t="s">
        <v>531</v>
      </c>
      <c r="B365" s="194" t="s">
        <v>493</v>
      </c>
      <c r="C365" s="195">
        <v>198039</v>
      </c>
      <c r="D365" s="196">
        <v>9</v>
      </c>
      <c r="E365" s="275">
        <v>1334</v>
      </c>
      <c r="F365" s="510">
        <v>1417</v>
      </c>
      <c r="G365" s="275">
        <v>7094</v>
      </c>
      <c r="H365" s="510">
        <v>7539</v>
      </c>
      <c r="I365" s="275"/>
      <c r="J365" s="510"/>
      <c r="K365" s="275"/>
      <c r="L365" s="510"/>
      <c r="M365" s="275"/>
      <c r="N365" s="510"/>
      <c r="O365" s="275"/>
      <c r="P365" s="510"/>
      <c r="Q365" s="275"/>
      <c r="R365" s="510"/>
      <c r="S365" s="275"/>
      <c r="T365" s="510"/>
      <c r="U365" s="275"/>
      <c r="V365" s="510"/>
      <c r="W365" s="275"/>
      <c r="X365" s="510"/>
      <c r="Y365" s="275"/>
      <c r="Z365" s="510"/>
      <c r="AA365" s="275"/>
      <c r="AB365" s="510"/>
      <c r="AC365" s="275"/>
      <c r="AD365" s="510"/>
      <c r="AE365" s="275"/>
      <c r="AF365" s="510"/>
      <c r="AG365" s="275"/>
      <c r="AH365" s="510"/>
      <c r="AI365" s="275"/>
      <c r="AJ365" s="510"/>
      <c r="AK365" s="275"/>
      <c r="AL365" s="510"/>
      <c r="AM365" s="275"/>
      <c r="AN365" s="510"/>
    </row>
    <row r="366" spans="1:40" s="183" customFormat="1" ht="15" customHeight="1">
      <c r="A366" s="362" t="s">
        <v>531</v>
      </c>
      <c r="B366" s="194" t="s">
        <v>962</v>
      </c>
      <c r="C366" s="195">
        <v>198118</v>
      </c>
      <c r="D366" s="196">
        <v>9</v>
      </c>
      <c r="E366" s="275">
        <v>1296</v>
      </c>
      <c r="F366" s="510">
        <v>1376</v>
      </c>
      <c r="G366" s="275">
        <v>7056</v>
      </c>
      <c r="H366" s="510">
        <v>7498</v>
      </c>
      <c r="I366" s="275"/>
      <c r="J366" s="510"/>
      <c r="K366" s="275"/>
      <c r="L366" s="510"/>
      <c r="M366" s="275"/>
      <c r="N366" s="510"/>
      <c r="O366" s="275"/>
      <c r="P366" s="510"/>
      <c r="Q366" s="275"/>
      <c r="R366" s="510"/>
      <c r="S366" s="275"/>
      <c r="T366" s="510"/>
      <c r="U366" s="275"/>
      <c r="V366" s="510"/>
      <c r="W366" s="275"/>
      <c r="X366" s="510"/>
      <c r="Y366" s="275"/>
      <c r="Z366" s="510"/>
      <c r="AA366" s="275"/>
      <c r="AB366" s="510"/>
      <c r="AC366" s="275"/>
      <c r="AD366" s="510"/>
      <c r="AE366" s="275"/>
      <c r="AF366" s="510"/>
      <c r="AG366" s="275"/>
      <c r="AH366" s="510"/>
      <c r="AI366" s="275"/>
      <c r="AJ366" s="510"/>
      <c r="AK366" s="275"/>
      <c r="AL366" s="510"/>
      <c r="AM366" s="275"/>
      <c r="AN366" s="510"/>
    </row>
    <row r="367" spans="1:40" s="183" customFormat="1" ht="15" customHeight="1">
      <c r="A367" s="362" t="s">
        <v>531</v>
      </c>
      <c r="B367" s="194" t="s">
        <v>494</v>
      </c>
      <c r="C367" s="195">
        <v>198321</v>
      </c>
      <c r="D367" s="196">
        <v>9</v>
      </c>
      <c r="E367" s="275">
        <v>1302</v>
      </c>
      <c r="F367" s="510">
        <v>1382</v>
      </c>
      <c r="G367" s="275">
        <v>7062</v>
      </c>
      <c r="H367" s="510">
        <v>7504</v>
      </c>
      <c r="I367" s="275"/>
      <c r="J367" s="510"/>
      <c r="K367" s="275"/>
      <c r="L367" s="510"/>
      <c r="M367" s="275"/>
      <c r="N367" s="510"/>
      <c r="O367" s="275"/>
      <c r="P367" s="510"/>
      <c r="Q367" s="275"/>
      <c r="R367" s="510"/>
      <c r="S367" s="275"/>
      <c r="T367" s="510"/>
      <c r="U367" s="275"/>
      <c r="V367" s="510"/>
      <c r="W367" s="275"/>
      <c r="X367" s="510"/>
      <c r="Y367" s="275"/>
      <c r="Z367" s="510"/>
      <c r="AA367" s="275"/>
      <c r="AB367" s="510"/>
      <c r="AC367" s="275"/>
      <c r="AD367" s="510"/>
      <c r="AE367" s="275"/>
      <c r="AF367" s="510"/>
      <c r="AG367" s="275"/>
      <c r="AH367" s="510"/>
      <c r="AI367" s="275"/>
      <c r="AJ367" s="510"/>
      <c r="AK367" s="275"/>
      <c r="AL367" s="510"/>
      <c r="AM367" s="275"/>
      <c r="AN367" s="510"/>
    </row>
    <row r="368" spans="1:40" s="183" customFormat="1" ht="15" customHeight="1">
      <c r="A368" s="362" t="s">
        <v>531</v>
      </c>
      <c r="B368" s="193" t="s">
        <v>495</v>
      </c>
      <c r="C368" s="195">
        <v>198330</v>
      </c>
      <c r="D368" s="196">
        <v>9</v>
      </c>
      <c r="E368" s="275">
        <v>1294</v>
      </c>
      <c r="F368" s="510">
        <v>1374</v>
      </c>
      <c r="G368" s="275">
        <v>7054</v>
      </c>
      <c r="H368" s="510">
        <v>7496</v>
      </c>
      <c r="I368" s="275"/>
      <c r="J368" s="510"/>
      <c r="K368" s="275"/>
      <c r="L368" s="510"/>
      <c r="M368" s="275"/>
      <c r="N368" s="510"/>
      <c r="O368" s="275"/>
      <c r="P368" s="510"/>
      <c r="Q368" s="275"/>
      <c r="R368" s="510"/>
      <c r="S368" s="275"/>
      <c r="T368" s="510"/>
      <c r="U368" s="275"/>
      <c r="V368" s="510"/>
      <c r="W368" s="275"/>
      <c r="X368" s="510"/>
      <c r="Y368" s="275"/>
      <c r="Z368" s="510"/>
      <c r="AA368" s="275"/>
      <c r="AB368" s="510"/>
      <c r="AC368" s="275"/>
      <c r="AD368" s="510"/>
      <c r="AE368" s="275"/>
      <c r="AF368" s="510"/>
      <c r="AG368" s="275"/>
      <c r="AH368" s="510"/>
      <c r="AI368" s="275"/>
      <c r="AJ368" s="510"/>
      <c r="AK368" s="275"/>
      <c r="AL368" s="510"/>
      <c r="AM368" s="275"/>
      <c r="AN368" s="510"/>
    </row>
    <row r="369" spans="1:40" s="183" customFormat="1" ht="15" customHeight="1">
      <c r="A369" s="362" t="s">
        <v>531</v>
      </c>
      <c r="B369" s="194" t="s">
        <v>496</v>
      </c>
      <c r="C369" s="195">
        <v>197814</v>
      </c>
      <c r="D369" s="196">
        <v>9</v>
      </c>
      <c r="E369" s="275">
        <v>1334</v>
      </c>
      <c r="F369" s="510">
        <v>1414</v>
      </c>
      <c r="G369" s="275">
        <v>7094</v>
      </c>
      <c r="H369" s="510">
        <v>7536</v>
      </c>
      <c r="I369" s="275"/>
      <c r="J369" s="510"/>
      <c r="K369" s="275"/>
      <c r="L369" s="510"/>
      <c r="M369" s="275"/>
      <c r="N369" s="510"/>
      <c r="O369" s="275"/>
      <c r="P369" s="510"/>
      <c r="Q369" s="275"/>
      <c r="R369" s="510"/>
      <c r="S369" s="275"/>
      <c r="T369" s="510"/>
      <c r="U369" s="275"/>
      <c r="V369" s="510"/>
      <c r="W369" s="275"/>
      <c r="X369" s="510"/>
      <c r="Y369" s="275"/>
      <c r="Z369" s="510"/>
      <c r="AA369" s="275"/>
      <c r="AB369" s="510"/>
      <c r="AC369" s="275"/>
      <c r="AD369" s="510"/>
      <c r="AE369" s="275"/>
      <c r="AF369" s="510"/>
      <c r="AG369" s="275"/>
      <c r="AH369" s="510"/>
      <c r="AI369" s="275"/>
      <c r="AJ369" s="510"/>
      <c r="AK369" s="275"/>
      <c r="AL369" s="510"/>
      <c r="AM369" s="275"/>
      <c r="AN369" s="510"/>
    </row>
    <row r="370" spans="1:40" s="183" customFormat="1" ht="15" customHeight="1">
      <c r="A370" s="362" t="s">
        <v>531</v>
      </c>
      <c r="B370" s="194" t="s">
        <v>497</v>
      </c>
      <c r="C370" s="195">
        <v>198367</v>
      </c>
      <c r="D370" s="196">
        <v>9</v>
      </c>
      <c r="E370" s="275">
        <v>1355</v>
      </c>
      <c r="F370" s="510">
        <v>1414</v>
      </c>
      <c r="G370" s="275">
        <v>7115</v>
      </c>
      <c r="H370" s="510">
        <v>7536</v>
      </c>
      <c r="I370" s="275"/>
      <c r="J370" s="510"/>
      <c r="K370" s="275"/>
      <c r="L370" s="510"/>
      <c r="M370" s="275"/>
      <c r="N370" s="510"/>
      <c r="O370" s="275"/>
      <c r="P370" s="510"/>
      <c r="Q370" s="275"/>
      <c r="R370" s="510"/>
      <c r="S370" s="275"/>
      <c r="T370" s="510"/>
      <c r="U370" s="275"/>
      <c r="V370" s="510"/>
      <c r="W370" s="275"/>
      <c r="X370" s="510"/>
      <c r="Y370" s="275"/>
      <c r="Z370" s="510"/>
      <c r="AA370" s="275"/>
      <c r="AB370" s="510"/>
      <c r="AC370" s="275"/>
      <c r="AD370" s="510"/>
      <c r="AE370" s="275"/>
      <c r="AF370" s="510"/>
      <c r="AG370" s="275"/>
      <c r="AH370" s="510"/>
      <c r="AI370" s="275"/>
      <c r="AJ370" s="510"/>
      <c r="AK370" s="275"/>
      <c r="AL370" s="510"/>
      <c r="AM370" s="275"/>
      <c r="AN370" s="510"/>
    </row>
    <row r="371" spans="1:40" s="183" customFormat="1" ht="15" customHeight="1">
      <c r="A371" s="362" t="s">
        <v>531</v>
      </c>
      <c r="B371" s="194" t="s">
        <v>498</v>
      </c>
      <c r="C371" s="195">
        <v>198376</v>
      </c>
      <c r="D371" s="196">
        <v>9</v>
      </c>
      <c r="E371" s="275">
        <v>1336</v>
      </c>
      <c r="F371" s="510">
        <v>1417</v>
      </c>
      <c r="G371" s="275">
        <v>7096</v>
      </c>
      <c r="H371" s="510">
        <v>7539</v>
      </c>
      <c r="I371" s="275"/>
      <c r="J371" s="510"/>
      <c r="K371" s="275"/>
      <c r="L371" s="510"/>
      <c r="M371" s="275"/>
      <c r="N371" s="510"/>
      <c r="O371" s="275"/>
      <c r="P371" s="510"/>
      <c r="Q371" s="275"/>
      <c r="R371" s="510"/>
      <c r="S371" s="275"/>
      <c r="T371" s="510"/>
      <c r="U371" s="275"/>
      <c r="V371" s="510"/>
      <c r="W371" s="275"/>
      <c r="X371" s="510"/>
      <c r="Y371" s="275"/>
      <c r="Z371" s="510"/>
      <c r="AA371" s="275"/>
      <c r="AB371" s="510"/>
      <c r="AC371" s="275"/>
      <c r="AD371" s="510"/>
      <c r="AE371" s="275"/>
      <c r="AF371" s="510"/>
      <c r="AG371" s="275"/>
      <c r="AH371" s="510"/>
      <c r="AI371" s="275"/>
      <c r="AJ371" s="510"/>
      <c r="AK371" s="275"/>
      <c r="AL371" s="510"/>
      <c r="AM371" s="275"/>
      <c r="AN371" s="510"/>
    </row>
    <row r="372" spans="1:40" s="183" customFormat="1" ht="15" customHeight="1">
      <c r="A372" s="362" t="s">
        <v>531</v>
      </c>
      <c r="B372" s="194" t="s">
        <v>500</v>
      </c>
      <c r="C372" s="195">
        <v>198491</v>
      </c>
      <c r="D372" s="196">
        <v>9</v>
      </c>
      <c r="E372" s="275">
        <v>1336</v>
      </c>
      <c r="F372" s="510">
        <v>1416</v>
      </c>
      <c r="G372" s="275">
        <v>7096</v>
      </c>
      <c r="H372" s="510">
        <v>7538</v>
      </c>
      <c r="I372" s="275"/>
      <c r="J372" s="510"/>
      <c r="K372" s="275"/>
      <c r="L372" s="510"/>
      <c r="M372" s="275"/>
      <c r="N372" s="510"/>
      <c r="O372" s="275"/>
      <c r="P372" s="510"/>
      <c r="Q372" s="275"/>
      <c r="R372" s="510"/>
      <c r="S372" s="275"/>
      <c r="T372" s="510"/>
      <c r="U372" s="275"/>
      <c r="V372" s="510"/>
      <c r="W372" s="275"/>
      <c r="X372" s="510"/>
      <c r="Y372" s="275"/>
      <c r="Z372" s="510"/>
      <c r="AA372" s="275"/>
      <c r="AB372" s="510"/>
      <c r="AC372" s="275"/>
      <c r="AD372" s="510"/>
      <c r="AE372" s="275"/>
      <c r="AF372" s="510"/>
      <c r="AG372" s="275"/>
      <c r="AH372" s="510"/>
      <c r="AI372" s="275"/>
      <c r="AJ372" s="510"/>
      <c r="AK372" s="275"/>
      <c r="AL372" s="510"/>
      <c r="AM372" s="275"/>
      <c r="AN372" s="510"/>
    </row>
    <row r="373" spans="1:40" s="183" customFormat="1" ht="15" customHeight="1">
      <c r="A373" s="362" t="s">
        <v>531</v>
      </c>
      <c r="B373" s="193" t="s">
        <v>501</v>
      </c>
      <c r="C373" s="195">
        <v>198570</v>
      </c>
      <c r="D373" s="196">
        <v>9</v>
      </c>
      <c r="E373" s="275">
        <v>1324</v>
      </c>
      <c r="F373" s="510">
        <v>1520</v>
      </c>
      <c r="G373" s="275">
        <v>7084</v>
      </c>
      <c r="H373" s="510">
        <v>7642</v>
      </c>
      <c r="I373" s="275"/>
      <c r="J373" s="510"/>
      <c r="K373" s="275"/>
      <c r="L373" s="510"/>
      <c r="M373" s="275"/>
      <c r="N373" s="510"/>
      <c r="O373" s="275"/>
      <c r="P373" s="510"/>
      <c r="Q373" s="275"/>
      <c r="R373" s="510"/>
      <c r="S373" s="275"/>
      <c r="T373" s="510"/>
      <c r="U373" s="275"/>
      <c r="V373" s="510"/>
      <c r="W373" s="275"/>
      <c r="X373" s="510"/>
      <c r="Y373" s="275"/>
      <c r="Z373" s="510"/>
      <c r="AA373" s="275"/>
      <c r="AB373" s="510"/>
      <c r="AC373" s="275"/>
      <c r="AD373" s="510"/>
      <c r="AE373" s="275"/>
      <c r="AF373" s="510"/>
      <c r="AG373" s="275"/>
      <c r="AH373" s="510"/>
      <c r="AI373" s="275"/>
      <c r="AJ373" s="510"/>
      <c r="AK373" s="275"/>
      <c r="AL373" s="510"/>
      <c r="AM373" s="275"/>
      <c r="AN373" s="510"/>
    </row>
    <row r="374" spans="1:40" s="183" customFormat="1" ht="15" customHeight="1">
      <c r="A374" s="362" t="s">
        <v>531</v>
      </c>
      <c r="B374" s="193" t="s">
        <v>502</v>
      </c>
      <c r="C374" s="195">
        <v>198668</v>
      </c>
      <c r="D374" s="196">
        <v>9</v>
      </c>
      <c r="E374" s="275">
        <v>1291</v>
      </c>
      <c r="F374" s="510">
        <v>1380</v>
      </c>
      <c r="G374" s="275">
        <v>7051</v>
      </c>
      <c r="H374" s="510">
        <v>7502</v>
      </c>
      <c r="I374" s="275"/>
      <c r="J374" s="510"/>
      <c r="K374" s="275"/>
      <c r="L374" s="510"/>
      <c r="M374" s="275"/>
      <c r="N374" s="510"/>
      <c r="O374" s="275"/>
      <c r="P374" s="510"/>
      <c r="Q374" s="275"/>
      <c r="R374" s="510"/>
      <c r="S374" s="275"/>
      <c r="T374" s="510"/>
      <c r="U374" s="275"/>
      <c r="V374" s="510"/>
      <c r="W374" s="275"/>
      <c r="X374" s="510"/>
      <c r="Y374" s="275"/>
      <c r="Z374" s="510"/>
      <c r="AA374" s="275"/>
      <c r="AB374" s="510"/>
      <c r="AC374" s="275"/>
      <c r="AD374" s="510"/>
      <c r="AE374" s="275"/>
      <c r="AF374" s="510"/>
      <c r="AG374" s="275"/>
      <c r="AH374" s="510"/>
      <c r="AI374" s="275"/>
      <c r="AJ374" s="510"/>
      <c r="AK374" s="275"/>
      <c r="AL374" s="510"/>
      <c r="AM374" s="275"/>
      <c r="AN374" s="510"/>
    </row>
    <row r="375" spans="1:40" s="183" customFormat="1" ht="15" customHeight="1">
      <c r="A375" s="362" t="s">
        <v>531</v>
      </c>
      <c r="B375" s="194" t="s">
        <v>503</v>
      </c>
      <c r="C375" s="195">
        <v>198710</v>
      </c>
      <c r="D375" s="196">
        <v>9</v>
      </c>
      <c r="E375" s="275">
        <v>1292</v>
      </c>
      <c r="F375" s="510">
        <v>1382</v>
      </c>
      <c r="G375" s="275">
        <v>7052</v>
      </c>
      <c r="H375" s="510">
        <v>7504</v>
      </c>
      <c r="I375" s="275"/>
      <c r="J375" s="510"/>
      <c r="K375" s="275"/>
      <c r="L375" s="510"/>
      <c r="M375" s="275"/>
      <c r="N375" s="510"/>
      <c r="O375" s="275"/>
      <c r="P375" s="510"/>
      <c r="Q375" s="275"/>
      <c r="R375" s="510"/>
      <c r="S375" s="275"/>
      <c r="T375" s="510"/>
      <c r="U375" s="275"/>
      <c r="V375" s="510"/>
      <c r="W375" s="275"/>
      <c r="X375" s="510"/>
      <c r="Y375" s="275"/>
      <c r="Z375" s="510"/>
      <c r="AA375" s="275"/>
      <c r="AB375" s="510"/>
      <c r="AC375" s="275"/>
      <c r="AD375" s="510"/>
      <c r="AE375" s="275"/>
      <c r="AF375" s="510"/>
      <c r="AG375" s="275"/>
      <c r="AH375" s="510"/>
      <c r="AI375" s="275"/>
      <c r="AJ375" s="510"/>
      <c r="AK375" s="275"/>
      <c r="AL375" s="510"/>
      <c r="AM375" s="275"/>
      <c r="AN375" s="510"/>
    </row>
    <row r="376" spans="1:40" s="183" customFormat="1" ht="15" customHeight="1">
      <c r="A376" s="362" t="s">
        <v>531</v>
      </c>
      <c r="B376" s="194" t="s">
        <v>504</v>
      </c>
      <c r="C376" s="195">
        <v>198774</v>
      </c>
      <c r="D376" s="196">
        <v>9</v>
      </c>
      <c r="E376" s="275">
        <v>1302</v>
      </c>
      <c r="F376" s="510">
        <v>1382</v>
      </c>
      <c r="G376" s="275">
        <v>7062</v>
      </c>
      <c r="H376" s="510">
        <v>7504</v>
      </c>
      <c r="I376" s="275"/>
      <c r="J376" s="510"/>
      <c r="K376" s="275"/>
      <c r="L376" s="510"/>
      <c r="M376" s="275"/>
      <c r="N376" s="510"/>
      <c r="O376" s="275"/>
      <c r="P376" s="510"/>
      <c r="Q376" s="275"/>
      <c r="R376" s="510"/>
      <c r="S376" s="275"/>
      <c r="T376" s="510"/>
      <c r="U376" s="275"/>
      <c r="V376" s="510"/>
      <c r="W376" s="275"/>
      <c r="X376" s="510"/>
      <c r="Y376" s="275"/>
      <c r="Z376" s="510"/>
      <c r="AA376" s="275"/>
      <c r="AB376" s="510"/>
      <c r="AC376" s="275"/>
      <c r="AD376" s="510"/>
      <c r="AE376" s="275"/>
      <c r="AF376" s="510"/>
      <c r="AG376" s="275"/>
      <c r="AH376" s="510"/>
      <c r="AI376" s="275"/>
      <c r="AJ376" s="510"/>
      <c r="AK376" s="275"/>
      <c r="AL376" s="510"/>
      <c r="AM376" s="275"/>
      <c r="AN376" s="510"/>
    </row>
    <row r="377" spans="1:40" s="183" customFormat="1" ht="15" customHeight="1">
      <c r="A377" s="362" t="s">
        <v>531</v>
      </c>
      <c r="B377" s="194" t="s">
        <v>505</v>
      </c>
      <c r="C377" s="195">
        <v>198817</v>
      </c>
      <c r="D377" s="196">
        <v>9</v>
      </c>
      <c r="E377" s="275">
        <v>1339</v>
      </c>
      <c r="F377" s="510">
        <v>1419</v>
      </c>
      <c r="G377" s="275">
        <v>7099</v>
      </c>
      <c r="H377" s="510">
        <v>7541</v>
      </c>
      <c r="I377" s="275"/>
      <c r="J377" s="510"/>
      <c r="K377" s="275"/>
      <c r="L377" s="510"/>
      <c r="M377" s="275"/>
      <c r="N377" s="510"/>
      <c r="O377" s="275"/>
      <c r="P377" s="510"/>
      <c r="Q377" s="275"/>
      <c r="R377" s="510"/>
      <c r="S377" s="275"/>
      <c r="T377" s="510"/>
      <c r="U377" s="275"/>
      <c r="V377" s="510"/>
      <c r="W377" s="275"/>
      <c r="X377" s="510"/>
      <c r="Y377" s="275"/>
      <c r="Z377" s="510"/>
      <c r="AA377" s="275"/>
      <c r="AB377" s="510"/>
      <c r="AC377" s="275"/>
      <c r="AD377" s="510"/>
      <c r="AE377" s="275"/>
      <c r="AF377" s="510"/>
      <c r="AG377" s="275"/>
      <c r="AH377" s="510"/>
      <c r="AI377" s="275"/>
      <c r="AJ377" s="510"/>
      <c r="AK377" s="275"/>
      <c r="AL377" s="510"/>
      <c r="AM377" s="275"/>
      <c r="AN377" s="510"/>
    </row>
    <row r="378" spans="1:40" s="183" customFormat="1" ht="15" customHeight="1">
      <c r="A378" s="362" t="s">
        <v>531</v>
      </c>
      <c r="B378" s="194" t="s">
        <v>506</v>
      </c>
      <c r="C378" s="195">
        <v>198987</v>
      </c>
      <c r="D378" s="196">
        <v>9</v>
      </c>
      <c r="E378" s="275">
        <v>1326</v>
      </c>
      <c r="F378" s="510">
        <v>1414</v>
      </c>
      <c r="G378" s="275">
        <v>7086</v>
      </c>
      <c r="H378" s="510">
        <v>7536</v>
      </c>
      <c r="I378" s="275"/>
      <c r="J378" s="510"/>
      <c r="K378" s="275"/>
      <c r="L378" s="510"/>
      <c r="M378" s="275"/>
      <c r="N378" s="510"/>
      <c r="O378" s="275"/>
      <c r="P378" s="510"/>
      <c r="Q378" s="275"/>
      <c r="R378" s="510"/>
      <c r="S378" s="275"/>
      <c r="T378" s="510"/>
      <c r="U378" s="275"/>
      <c r="V378" s="510"/>
      <c r="W378" s="275"/>
      <c r="X378" s="510"/>
      <c r="Y378" s="275"/>
      <c r="Z378" s="510"/>
      <c r="AA378" s="275"/>
      <c r="AB378" s="510"/>
      <c r="AC378" s="275"/>
      <c r="AD378" s="510"/>
      <c r="AE378" s="275"/>
      <c r="AF378" s="510"/>
      <c r="AG378" s="275"/>
      <c r="AH378" s="510"/>
      <c r="AI378" s="275"/>
      <c r="AJ378" s="510"/>
      <c r="AK378" s="275"/>
      <c r="AL378" s="510"/>
      <c r="AM378" s="275"/>
      <c r="AN378" s="510"/>
    </row>
    <row r="379" spans="1:40" s="183" customFormat="1" ht="15" customHeight="1">
      <c r="A379" s="362" t="s">
        <v>531</v>
      </c>
      <c r="B379" s="194" t="s">
        <v>507</v>
      </c>
      <c r="C379" s="195">
        <v>199087</v>
      </c>
      <c r="D379" s="196">
        <v>9</v>
      </c>
      <c r="E379" s="275">
        <v>1328</v>
      </c>
      <c r="F379" s="510">
        <v>1440</v>
      </c>
      <c r="G379" s="275">
        <v>7088</v>
      </c>
      <c r="H379" s="510">
        <v>7562</v>
      </c>
      <c r="I379" s="275"/>
      <c r="J379" s="510"/>
      <c r="K379" s="275"/>
      <c r="L379" s="510"/>
      <c r="M379" s="275"/>
      <c r="N379" s="510"/>
      <c r="O379" s="275"/>
      <c r="P379" s="510"/>
      <c r="Q379" s="275"/>
      <c r="R379" s="510"/>
      <c r="S379" s="275"/>
      <c r="T379" s="510"/>
      <c r="U379" s="275"/>
      <c r="V379" s="510"/>
      <c r="W379" s="275"/>
      <c r="X379" s="510"/>
      <c r="Y379" s="275"/>
      <c r="Z379" s="510"/>
      <c r="AA379" s="275"/>
      <c r="AB379" s="510"/>
      <c r="AC379" s="275"/>
      <c r="AD379" s="510"/>
      <c r="AE379" s="275"/>
      <c r="AF379" s="510"/>
      <c r="AG379" s="275"/>
      <c r="AH379" s="510"/>
      <c r="AI379" s="275"/>
      <c r="AJ379" s="510"/>
      <c r="AK379" s="275"/>
      <c r="AL379" s="510"/>
      <c r="AM379" s="275"/>
      <c r="AN379" s="510"/>
    </row>
    <row r="380" spans="1:40" s="183" customFormat="1" ht="15" customHeight="1">
      <c r="A380" s="362" t="s">
        <v>531</v>
      </c>
      <c r="B380" s="194" t="s">
        <v>508</v>
      </c>
      <c r="C380" s="195">
        <v>199324</v>
      </c>
      <c r="D380" s="196">
        <v>9</v>
      </c>
      <c r="E380" s="275">
        <v>1297</v>
      </c>
      <c r="F380" s="510">
        <v>1377</v>
      </c>
      <c r="G380" s="275">
        <v>7057</v>
      </c>
      <c r="H380" s="510">
        <v>7499</v>
      </c>
      <c r="I380" s="275"/>
      <c r="J380" s="510"/>
      <c r="K380" s="275"/>
      <c r="L380" s="510"/>
      <c r="M380" s="275"/>
      <c r="N380" s="510"/>
      <c r="O380" s="275"/>
      <c r="P380" s="510"/>
      <c r="Q380" s="275"/>
      <c r="R380" s="510"/>
      <c r="S380" s="275"/>
      <c r="T380" s="510"/>
      <c r="U380" s="275"/>
      <c r="V380" s="510"/>
      <c r="W380" s="275"/>
      <c r="X380" s="510"/>
      <c r="Y380" s="275"/>
      <c r="Z380" s="510"/>
      <c r="AA380" s="275"/>
      <c r="AB380" s="510"/>
      <c r="AC380" s="275"/>
      <c r="AD380" s="510"/>
      <c r="AE380" s="275"/>
      <c r="AF380" s="510"/>
      <c r="AG380" s="275"/>
      <c r="AH380" s="510"/>
      <c r="AI380" s="275"/>
      <c r="AJ380" s="510"/>
      <c r="AK380" s="275"/>
      <c r="AL380" s="510"/>
      <c r="AM380" s="275"/>
      <c r="AN380" s="510"/>
    </row>
    <row r="381" spans="1:40" s="183" customFormat="1" ht="15" customHeight="1">
      <c r="A381" s="362" t="s">
        <v>531</v>
      </c>
      <c r="B381" s="194" t="s">
        <v>509</v>
      </c>
      <c r="C381" s="195">
        <v>199421</v>
      </c>
      <c r="D381" s="196">
        <v>9</v>
      </c>
      <c r="E381" s="275">
        <v>1328</v>
      </c>
      <c r="F381" s="510">
        <v>1408</v>
      </c>
      <c r="G381" s="275">
        <v>7088</v>
      </c>
      <c r="H381" s="510">
        <v>7530</v>
      </c>
      <c r="I381" s="275"/>
      <c r="J381" s="510"/>
      <c r="K381" s="275"/>
      <c r="L381" s="510"/>
      <c r="M381" s="275"/>
      <c r="N381" s="510"/>
      <c r="O381" s="275"/>
      <c r="P381" s="510"/>
      <c r="Q381" s="275"/>
      <c r="R381" s="510"/>
      <c r="S381" s="275"/>
      <c r="T381" s="510"/>
      <c r="U381" s="275"/>
      <c r="V381" s="510"/>
      <c r="W381" s="275"/>
      <c r="X381" s="510"/>
      <c r="Y381" s="275"/>
      <c r="Z381" s="510"/>
      <c r="AA381" s="275"/>
      <c r="AB381" s="510"/>
      <c r="AC381" s="275"/>
      <c r="AD381" s="510"/>
      <c r="AE381" s="275"/>
      <c r="AF381" s="510"/>
      <c r="AG381" s="275"/>
      <c r="AH381" s="510"/>
      <c r="AI381" s="275"/>
      <c r="AJ381" s="510"/>
      <c r="AK381" s="275"/>
      <c r="AL381" s="510"/>
      <c r="AM381" s="275"/>
      <c r="AN381" s="510"/>
    </row>
    <row r="382" spans="1:40" s="183" customFormat="1" ht="15" customHeight="1">
      <c r="A382" s="362" t="s">
        <v>531</v>
      </c>
      <c r="B382" s="193" t="s">
        <v>510</v>
      </c>
      <c r="C382" s="195">
        <v>199449</v>
      </c>
      <c r="D382" s="196">
        <v>9</v>
      </c>
      <c r="E382" s="275">
        <v>1302</v>
      </c>
      <c r="F382" s="510">
        <v>1382</v>
      </c>
      <c r="G382" s="275">
        <v>7062</v>
      </c>
      <c r="H382" s="510">
        <v>7504</v>
      </c>
      <c r="I382" s="275"/>
      <c r="J382" s="510"/>
      <c r="K382" s="275"/>
      <c r="L382" s="510"/>
      <c r="M382" s="275"/>
      <c r="N382" s="510"/>
      <c r="O382" s="275"/>
      <c r="P382" s="510"/>
      <c r="Q382" s="275"/>
      <c r="R382" s="510"/>
      <c r="S382" s="275"/>
      <c r="T382" s="510"/>
      <c r="U382" s="275"/>
      <c r="V382" s="510"/>
      <c r="W382" s="275"/>
      <c r="X382" s="510"/>
      <c r="Y382" s="275"/>
      <c r="Z382" s="510"/>
      <c r="AA382" s="275"/>
      <c r="AB382" s="510"/>
      <c r="AC382" s="275"/>
      <c r="AD382" s="510"/>
      <c r="AE382" s="275"/>
      <c r="AF382" s="510"/>
      <c r="AG382" s="275"/>
      <c r="AH382" s="510"/>
      <c r="AI382" s="275"/>
      <c r="AJ382" s="510"/>
      <c r="AK382" s="275"/>
      <c r="AL382" s="510"/>
      <c r="AM382" s="275"/>
      <c r="AN382" s="510"/>
    </row>
    <row r="383" spans="1:40" s="183" customFormat="1" ht="15" customHeight="1">
      <c r="A383" s="362" t="s">
        <v>531</v>
      </c>
      <c r="B383" s="194" t="s">
        <v>511</v>
      </c>
      <c r="C383" s="195">
        <v>199476</v>
      </c>
      <c r="D383" s="196">
        <v>9</v>
      </c>
      <c r="E383" s="275">
        <v>1324</v>
      </c>
      <c r="F383" s="510">
        <v>1404</v>
      </c>
      <c r="G383" s="275">
        <v>7084</v>
      </c>
      <c r="H383" s="510">
        <v>7526</v>
      </c>
      <c r="I383" s="275"/>
      <c r="J383" s="510"/>
      <c r="K383" s="275"/>
      <c r="L383" s="510"/>
      <c r="M383" s="275"/>
      <c r="N383" s="510"/>
      <c r="O383" s="275"/>
      <c r="P383" s="510"/>
      <c r="Q383" s="275"/>
      <c r="R383" s="510"/>
      <c r="S383" s="275"/>
      <c r="T383" s="510"/>
      <c r="U383" s="275"/>
      <c r="V383" s="510"/>
      <c r="W383" s="275"/>
      <c r="X383" s="510"/>
      <c r="Y383" s="275"/>
      <c r="Z383" s="510"/>
      <c r="AA383" s="275"/>
      <c r="AB383" s="510"/>
      <c r="AC383" s="275"/>
      <c r="AD383" s="510"/>
      <c r="AE383" s="275"/>
      <c r="AF383" s="510"/>
      <c r="AG383" s="275"/>
      <c r="AH383" s="510"/>
      <c r="AI383" s="275"/>
      <c r="AJ383" s="510"/>
      <c r="AK383" s="275"/>
      <c r="AL383" s="510"/>
      <c r="AM383" s="275"/>
      <c r="AN383" s="510"/>
    </row>
    <row r="384" spans="1:40" s="183" customFormat="1" ht="15" customHeight="1">
      <c r="A384" s="362" t="s">
        <v>531</v>
      </c>
      <c r="B384" s="194" t="s">
        <v>512</v>
      </c>
      <c r="C384" s="195">
        <v>199485</v>
      </c>
      <c r="D384" s="196">
        <v>9</v>
      </c>
      <c r="E384" s="275">
        <v>1343</v>
      </c>
      <c r="F384" s="510">
        <v>1437</v>
      </c>
      <c r="G384" s="275">
        <v>7103</v>
      </c>
      <c r="H384" s="510">
        <v>7559</v>
      </c>
      <c r="I384" s="275"/>
      <c r="J384" s="510"/>
      <c r="K384" s="275"/>
      <c r="L384" s="510"/>
      <c r="M384" s="275"/>
      <c r="N384" s="510"/>
      <c r="O384" s="275"/>
      <c r="P384" s="510"/>
      <c r="Q384" s="275"/>
      <c r="R384" s="510"/>
      <c r="S384" s="275"/>
      <c r="T384" s="510"/>
      <c r="U384" s="275"/>
      <c r="V384" s="510"/>
      <c r="W384" s="275"/>
      <c r="X384" s="510"/>
      <c r="Y384" s="275"/>
      <c r="Z384" s="510"/>
      <c r="AA384" s="275"/>
      <c r="AB384" s="510"/>
      <c r="AC384" s="275"/>
      <c r="AD384" s="510"/>
      <c r="AE384" s="275"/>
      <c r="AF384" s="510"/>
      <c r="AG384" s="275"/>
      <c r="AH384" s="510"/>
      <c r="AI384" s="275"/>
      <c r="AJ384" s="510"/>
      <c r="AK384" s="275"/>
      <c r="AL384" s="510"/>
      <c r="AM384" s="275"/>
      <c r="AN384" s="510"/>
    </row>
    <row r="385" spans="1:40" s="183" customFormat="1" ht="15" customHeight="1">
      <c r="A385" s="362" t="s">
        <v>531</v>
      </c>
      <c r="B385" s="194" t="s">
        <v>265</v>
      </c>
      <c r="C385" s="195">
        <v>199634</v>
      </c>
      <c r="D385" s="196">
        <v>9</v>
      </c>
      <c r="E385" s="275">
        <v>1334</v>
      </c>
      <c r="F385" s="510">
        <v>1414</v>
      </c>
      <c r="G385" s="275">
        <v>7094</v>
      </c>
      <c r="H385" s="510">
        <v>7536</v>
      </c>
      <c r="I385" s="275"/>
      <c r="J385" s="510"/>
      <c r="K385" s="275"/>
      <c r="L385" s="510"/>
      <c r="M385" s="275"/>
      <c r="N385" s="510"/>
      <c r="O385" s="275"/>
      <c r="P385" s="510"/>
      <c r="Q385" s="275"/>
      <c r="R385" s="510"/>
      <c r="S385" s="275"/>
      <c r="T385" s="510"/>
      <c r="U385" s="275"/>
      <c r="V385" s="510"/>
      <c r="W385" s="275"/>
      <c r="X385" s="510"/>
      <c r="Y385" s="275"/>
      <c r="Z385" s="510"/>
      <c r="AA385" s="275"/>
      <c r="AB385" s="510"/>
      <c r="AC385" s="275"/>
      <c r="AD385" s="510"/>
      <c r="AE385" s="275"/>
      <c r="AF385" s="510"/>
      <c r="AG385" s="275"/>
      <c r="AH385" s="510"/>
      <c r="AI385" s="275"/>
      <c r="AJ385" s="510"/>
      <c r="AK385" s="275"/>
      <c r="AL385" s="510"/>
      <c r="AM385" s="275"/>
      <c r="AN385" s="510"/>
    </row>
    <row r="386" spans="1:40" s="183" customFormat="1" ht="15" customHeight="1">
      <c r="A386" s="362" t="s">
        <v>531</v>
      </c>
      <c r="B386" s="193" t="s">
        <v>266</v>
      </c>
      <c r="C386" s="195">
        <v>197850</v>
      </c>
      <c r="D386" s="196">
        <v>9</v>
      </c>
      <c r="E386" s="275">
        <v>1319</v>
      </c>
      <c r="F386" s="510">
        <v>1420</v>
      </c>
      <c r="G386" s="275">
        <v>7079</v>
      </c>
      <c r="H386" s="510">
        <v>7542</v>
      </c>
      <c r="I386" s="275"/>
      <c r="J386" s="510"/>
      <c r="K386" s="275"/>
      <c r="L386" s="510"/>
      <c r="M386" s="275"/>
      <c r="N386" s="510"/>
      <c r="O386" s="275"/>
      <c r="P386" s="510"/>
      <c r="Q386" s="275"/>
      <c r="R386" s="510"/>
      <c r="S386" s="275"/>
      <c r="T386" s="510"/>
      <c r="U386" s="275"/>
      <c r="V386" s="510"/>
      <c r="W386" s="275"/>
      <c r="X386" s="510"/>
      <c r="Y386" s="275"/>
      <c r="Z386" s="510"/>
      <c r="AA386" s="275"/>
      <c r="AB386" s="510"/>
      <c r="AC386" s="275"/>
      <c r="AD386" s="510"/>
      <c r="AE386" s="275"/>
      <c r="AF386" s="510"/>
      <c r="AG386" s="275"/>
      <c r="AH386" s="510"/>
      <c r="AI386" s="275"/>
      <c r="AJ386" s="510"/>
      <c r="AK386" s="275"/>
      <c r="AL386" s="510"/>
      <c r="AM386" s="275"/>
      <c r="AN386" s="510"/>
    </row>
    <row r="387" spans="1:40" s="183" customFormat="1" ht="15" customHeight="1">
      <c r="A387" s="362" t="s">
        <v>531</v>
      </c>
      <c r="B387" s="194" t="s">
        <v>267</v>
      </c>
      <c r="C387" s="195">
        <v>199722</v>
      </c>
      <c r="D387" s="196">
        <v>9</v>
      </c>
      <c r="E387" s="275">
        <v>1325</v>
      </c>
      <c r="F387" s="510">
        <v>1413</v>
      </c>
      <c r="G387" s="275">
        <v>7085</v>
      </c>
      <c r="H387" s="510">
        <v>7535</v>
      </c>
      <c r="I387" s="275"/>
      <c r="J387" s="510"/>
      <c r="K387" s="275"/>
      <c r="L387" s="510"/>
      <c r="M387" s="275"/>
      <c r="N387" s="510"/>
      <c r="O387" s="275"/>
      <c r="P387" s="510"/>
      <c r="Q387" s="275"/>
      <c r="R387" s="510"/>
      <c r="S387" s="275"/>
      <c r="T387" s="510"/>
      <c r="U387" s="275"/>
      <c r="V387" s="510"/>
      <c r="W387" s="275"/>
      <c r="X387" s="510"/>
      <c r="Y387" s="275"/>
      <c r="Z387" s="510"/>
      <c r="AA387" s="275"/>
      <c r="AB387" s="510"/>
      <c r="AC387" s="275"/>
      <c r="AD387" s="510"/>
      <c r="AE387" s="275"/>
      <c r="AF387" s="510"/>
      <c r="AG387" s="275"/>
      <c r="AH387" s="510"/>
      <c r="AI387" s="275"/>
      <c r="AJ387" s="510"/>
      <c r="AK387" s="275"/>
      <c r="AL387" s="510"/>
      <c r="AM387" s="275"/>
      <c r="AN387" s="510"/>
    </row>
    <row r="388" spans="1:40" s="183" customFormat="1" ht="15" customHeight="1">
      <c r="A388" s="194" t="s">
        <v>531</v>
      </c>
      <c r="B388" s="194" t="s">
        <v>268</v>
      </c>
      <c r="C388" s="195">
        <v>199731</v>
      </c>
      <c r="D388" s="196">
        <v>9</v>
      </c>
      <c r="E388" s="275">
        <v>1329</v>
      </c>
      <c r="F388" s="510">
        <v>1409</v>
      </c>
      <c r="G388" s="275">
        <v>7089</v>
      </c>
      <c r="H388" s="510">
        <v>7531</v>
      </c>
      <c r="I388" s="275"/>
      <c r="J388" s="510"/>
      <c r="K388" s="275"/>
      <c r="L388" s="510"/>
      <c r="M388" s="275"/>
      <c r="N388" s="510"/>
      <c r="O388" s="275"/>
      <c r="P388" s="510"/>
      <c r="Q388" s="275"/>
      <c r="R388" s="510"/>
      <c r="S388" s="275"/>
      <c r="T388" s="510"/>
      <c r="U388" s="275"/>
      <c r="V388" s="510"/>
      <c r="W388" s="275"/>
      <c r="X388" s="510"/>
      <c r="Y388" s="275"/>
      <c r="Z388" s="510"/>
      <c r="AA388" s="275"/>
      <c r="AB388" s="510"/>
      <c r="AC388" s="275"/>
      <c r="AD388" s="510"/>
      <c r="AE388" s="275"/>
      <c r="AF388" s="510"/>
      <c r="AG388" s="275"/>
      <c r="AH388" s="510"/>
      <c r="AI388" s="275"/>
      <c r="AJ388" s="510"/>
      <c r="AK388" s="275"/>
      <c r="AL388" s="510"/>
      <c r="AM388" s="275"/>
      <c r="AN388" s="510"/>
    </row>
    <row r="389" spans="1:40" s="183" customFormat="1" ht="15" customHeight="1">
      <c r="A389" s="194" t="s">
        <v>531</v>
      </c>
      <c r="B389" s="193" t="s">
        <v>269</v>
      </c>
      <c r="C389" s="195">
        <v>199740</v>
      </c>
      <c r="D389" s="196">
        <v>9</v>
      </c>
      <c r="E389" s="275">
        <v>1354</v>
      </c>
      <c r="F389" s="510">
        <v>1438</v>
      </c>
      <c r="G389" s="275">
        <v>7114</v>
      </c>
      <c r="H389" s="510">
        <v>7560</v>
      </c>
      <c r="I389" s="275"/>
      <c r="J389" s="510"/>
      <c r="K389" s="275"/>
      <c r="L389" s="510"/>
      <c r="M389" s="275"/>
      <c r="N389" s="510"/>
      <c r="O389" s="275"/>
      <c r="P389" s="510"/>
      <c r="Q389" s="275"/>
      <c r="R389" s="510"/>
      <c r="S389" s="275"/>
      <c r="T389" s="510"/>
      <c r="U389" s="275"/>
      <c r="V389" s="510"/>
      <c r="W389" s="275"/>
      <c r="X389" s="510"/>
      <c r="Y389" s="275"/>
      <c r="Z389" s="510"/>
      <c r="AA389" s="275"/>
      <c r="AB389" s="510"/>
      <c r="AC389" s="275"/>
      <c r="AD389" s="510"/>
      <c r="AE389" s="275"/>
      <c r="AF389" s="510"/>
      <c r="AG389" s="275"/>
      <c r="AH389" s="510"/>
      <c r="AI389" s="275"/>
      <c r="AJ389" s="510"/>
      <c r="AK389" s="275"/>
      <c r="AL389" s="510"/>
      <c r="AM389" s="275"/>
      <c r="AN389" s="510"/>
    </row>
    <row r="390" spans="1:40" s="183" customFormat="1" ht="15" customHeight="1">
      <c r="A390" s="194" t="s">
        <v>531</v>
      </c>
      <c r="B390" s="194" t="s">
        <v>270</v>
      </c>
      <c r="C390" s="195">
        <v>199768</v>
      </c>
      <c r="D390" s="196">
        <v>9</v>
      </c>
      <c r="E390" s="275">
        <v>1328</v>
      </c>
      <c r="F390" s="510">
        <v>1408</v>
      </c>
      <c r="G390" s="275">
        <v>7088</v>
      </c>
      <c r="H390" s="510">
        <v>7530</v>
      </c>
      <c r="I390" s="275"/>
      <c r="J390" s="510"/>
      <c r="K390" s="275"/>
      <c r="L390" s="510"/>
      <c r="M390" s="275"/>
      <c r="N390" s="510"/>
      <c r="O390" s="275"/>
      <c r="P390" s="510"/>
      <c r="Q390" s="275"/>
      <c r="R390" s="510"/>
      <c r="S390" s="275"/>
      <c r="T390" s="510"/>
      <c r="U390" s="275"/>
      <c r="V390" s="510"/>
      <c r="W390" s="275"/>
      <c r="X390" s="510"/>
      <c r="Y390" s="275"/>
      <c r="Z390" s="510"/>
      <c r="AA390" s="275"/>
      <c r="AB390" s="510"/>
      <c r="AC390" s="275"/>
      <c r="AD390" s="510"/>
      <c r="AE390" s="275"/>
      <c r="AF390" s="510"/>
      <c r="AG390" s="275"/>
      <c r="AH390" s="510"/>
      <c r="AI390" s="275"/>
      <c r="AJ390" s="510"/>
      <c r="AK390" s="275"/>
      <c r="AL390" s="510"/>
      <c r="AM390" s="275"/>
      <c r="AN390" s="510"/>
    </row>
    <row r="391" spans="1:40" s="183" customFormat="1" ht="15" customHeight="1">
      <c r="A391" s="194" t="s">
        <v>531</v>
      </c>
      <c r="B391" s="194" t="s">
        <v>271</v>
      </c>
      <c r="C391" s="195">
        <v>199838</v>
      </c>
      <c r="D391" s="196">
        <v>9</v>
      </c>
      <c r="E391" s="275">
        <v>1302</v>
      </c>
      <c r="F391" s="510">
        <v>1406</v>
      </c>
      <c r="G391" s="275">
        <v>7062</v>
      </c>
      <c r="H391" s="510">
        <v>7528</v>
      </c>
      <c r="I391" s="275"/>
      <c r="J391" s="510"/>
      <c r="K391" s="275"/>
      <c r="L391" s="510"/>
      <c r="M391" s="275"/>
      <c r="N391" s="510"/>
      <c r="O391" s="275"/>
      <c r="P391" s="510"/>
      <c r="Q391" s="275"/>
      <c r="R391" s="510"/>
      <c r="S391" s="275"/>
      <c r="T391" s="510"/>
      <c r="U391" s="275"/>
      <c r="V391" s="510"/>
      <c r="W391" s="275"/>
      <c r="X391" s="510"/>
      <c r="Y391" s="275"/>
      <c r="Z391" s="510"/>
      <c r="AA391" s="275"/>
      <c r="AB391" s="510"/>
      <c r="AC391" s="275"/>
      <c r="AD391" s="510"/>
      <c r="AE391" s="275"/>
      <c r="AF391" s="510"/>
      <c r="AG391" s="275"/>
      <c r="AH391" s="510"/>
      <c r="AI391" s="275"/>
      <c r="AJ391" s="510"/>
      <c r="AK391" s="275"/>
      <c r="AL391" s="510"/>
      <c r="AM391" s="275"/>
      <c r="AN391" s="510"/>
    </row>
    <row r="392" spans="1:40" s="183" customFormat="1" ht="15" customHeight="1">
      <c r="A392" s="194" t="s">
        <v>531</v>
      </c>
      <c r="B392" s="194" t="s">
        <v>272</v>
      </c>
      <c r="C392" s="195">
        <v>199892</v>
      </c>
      <c r="D392" s="196">
        <v>9</v>
      </c>
      <c r="E392" s="275">
        <v>1296</v>
      </c>
      <c r="F392" s="510">
        <v>1400</v>
      </c>
      <c r="G392" s="275">
        <v>7056</v>
      </c>
      <c r="H392" s="510">
        <v>7522</v>
      </c>
      <c r="I392" s="275"/>
      <c r="J392" s="510"/>
      <c r="K392" s="275"/>
      <c r="L392" s="510"/>
      <c r="M392" s="275"/>
      <c r="N392" s="510"/>
      <c r="O392" s="275"/>
      <c r="P392" s="510"/>
      <c r="Q392" s="275"/>
      <c r="R392" s="510"/>
      <c r="S392" s="275"/>
      <c r="T392" s="510"/>
      <c r="U392" s="275"/>
      <c r="V392" s="510"/>
      <c r="W392" s="275"/>
      <c r="X392" s="510"/>
      <c r="Y392" s="275"/>
      <c r="Z392" s="510"/>
      <c r="AA392" s="275"/>
      <c r="AB392" s="510"/>
      <c r="AC392" s="275"/>
      <c r="AD392" s="510"/>
      <c r="AE392" s="275"/>
      <c r="AF392" s="510"/>
      <c r="AG392" s="275"/>
      <c r="AH392" s="510"/>
      <c r="AI392" s="275"/>
      <c r="AJ392" s="510"/>
      <c r="AK392" s="275"/>
      <c r="AL392" s="510"/>
      <c r="AM392" s="275"/>
      <c r="AN392" s="510"/>
    </row>
    <row r="393" spans="1:40" s="183" customFormat="1" ht="15" customHeight="1">
      <c r="A393" s="194" t="s">
        <v>531</v>
      </c>
      <c r="B393" s="194" t="s">
        <v>273</v>
      </c>
      <c r="C393" s="195">
        <v>199908</v>
      </c>
      <c r="D393" s="196">
        <v>9</v>
      </c>
      <c r="E393" s="275">
        <v>1291</v>
      </c>
      <c r="F393" s="510">
        <v>1371</v>
      </c>
      <c r="G393" s="275">
        <v>7051</v>
      </c>
      <c r="H393" s="510">
        <v>7493</v>
      </c>
      <c r="I393" s="275"/>
      <c r="J393" s="510"/>
      <c r="K393" s="275"/>
      <c r="L393" s="510"/>
      <c r="M393" s="275"/>
      <c r="N393" s="510"/>
      <c r="O393" s="275"/>
      <c r="P393" s="510"/>
      <c r="Q393" s="275"/>
      <c r="R393" s="510"/>
      <c r="S393" s="275"/>
      <c r="T393" s="510"/>
      <c r="U393" s="275"/>
      <c r="V393" s="510"/>
      <c r="W393" s="275"/>
      <c r="X393" s="510"/>
      <c r="Y393" s="275"/>
      <c r="Z393" s="510"/>
      <c r="AA393" s="275"/>
      <c r="AB393" s="510"/>
      <c r="AC393" s="275"/>
      <c r="AD393" s="510"/>
      <c r="AE393" s="275"/>
      <c r="AF393" s="510"/>
      <c r="AG393" s="275"/>
      <c r="AH393" s="510"/>
      <c r="AI393" s="275"/>
      <c r="AJ393" s="510"/>
      <c r="AK393" s="275"/>
      <c r="AL393" s="510"/>
      <c r="AM393" s="275"/>
      <c r="AN393" s="510"/>
    </row>
    <row r="394" spans="1:40" s="183" customFormat="1" ht="15" customHeight="1">
      <c r="A394" s="194" t="s">
        <v>531</v>
      </c>
      <c r="B394" s="194" t="s">
        <v>274</v>
      </c>
      <c r="C394" s="195">
        <v>199926</v>
      </c>
      <c r="D394" s="196">
        <v>9</v>
      </c>
      <c r="E394" s="275">
        <v>1321</v>
      </c>
      <c r="F394" s="510">
        <v>1424</v>
      </c>
      <c r="G394" s="275">
        <v>7081</v>
      </c>
      <c r="H394" s="510">
        <v>7546</v>
      </c>
      <c r="I394" s="275"/>
      <c r="J394" s="510"/>
      <c r="K394" s="275"/>
      <c r="L394" s="510"/>
      <c r="M394" s="275"/>
      <c r="N394" s="510"/>
      <c r="O394" s="275"/>
      <c r="P394" s="510"/>
      <c r="Q394" s="275"/>
      <c r="R394" s="510"/>
      <c r="S394" s="275"/>
      <c r="T394" s="510"/>
      <c r="U394" s="275"/>
      <c r="V394" s="510"/>
      <c r="W394" s="275"/>
      <c r="X394" s="510"/>
      <c r="Y394" s="275"/>
      <c r="Z394" s="510"/>
      <c r="AA394" s="275"/>
      <c r="AB394" s="510"/>
      <c r="AC394" s="275"/>
      <c r="AD394" s="510"/>
      <c r="AE394" s="275"/>
      <c r="AF394" s="510"/>
      <c r="AG394" s="275"/>
      <c r="AH394" s="510"/>
      <c r="AI394" s="275"/>
      <c r="AJ394" s="510"/>
      <c r="AK394" s="275"/>
      <c r="AL394" s="510"/>
      <c r="AM394" s="275"/>
      <c r="AN394" s="510"/>
    </row>
    <row r="395" spans="1:40" s="183" customFormat="1" ht="15" customHeight="1">
      <c r="A395" s="194" t="s">
        <v>531</v>
      </c>
      <c r="B395" s="194" t="s">
        <v>275</v>
      </c>
      <c r="C395" s="195">
        <v>199953</v>
      </c>
      <c r="D395" s="196">
        <v>9</v>
      </c>
      <c r="E395" s="275">
        <v>1302</v>
      </c>
      <c r="F395" s="510">
        <v>1386</v>
      </c>
      <c r="G395" s="275">
        <v>7062</v>
      </c>
      <c r="H395" s="510">
        <v>7508</v>
      </c>
      <c r="I395" s="275"/>
      <c r="J395" s="510"/>
      <c r="K395" s="275"/>
      <c r="L395" s="510"/>
      <c r="M395" s="275"/>
      <c r="N395" s="510"/>
      <c r="O395" s="275"/>
      <c r="P395" s="510"/>
      <c r="Q395" s="275"/>
      <c r="R395" s="510"/>
      <c r="S395" s="275"/>
      <c r="T395" s="510"/>
      <c r="U395" s="275"/>
      <c r="V395" s="510"/>
      <c r="W395" s="275"/>
      <c r="X395" s="510"/>
      <c r="Y395" s="275"/>
      <c r="Z395" s="510"/>
      <c r="AA395" s="275"/>
      <c r="AB395" s="510"/>
      <c r="AC395" s="275"/>
      <c r="AD395" s="510"/>
      <c r="AE395" s="275"/>
      <c r="AF395" s="510"/>
      <c r="AG395" s="275"/>
      <c r="AH395" s="510"/>
      <c r="AI395" s="275"/>
      <c r="AJ395" s="510"/>
      <c r="AK395" s="275"/>
      <c r="AL395" s="510"/>
      <c r="AM395" s="275"/>
      <c r="AN395" s="510"/>
    </row>
    <row r="396" spans="1:40" s="183" customFormat="1" ht="15" customHeight="1">
      <c r="A396" s="194" t="s">
        <v>531</v>
      </c>
      <c r="B396" s="194" t="s">
        <v>276</v>
      </c>
      <c r="C396" s="195">
        <v>198011</v>
      </c>
      <c r="D396" s="196">
        <v>10</v>
      </c>
      <c r="E396" s="275">
        <v>1332</v>
      </c>
      <c r="F396" s="510">
        <v>1412</v>
      </c>
      <c r="G396" s="275">
        <v>7092</v>
      </c>
      <c r="H396" s="510">
        <v>7534</v>
      </c>
      <c r="I396" s="275"/>
      <c r="J396" s="510"/>
      <c r="K396" s="275"/>
      <c r="L396" s="510"/>
      <c r="M396" s="275"/>
      <c r="N396" s="510"/>
      <c r="O396" s="275"/>
      <c r="P396" s="510"/>
      <c r="Q396" s="275"/>
      <c r="R396" s="510"/>
      <c r="S396" s="275"/>
      <c r="T396" s="510"/>
      <c r="U396" s="275"/>
      <c r="V396" s="510"/>
      <c r="W396" s="275"/>
      <c r="X396" s="510"/>
      <c r="Y396" s="275"/>
      <c r="Z396" s="510"/>
      <c r="AA396" s="275"/>
      <c r="AB396" s="510"/>
      <c r="AC396" s="275"/>
      <c r="AD396" s="510"/>
      <c r="AE396" s="275"/>
      <c r="AF396" s="510"/>
      <c r="AG396" s="275"/>
      <c r="AH396" s="510"/>
      <c r="AI396" s="275"/>
      <c r="AJ396" s="510"/>
      <c r="AK396" s="275"/>
      <c r="AL396" s="510"/>
      <c r="AM396" s="275"/>
      <c r="AN396" s="510"/>
    </row>
    <row r="397" spans="1:40" s="183" customFormat="1" ht="15" customHeight="1">
      <c r="A397" s="194" t="s">
        <v>531</v>
      </c>
      <c r="B397" s="194" t="s">
        <v>277</v>
      </c>
      <c r="C397" s="195">
        <v>198084</v>
      </c>
      <c r="D397" s="196">
        <v>10</v>
      </c>
      <c r="E397" s="275">
        <v>1337</v>
      </c>
      <c r="F397" s="510">
        <v>1417</v>
      </c>
      <c r="G397" s="275">
        <v>7097</v>
      </c>
      <c r="H397" s="510">
        <v>7539</v>
      </c>
      <c r="I397" s="275"/>
      <c r="J397" s="510"/>
      <c r="K397" s="275"/>
      <c r="L397" s="510"/>
      <c r="M397" s="275"/>
      <c r="N397" s="510"/>
      <c r="O397" s="275"/>
      <c r="P397" s="510"/>
      <c r="Q397" s="275"/>
      <c r="R397" s="510"/>
      <c r="S397" s="275"/>
      <c r="T397" s="510"/>
      <c r="U397" s="275"/>
      <c r="V397" s="510"/>
      <c r="W397" s="275"/>
      <c r="X397" s="510"/>
      <c r="Y397" s="275"/>
      <c r="Z397" s="510"/>
      <c r="AA397" s="275"/>
      <c r="AB397" s="510"/>
      <c r="AC397" s="275"/>
      <c r="AD397" s="510"/>
      <c r="AE397" s="275"/>
      <c r="AF397" s="510"/>
      <c r="AG397" s="275"/>
      <c r="AH397" s="510"/>
      <c r="AI397" s="275"/>
      <c r="AJ397" s="510"/>
      <c r="AK397" s="275"/>
      <c r="AL397" s="510"/>
      <c r="AM397" s="275"/>
      <c r="AN397" s="510"/>
    </row>
    <row r="398" spans="1:40" s="183" customFormat="1" ht="15" customHeight="1">
      <c r="A398" s="194" t="s">
        <v>531</v>
      </c>
      <c r="B398" s="193" t="s">
        <v>278</v>
      </c>
      <c r="C398" s="195">
        <v>198206</v>
      </c>
      <c r="D398" s="196">
        <v>10</v>
      </c>
      <c r="E398" s="275">
        <v>1315</v>
      </c>
      <c r="F398" s="510">
        <v>1410</v>
      </c>
      <c r="G398" s="275">
        <v>7075</v>
      </c>
      <c r="H398" s="510">
        <v>7532</v>
      </c>
      <c r="I398" s="275"/>
      <c r="J398" s="510"/>
      <c r="K398" s="275"/>
      <c r="L398" s="510"/>
      <c r="M398" s="275"/>
      <c r="N398" s="510"/>
      <c r="O398" s="275"/>
      <c r="P398" s="510"/>
      <c r="Q398" s="275"/>
      <c r="R398" s="510"/>
      <c r="S398" s="275"/>
      <c r="T398" s="510"/>
      <c r="U398" s="275"/>
      <c r="V398" s="510"/>
      <c r="W398" s="275"/>
      <c r="X398" s="510"/>
      <c r="Y398" s="275"/>
      <c r="Z398" s="510"/>
      <c r="AA398" s="275"/>
      <c r="AB398" s="510"/>
      <c r="AC398" s="275"/>
      <c r="AD398" s="510"/>
      <c r="AE398" s="275"/>
      <c r="AF398" s="510"/>
      <c r="AG398" s="275"/>
      <c r="AH398" s="510"/>
      <c r="AI398" s="275"/>
      <c r="AJ398" s="510"/>
      <c r="AK398" s="275"/>
      <c r="AL398" s="510"/>
      <c r="AM398" s="275"/>
      <c r="AN398" s="510"/>
    </row>
    <row r="399" spans="1:40" s="183" customFormat="1" ht="15" customHeight="1">
      <c r="A399" s="194" t="s">
        <v>531</v>
      </c>
      <c r="B399" s="194" t="s">
        <v>279</v>
      </c>
      <c r="C399" s="195">
        <v>198640</v>
      </c>
      <c r="D399" s="196">
        <v>10</v>
      </c>
      <c r="E399" s="275">
        <v>1344</v>
      </c>
      <c r="F399" s="510">
        <v>1442</v>
      </c>
      <c r="G399" s="275">
        <v>7104</v>
      </c>
      <c r="H399" s="510">
        <v>7564</v>
      </c>
      <c r="I399" s="275"/>
      <c r="J399" s="510"/>
      <c r="K399" s="275"/>
      <c r="L399" s="510"/>
      <c r="M399" s="275"/>
      <c r="N399" s="510"/>
      <c r="O399" s="275"/>
      <c r="P399" s="510"/>
      <c r="Q399" s="275"/>
      <c r="R399" s="510"/>
      <c r="S399" s="275"/>
      <c r="T399" s="510"/>
      <c r="U399" s="275"/>
      <c r="V399" s="510"/>
      <c r="W399" s="275"/>
      <c r="X399" s="510"/>
      <c r="Y399" s="275"/>
      <c r="Z399" s="510"/>
      <c r="AA399" s="275"/>
      <c r="AB399" s="510"/>
      <c r="AC399" s="275"/>
      <c r="AD399" s="510"/>
      <c r="AE399" s="275"/>
      <c r="AF399" s="510"/>
      <c r="AG399" s="275"/>
      <c r="AH399" s="510"/>
      <c r="AI399" s="275"/>
      <c r="AJ399" s="510"/>
      <c r="AK399" s="275"/>
      <c r="AL399" s="510"/>
      <c r="AM399" s="275"/>
      <c r="AN399" s="510"/>
    </row>
    <row r="400" spans="1:40" s="183" customFormat="1" ht="15" customHeight="1">
      <c r="A400" s="194" t="s">
        <v>531</v>
      </c>
      <c r="B400" s="194" t="s">
        <v>280</v>
      </c>
      <c r="C400" s="195">
        <v>198729</v>
      </c>
      <c r="D400" s="196">
        <v>10</v>
      </c>
      <c r="E400" s="275">
        <v>1334</v>
      </c>
      <c r="F400" s="510">
        <v>1414</v>
      </c>
      <c r="G400" s="275">
        <v>7094</v>
      </c>
      <c r="H400" s="510">
        <v>7536</v>
      </c>
      <c r="I400" s="275"/>
      <c r="J400" s="510"/>
      <c r="K400" s="275"/>
      <c r="L400" s="510"/>
      <c r="M400" s="275"/>
      <c r="N400" s="510"/>
      <c r="O400" s="275"/>
      <c r="P400" s="510"/>
      <c r="Q400" s="275"/>
      <c r="R400" s="510"/>
      <c r="S400" s="275"/>
      <c r="T400" s="510"/>
      <c r="U400" s="275"/>
      <c r="V400" s="510"/>
      <c r="W400" s="275"/>
      <c r="X400" s="510"/>
      <c r="Y400" s="275"/>
      <c r="Z400" s="510"/>
      <c r="AA400" s="275"/>
      <c r="AB400" s="510"/>
      <c r="AC400" s="275"/>
      <c r="AD400" s="510"/>
      <c r="AE400" s="275"/>
      <c r="AF400" s="510"/>
      <c r="AG400" s="275"/>
      <c r="AH400" s="510"/>
      <c r="AI400" s="275"/>
      <c r="AJ400" s="510"/>
      <c r="AK400" s="275"/>
      <c r="AL400" s="510"/>
      <c r="AM400" s="275"/>
      <c r="AN400" s="510"/>
    </row>
    <row r="401" spans="1:40" s="183" customFormat="1" ht="15" customHeight="1">
      <c r="A401" s="194" t="s">
        <v>531</v>
      </c>
      <c r="B401" s="194" t="s">
        <v>281</v>
      </c>
      <c r="C401" s="195">
        <v>198905</v>
      </c>
      <c r="D401" s="196">
        <v>10</v>
      </c>
      <c r="E401" s="275">
        <v>1302</v>
      </c>
      <c r="F401" s="510">
        <v>1382</v>
      </c>
      <c r="G401" s="275">
        <v>7062</v>
      </c>
      <c r="H401" s="510">
        <v>7504</v>
      </c>
      <c r="I401" s="275"/>
      <c r="J401" s="510"/>
      <c r="K401" s="275"/>
      <c r="L401" s="510"/>
      <c r="M401" s="275"/>
      <c r="N401" s="510"/>
      <c r="O401" s="275"/>
      <c r="P401" s="510"/>
      <c r="Q401" s="275"/>
      <c r="R401" s="510"/>
      <c r="S401" s="275"/>
      <c r="T401" s="510"/>
      <c r="U401" s="275"/>
      <c r="V401" s="510"/>
      <c r="W401" s="275"/>
      <c r="X401" s="510"/>
      <c r="Y401" s="275"/>
      <c r="Z401" s="510"/>
      <c r="AA401" s="275"/>
      <c r="AB401" s="510"/>
      <c r="AC401" s="275"/>
      <c r="AD401" s="510"/>
      <c r="AE401" s="275"/>
      <c r="AF401" s="510"/>
      <c r="AG401" s="275"/>
      <c r="AH401" s="510"/>
      <c r="AI401" s="275"/>
      <c r="AJ401" s="510"/>
      <c r="AK401" s="275"/>
      <c r="AL401" s="510"/>
      <c r="AM401" s="275"/>
      <c r="AN401" s="510"/>
    </row>
    <row r="402" spans="1:40" s="183" customFormat="1" ht="15" customHeight="1">
      <c r="A402" s="194" t="s">
        <v>531</v>
      </c>
      <c r="B402" s="212" t="s">
        <v>282</v>
      </c>
      <c r="C402" s="213">
        <v>198914</v>
      </c>
      <c r="D402" s="206">
        <v>10</v>
      </c>
      <c r="E402" s="275">
        <v>1294</v>
      </c>
      <c r="F402" s="510">
        <v>1382</v>
      </c>
      <c r="G402" s="275">
        <v>7054</v>
      </c>
      <c r="H402" s="510">
        <v>7504</v>
      </c>
      <c r="I402" s="275"/>
      <c r="J402" s="510"/>
      <c r="K402" s="275"/>
      <c r="L402" s="510"/>
      <c r="M402" s="275"/>
      <c r="N402" s="510"/>
      <c r="O402" s="275"/>
      <c r="P402" s="510"/>
      <c r="Q402" s="275"/>
      <c r="R402" s="510"/>
      <c r="S402" s="275"/>
      <c r="T402" s="510"/>
      <c r="U402" s="275"/>
      <c r="V402" s="510"/>
      <c r="W402" s="275"/>
      <c r="X402" s="510"/>
      <c r="Y402" s="275"/>
      <c r="Z402" s="510"/>
      <c r="AA402" s="275"/>
      <c r="AB402" s="510"/>
      <c r="AC402" s="275"/>
      <c r="AD402" s="510"/>
      <c r="AE402" s="275"/>
      <c r="AF402" s="510"/>
      <c r="AG402" s="275"/>
      <c r="AH402" s="510"/>
      <c r="AI402" s="275"/>
      <c r="AJ402" s="510"/>
      <c r="AK402" s="275"/>
      <c r="AL402" s="510"/>
      <c r="AM402" s="275"/>
      <c r="AN402" s="510"/>
    </row>
    <row r="403" spans="1:40" s="183" customFormat="1" ht="15" customHeight="1">
      <c r="A403" s="194" t="s">
        <v>531</v>
      </c>
      <c r="B403" s="194" t="s">
        <v>956</v>
      </c>
      <c r="C403" s="195">
        <v>198923</v>
      </c>
      <c r="D403" s="196">
        <v>10</v>
      </c>
      <c r="E403" s="275">
        <v>1324</v>
      </c>
      <c r="F403" s="510">
        <v>1394</v>
      </c>
      <c r="G403" s="275">
        <v>7084</v>
      </c>
      <c r="H403" s="510">
        <v>7516</v>
      </c>
      <c r="I403" s="275"/>
      <c r="J403" s="510"/>
      <c r="K403" s="275"/>
      <c r="L403" s="510"/>
      <c r="M403" s="275"/>
      <c r="N403" s="510"/>
      <c r="O403" s="275"/>
      <c r="P403" s="510"/>
      <c r="Q403" s="275"/>
      <c r="R403" s="510"/>
      <c r="S403" s="275"/>
      <c r="T403" s="510"/>
      <c r="U403" s="275"/>
      <c r="V403" s="510"/>
      <c r="W403" s="275"/>
      <c r="X403" s="510"/>
      <c r="Y403" s="275"/>
      <c r="Z403" s="510"/>
      <c r="AA403" s="275"/>
      <c r="AB403" s="510"/>
      <c r="AC403" s="275"/>
      <c r="AD403" s="510"/>
      <c r="AE403" s="275"/>
      <c r="AF403" s="510"/>
      <c r="AG403" s="275"/>
      <c r="AH403" s="510"/>
      <c r="AI403" s="275"/>
      <c r="AJ403" s="510"/>
      <c r="AK403" s="275"/>
      <c r="AL403" s="510"/>
      <c r="AM403" s="275"/>
      <c r="AN403" s="510"/>
    </row>
    <row r="404" spans="1:40" s="183" customFormat="1" ht="15" customHeight="1">
      <c r="A404" s="194" t="s">
        <v>531</v>
      </c>
      <c r="B404" s="194" t="s">
        <v>957</v>
      </c>
      <c r="C404" s="195">
        <v>199023</v>
      </c>
      <c r="D404" s="196">
        <v>10</v>
      </c>
      <c r="E404" s="275">
        <v>1320</v>
      </c>
      <c r="F404" s="510">
        <v>1409</v>
      </c>
      <c r="G404" s="275">
        <v>7080</v>
      </c>
      <c r="H404" s="510">
        <v>7531</v>
      </c>
      <c r="I404" s="275"/>
      <c r="J404" s="510"/>
      <c r="K404" s="275"/>
      <c r="L404" s="510"/>
      <c r="M404" s="275"/>
      <c r="N404" s="510"/>
      <c r="O404" s="275"/>
      <c r="P404" s="510"/>
      <c r="Q404" s="275"/>
      <c r="R404" s="510"/>
      <c r="S404" s="275"/>
      <c r="T404" s="510"/>
      <c r="U404" s="275"/>
      <c r="V404" s="510"/>
      <c r="W404" s="275"/>
      <c r="X404" s="510"/>
      <c r="Y404" s="275"/>
      <c r="Z404" s="510"/>
      <c r="AA404" s="275"/>
      <c r="AB404" s="510"/>
      <c r="AC404" s="275"/>
      <c r="AD404" s="510"/>
      <c r="AE404" s="275"/>
      <c r="AF404" s="510"/>
      <c r="AG404" s="275"/>
      <c r="AH404" s="510"/>
      <c r="AI404" s="275"/>
      <c r="AJ404" s="510"/>
      <c r="AK404" s="275"/>
      <c r="AL404" s="510"/>
      <c r="AM404" s="275"/>
      <c r="AN404" s="510"/>
    </row>
    <row r="405" spans="1:40" s="183" customFormat="1" ht="15" customHeight="1">
      <c r="A405" s="194" t="s">
        <v>531</v>
      </c>
      <c r="B405" s="194" t="s">
        <v>958</v>
      </c>
      <c r="C405" s="195">
        <v>199263</v>
      </c>
      <c r="D405" s="196">
        <v>10</v>
      </c>
      <c r="E405" s="275">
        <v>1279</v>
      </c>
      <c r="F405" s="510">
        <v>1369</v>
      </c>
      <c r="G405" s="275">
        <v>7039</v>
      </c>
      <c r="H405" s="510">
        <v>7491</v>
      </c>
      <c r="I405" s="275"/>
      <c r="J405" s="510"/>
      <c r="K405" s="275"/>
      <c r="L405" s="510"/>
      <c r="M405" s="275"/>
      <c r="N405" s="510"/>
      <c r="O405" s="275"/>
      <c r="P405" s="510"/>
      <c r="Q405" s="275"/>
      <c r="R405" s="510"/>
      <c r="S405" s="275"/>
      <c r="T405" s="510"/>
      <c r="U405" s="275"/>
      <c r="V405" s="510"/>
      <c r="W405" s="275"/>
      <c r="X405" s="510"/>
      <c r="Y405" s="275"/>
      <c r="Z405" s="510"/>
      <c r="AA405" s="275"/>
      <c r="AB405" s="510"/>
      <c r="AC405" s="275"/>
      <c r="AD405" s="510"/>
      <c r="AE405" s="275"/>
      <c r="AF405" s="510"/>
      <c r="AG405" s="275"/>
      <c r="AH405" s="510"/>
      <c r="AI405" s="275"/>
      <c r="AJ405" s="510"/>
      <c r="AK405" s="275"/>
      <c r="AL405" s="510"/>
      <c r="AM405" s="275"/>
      <c r="AN405" s="510"/>
    </row>
    <row r="406" spans="1:40" s="183" customFormat="1" ht="15" customHeight="1">
      <c r="A406" s="194" t="s">
        <v>531</v>
      </c>
      <c r="B406" s="194" t="s">
        <v>959</v>
      </c>
      <c r="C406" s="195">
        <v>199467</v>
      </c>
      <c r="D406" s="196">
        <v>10</v>
      </c>
      <c r="E406" s="275">
        <v>1334</v>
      </c>
      <c r="F406" s="510">
        <v>1414</v>
      </c>
      <c r="G406" s="275">
        <v>7094</v>
      </c>
      <c r="H406" s="510">
        <v>7536</v>
      </c>
      <c r="I406" s="275"/>
      <c r="J406" s="510"/>
      <c r="K406" s="275"/>
      <c r="L406" s="510"/>
      <c r="M406" s="275"/>
      <c r="N406" s="510"/>
      <c r="O406" s="275"/>
      <c r="P406" s="510"/>
      <c r="Q406" s="275"/>
      <c r="R406" s="510"/>
      <c r="S406" s="275"/>
      <c r="T406" s="510"/>
      <c r="U406" s="275"/>
      <c r="V406" s="510"/>
      <c r="W406" s="275"/>
      <c r="X406" s="510"/>
      <c r="Y406" s="275"/>
      <c r="Z406" s="510"/>
      <c r="AA406" s="275"/>
      <c r="AB406" s="510"/>
      <c r="AC406" s="275"/>
      <c r="AD406" s="510"/>
      <c r="AE406" s="275"/>
      <c r="AF406" s="510"/>
      <c r="AG406" s="275"/>
      <c r="AH406" s="510"/>
      <c r="AI406" s="275"/>
      <c r="AJ406" s="510"/>
      <c r="AK406" s="275"/>
      <c r="AL406" s="510"/>
      <c r="AM406" s="275"/>
      <c r="AN406" s="510"/>
    </row>
    <row r="407" spans="1:40" s="183" customFormat="1" ht="15" customHeight="1">
      <c r="A407" s="194" t="s">
        <v>531</v>
      </c>
      <c r="B407" s="194" t="s">
        <v>960</v>
      </c>
      <c r="C407" s="195">
        <v>199625</v>
      </c>
      <c r="D407" s="196">
        <v>10</v>
      </c>
      <c r="E407" s="275">
        <v>1333</v>
      </c>
      <c r="F407" s="510">
        <v>1413</v>
      </c>
      <c r="G407" s="275">
        <v>7093</v>
      </c>
      <c r="H407" s="510">
        <v>7535</v>
      </c>
      <c r="I407" s="275"/>
      <c r="J407" s="510"/>
      <c r="K407" s="275"/>
      <c r="L407" s="510"/>
      <c r="M407" s="275"/>
      <c r="N407" s="510"/>
      <c r="O407" s="275"/>
      <c r="P407" s="510"/>
      <c r="Q407" s="275"/>
      <c r="R407" s="510"/>
      <c r="S407" s="275"/>
      <c r="T407" s="510"/>
      <c r="U407" s="275"/>
      <c r="V407" s="510"/>
      <c r="W407" s="275"/>
      <c r="X407" s="510"/>
      <c r="Y407" s="275"/>
      <c r="Z407" s="510"/>
      <c r="AA407" s="275"/>
      <c r="AB407" s="510"/>
      <c r="AC407" s="275"/>
      <c r="AD407" s="510"/>
      <c r="AE407" s="275"/>
      <c r="AF407" s="510"/>
      <c r="AG407" s="275"/>
      <c r="AH407" s="510"/>
      <c r="AI407" s="275"/>
      <c r="AJ407" s="510"/>
      <c r="AK407" s="275"/>
      <c r="AL407" s="510"/>
      <c r="AM407" s="275"/>
      <c r="AN407" s="510"/>
    </row>
    <row r="408" spans="1:40" s="183" customFormat="1" ht="15" customHeight="1">
      <c r="A408" s="194" t="s">
        <v>531</v>
      </c>
      <c r="B408" s="194" t="s">
        <v>961</v>
      </c>
      <c r="C408" s="195">
        <v>199795</v>
      </c>
      <c r="D408" s="196">
        <v>10</v>
      </c>
      <c r="E408" s="275">
        <v>1323</v>
      </c>
      <c r="F408" s="510">
        <v>1403</v>
      </c>
      <c r="G408" s="275">
        <v>7083</v>
      </c>
      <c r="H408" s="510">
        <v>7525</v>
      </c>
      <c r="I408" s="275"/>
      <c r="J408" s="510"/>
      <c r="K408" s="275"/>
      <c r="L408" s="510"/>
      <c r="M408" s="275"/>
      <c r="N408" s="510"/>
      <c r="O408" s="275"/>
      <c r="P408" s="510"/>
      <c r="Q408" s="275"/>
      <c r="R408" s="510"/>
      <c r="S408" s="275"/>
      <c r="T408" s="510"/>
      <c r="U408" s="275"/>
      <c r="V408" s="510"/>
      <c r="W408" s="275"/>
      <c r="X408" s="510"/>
      <c r="Y408" s="275"/>
      <c r="Z408" s="510"/>
      <c r="AA408" s="275"/>
      <c r="AB408" s="510"/>
      <c r="AC408" s="275"/>
      <c r="AD408" s="510"/>
      <c r="AE408" s="275"/>
      <c r="AF408" s="510"/>
      <c r="AG408" s="275"/>
      <c r="AH408" s="510"/>
      <c r="AI408" s="275"/>
      <c r="AJ408" s="510"/>
      <c r="AK408" s="275"/>
      <c r="AL408" s="510"/>
      <c r="AM408" s="275"/>
      <c r="AN408" s="510"/>
    </row>
    <row r="409" spans="1:40" s="183" customFormat="1" ht="15" customHeight="1">
      <c r="A409" s="99" t="s">
        <v>814</v>
      </c>
      <c r="B409" s="99" t="s">
        <v>839</v>
      </c>
      <c r="C409" s="178" t="s">
        <v>840</v>
      </c>
      <c r="D409" s="101">
        <v>1</v>
      </c>
      <c r="E409" s="275">
        <v>5109.6</v>
      </c>
      <c r="F409" s="510">
        <v>5607</v>
      </c>
      <c r="G409" s="275">
        <v>13398.6</v>
      </c>
      <c r="H409" s="510">
        <f>490.7*30</f>
        <v>14721</v>
      </c>
      <c r="I409" s="275">
        <v>4909.44</v>
      </c>
      <c r="J409" s="510">
        <f>224.03*30</f>
        <v>6720.9</v>
      </c>
      <c r="K409" s="275">
        <v>13076.64</v>
      </c>
      <c r="L409" s="510">
        <f>598.23*24</f>
        <v>14357.52</v>
      </c>
      <c r="M409" s="275">
        <v>12964.5</v>
      </c>
      <c r="N409" s="510">
        <v>14125</v>
      </c>
      <c r="O409" s="275">
        <v>22893</v>
      </c>
      <c r="P409" s="510">
        <v>24053</v>
      </c>
      <c r="Q409" s="275">
        <v>17677</v>
      </c>
      <c r="R409" s="510">
        <v>18906</v>
      </c>
      <c r="S409" s="275">
        <v>40207</v>
      </c>
      <c r="T409" s="510">
        <v>41876</v>
      </c>
      <c r="U409" s="275">
        <v>15275</v>
      </c>
      <c r="V409" s="510">
        <v>16738</v>
      </c>
      <c r="W409" s="275">
        <v>35695</v>
      </c>
      <c r="X409" s="510">
        <v>37518</v>
      </c>
      <c r="Y409" s="275">
        <v>11371.4</v>
      </c>
      <c r="Z409" s="510">
        <v>12450</v>
      </c>
      <c r="AA409" s="275">
        <v>24897</v>
      </c>
      <c r="AB409" s="510">
        <v>26635.4</v>
      </c>
      <c r="AC409" s="275"/>
      <c r="AD409" s="510"/>
      <c r="AE409" s="275"/>
      <c r="AF409" s="510"/>
      <c r="AG409" s="275"/>
      <c r="AH409" s="510"/>
      <c r="AI409" s="275"/>
      <c r="AJ409" s="510"/>
      <c r="AK409" s="275"/>
      <c r="AL409" s="510"/>
      <c r="AM409" s="275"/>
      <c r="AN409" s="510"/>
    </row>
    <row r="410" spans="1:40" s="183" customFormat="1" ht="15" customHeight="1">
      <c r="A410" s="99" t="s">
        <v>814</v>
      </c>
      <c r="B410" s="99" t="s">
        <v>838</v>
      </c>
      <c r="C410" s="178">
        <v>207388</v>
      </c>
      <c r="D410" s="101">
        <v>1</v>
      </c>
      <c r="E410" s="275">
        <v>4996.8</v>
      </c>
      <c r="F410" s="510">
        <v>5491.2</v>
      </c>
      <c r="G410" s="275">
        <v>13569.3</v>
      </c>
      <c r="H410" s="510">
        <f>497.19*30</f>
        <v>14915.7</v>
      </c>
      <c r="I410" s="275">
        <v>4543.44</v>
      </c>
      <c r="J410" s="510">
        <f>208.04*24</f>
        <v>4992.96</v>
      </c>
      <c r="K410" s="275">
        <v>13423.44</v>
      </c>
      <c r="L410" s="510">
        <f>614.79*24</f>
        <v>14754.96</v>
      </c>
      <c r="M410" s="275"/>
      <c r="N410" s="510"/>
      <c r="O410" s="275"/>
      <c r="P410" s="510"/>
      <c r="Q410" s="275"/>
      <c r="R410" s="510"/>
      <c r="S410" s="275"/>
      <c r="T410" s="510"/>
      <c r="U410" s="275"/>
      <c r="V410" s="510"/>
      <c r="W410" s="275"/>
      <c r="X410" s="510"/>
      <c r="Y410" s="275"/>
      <c r="Z410" s="510"/>
      <c r="AA410" s="275"/>
      <c r="AB410" s="510"/>
      <c r="AC410" s="275"/>
      <c r="AD410" s="510"/>
      <c r="AE410" s="275"/>
      <c r="AF410" s="510"/>
      <c r="AG410" s="275">
        <v>16488</v>
      </c>
      <c r="AH410" s="510">
        <v>17700</v>
      </c>
      <c r="AI410" s="275">
        <v>31708</v>
      </c>
      <c r="AJ410" s="510">
        <v>34061</v>
      </c>
      <c r="AK410" s="275">
        <v>12072.23</v>
      </c>
      <c r="AL410" s="510">
        <v>13128.88</v>
      </c>
      <c r="AM410" s="275">
        <v>29347.53</v>
      </c>
      <c r="AN410" s="510">
        <v>30404.18</v>
      </c>
    </row>
    <row r="411" spans="1:40" s="183" customFormat="1" ht="15" customHeight="1">
      <c r="A411" s="99" t="s">
        <v>814</v>
      </c>
      <c r="B411" s="187" t="s">
        <v>841</v>
      </c>
      <c r="C411" s="404">
        <v>207263</v>
      </c>
      <c r="D411" s="202">
        <v>3</v>
      </c>
      <c r="E411" s="275">
        <v>3489</v>
      </c>
      <c r="F411" s="510">
        <f>126.6*30</f>
        <v>3798</v>
      </c>
      <c r="G411" s="275">
        <v>8589</v>
      </c>
      <c r="H411" s="510">
        <f>310.6*30</f>
        <v>9318</v>
      </c>
      <c r="I411" s="275">
        <v>3415.2</v>
      </c>
      <c r="J411" s="510">
        <f>154.9*24</f>
        <v>3717.6000000000004</v>
      </c>
      <c r="K411" s="275">
        <v>8239.2</v>
      </c>
      <c r="L411" s="510">
        <f>371.9*30</f>
        <v>11157</v>
      </c>
      <c r="M411" s="275"/>
      <c r="N411" s="510"/>
      <c r="O411" s="275"/>
      <c r="P411" s="510"/>
      <c r="Q411" s="275"/>
      <c r="R411" s="510"/>
      <c r="S411" s="275"/>
      <c r="T411" s="510"/>
      <c r="U411" s="275"/>
      <c r="V411" s="510"/>
      <c r="W411" s="275"/>
      <c r="X411" s="510"/>
      <c r="Y411" s="275"/>
      <c r="Z411" s="510"/>
      <c r="AA411" s="275"/>
      <c r="AB411" s="510"/>
      <c r="AC411" s="275">
        <v>11406.4</v>
      </c>
      <c r="AD411" s="510">
        <v>12342.82</v>
      </c>
      <c r="AE411" s="275">
        <v>23156.4</v>
      </c>
      <c r="AF411" s="510">
        <v>24092.8</v>
      </c>
      <c r="AG411" s="275"/>
      <c r="AH411" s="510"/>
      <c r="AI411" s="275"/>
      <c r="AJ411" s="510"/>
      <c r="AK411" s="275"/>
      <c r="AL411" s="510"/>
      <c r="AM411" s="275"/>
      <c r="AN411" s="510"/>
    </row>
    <row r="412" spans="1:40" s="183" customFormat="1" ht="15" customHeight="1">
      <c r="A412" s="99" t="s">
        <v>814</v>
      </c>
      <c r="B412" s="99" t="s">
        <v>842</v>
      </c>
      <c r="C412" s="405">
        <v>206941</v>
      </c>
      <c r="D412" s="101">
        <v>3</v>
      </c>
      <c r="E412" s="275">
        <v>3538.5</v>
      </c>
      <c r="F412" s="510">
        <f>128.55*30</f>
        <v>3856.5000000000005</v>
      </c>
      <c r="G412" s="275">
        <v>8923.5</v>
      </c>
      <c r="H412" s="510">
        <f>324.3*30</f>
        <v>9729</v>
      </c>
      <c r="I412" s="275">
        <v>3625.2</v>
      </c>
      <c r="J412" s="510">
        <f>164.55*24</f>
        <v>3949.2000000000003</v>
      </c>
      <c r="K412" s="275">
        <v>8997.6</v>
      </c>
      <c r="L412" s="510">
        <f>395.3*24</f>
        <v>9487.2</v>
      </c>
      <c r="M412" s="275"/>
      <c r="N412" s="510"/>
      <c r="O412" s="275"/>
      <c r="P412" s="510"/>
      <c r="Q412" s="275"/>
      <c r="R412" s="510"/>
      <c r="S412" s="275"/>
      <c r="T412" s="510"/>
      <c r="U412" s="275"/>
      <c r="V412" s="510"/>
      <c r="W412" s="275"/>
      <c r="X412" s="510"/>
      <c r="Y412" s="275"/>
      <c r="Z412" s="510"/>
      <c r="AA412" s="275"/>
      <c r="AB412" s="510"/>
      <c r="AC412" s="275"/>
      <c r="AD412" s="510"/>
      <c r="AE412" s="275"/>
      <c r="AF412" s="510"/>
      <c r="AG412" s="275"/>
      <c r="AH412" s="510"/>
      <c r="AI412" s="275"/>
      <c r="AJ412" s="510"/>
      <c r="AK412" s="275"/>
      <c r="AL412" s="510"/>
      <c r="AM412" s="275"/>
      <c r="AN412" s="510"/>
    </row>
    <row r="413" spans="1:40" s="183" customFormat="1" ht="15" customHeight="1">
      <c r="A413" s="99" t="s">
        <v>814</v>
      </c>
      <c r="B413" s="99" t="s">
        <v>848</v>
      </c>
      <c r="C413" s="405">
        <v>207865</v>
      </c>
      <c r="D413" s="101">
        <v>5</v>
      </c>
      <c r="E413" s="275">
        <v>3450</v>
      </c>
      <c r="F413" s="510">
        <f>125*30</f>
        <v>3750</v>
      </c>
      <c r="G413" s="275">
        <v>7950</v>
      </c>
      <c r="H413" s="510">
        <f>285*30</f>
        <v>8550</v>
      </c>
      <c r="I413" s="275">
        <v>3360</v>
      </c>
      <c r="J413" s="510">
        <f>150*24</f>
        <v>3600</v>
      </c>
      <c r="K413" s="275">
        <v>7920</v>
      </c>
      <c r="L413" s="510">
        <f>350*24</f>
        <v>8400</v>
      </c>
      <c r="M413" s="275"/>
      <c r="N413" s="510"/>
      <c r="O413" s="275"/>
      <c r="P413" s="510"/>
      <c r="Q413" s="275"/>
      <c r="R413" s="510"/>
      <c r="S413" s="275"/>
      <c r="T413" s="510"/>
      <c r="U413" s="275"/>
      <c r="V413" s="510"/>
      <c r="W413" s="275"/>
      <c r="X413" s="510"/>
      <c r="Y413" s="275">
        <v>8640</v>
      </c>
      <c r="Z413" s="510">
        <v>8800</v>
      </c>
      <c r="AA413" s="275">
        <v>17280</v>
      </c>
      <c r="AB413" s="510">
        <v>19200</v>
      </c>
      <c r="AC413" s="275"/>
      <c r="AD413" s="510"/>
      <c r="AE413" s="275"/>
      <c r="AF413" s="510"/>
      <c r="AG413" s="275"/>
      <c r="AH413" s="510"/>
      <c r="AI413" s="275"/>
      <c r="AJ413" s="510"/>
      <c r="AK413" s="275"/>
      <c r="AL413" s="510"/>
      <c r="AM413" s="275"/>
      <c r="AN413" s="510"/>
    </row>
    <row r="414" spans="1:40" s="183" customFormat="1" ht="15" customHeight="1">
      <c r="A414" s="99" t="s">
        <v>814</v>
      </c>
      <c r="B414" s="99" t="s">
        <v>843</v>
      </c>
      <c r="C414" s="405">
        <v>206914</v>
      </c>
      <c r="D414" s="101">
        <v>5</v>
      </c>
      <c r="E414" s="275">
        <v>3432</v>
      </c>
      <c r="F414" s="510">
        <f>125.2*30</f>
        <v>3756</v>
      </c>
      <c r="G414" s="275">
        <v>8310</v>
      </c>
      <c r="H414" s="510">
        <f>303.5*30</f>
        <v>9105</v>
      </c>
      <c r="I414" s="275">
        <v>3304.8</v>
      </c>
      <c r="J414" s="510">
        <f>150.7*24</f>
        <v>3616.7999999999997</v>
      </c>
      <c r="K414" s="275">
        <v>7968</v>
      </c>
      <c r="L414" s="510">
        <f>364.5*24</f>
        <v>8748</v>
      </c>
      <c r="M414" s="275"/>
      <c r="N414" s="510"/>
      <c r="O414" s="275"/>
      <c r="P414" s="510"/>
      <c r="Q414" s="275"/>
      <c r="R414" s="510"/>
      <c r="S414" s="275"/>
      <c r="T414" s="510"/>
      <c r="U414" s="275"/>
      <c r="V414" s="510"/>
      <c r="W414" s="275"/>
      <c r="X414" s="510"/>
      <c r="Y414" s="275"/>
      <c r="Z414" s="510"/>
      <c r="AA414" s="275"/>
      <c r="AB414" s="510"/>
      <c r="AC414" s="275"/>
      <c r="AD414" s="510"/>
      <c r="AE414" s="275"/>
      <c r="AF414" s="510"/>
      <c r="AG414" s="275"/>
      <c r="AH414" s="510"/>
      <c r="AI414" s="275"/>
      <c r="AJ414" s="510"/>
      <c r="AK414" s="275"/>
      <c r="AL414" s="510"/>
      <c r="AM414" s="275"/>
      <c r="AN414" s="510"/>
    </row>
    <row r="415" spans="1:40" s="183" customFormat="1" ht="15" customHeight="1">
      <c r="A415" s="99" t="s">
        <v>814</v>
      </c>
      <c r="B415" s="99" t="s">
        <v>844</v>
      </c>
      <c r="C415" s="405">
        <v>207041</v>
      </c>
      <c r="D415" s="101">
        <v>5</v>
      </c>
      <c r="E415" s="275">
        <v>3496.5</v>
      </c>
      <c r="F415" s="510">
        <f>128.04*30</f>
        <v>3841.2</v>
      </c>
      <c r="G415" s="275">
        <v>8476.5</v>
      </c>
      <c r="H415" s="510">
        <f>310.47*30</f>
        <v>9314.1</v>
      </c>
      <c r="I415" s="275">
        <v>3401.52</v>
      </c>
      <c r="J415" s="510">
        <f>155.73*24</f>
        <v>3737.5199999999995</v>
      </c>
      <c r="K415" s="275">
        <v>8171.52</v>
      </c>
      <c r="L415" s="510">
        <f>374.16*24</f>
        <v>8979.84</v>
      </c>
      <c r="M415" s="275"/>
      <c r="N415" s="510"/>
      <c r="O415" s="275"/>
      <c r="P415" s="510"/>
      <c r="Q415" s="275"/>
      <c r="R415" s="510"/>
      <c r="S415" s="275"/>
      <c r="T415" s="510"/>
      <c r="U415" s="275"/>
      <c r="V415" s="510"/>
      <c r="W415" s="275"/>
      <c r="X415" s="510"/>
      <c r="Y415" s="275"/>
      <c r="Z415" s="510"/>
      <c r="AA415" s="275"/>
      <c r="AB415" s="510"/>
      <c r="AC415" s="275"/>
      <c r="AD415" s="510"/>
      <c r="AE415" s="275"/>
      <c r="AF415" s="510"/>
      <c r="AG415" s="275"/>
      <c r="AH415" s="510"/>
      <c r="AI415" s="275"/>
      <c r="AJ415" s="510"/>
      <c r="AK415" s="275"/>
      <c r="AL415" s="510"/>
      <c r="AM415" s="275"/>
      <c r="AN415" s="510"/>
    </row>
    <row r="416" spans="1:40" s="183" customFormat="1" ht="15" customHeight="1">
      <c r="A416" s="99" t="s">
        <v>814</v>
      </c>
      <c r="B416" s="187" t="s">
        <v>845</v>
      </c>
      <c r="C416" s="405">
        <v>207209</v>
      </c>
      <c r="D416" s="101">
        <v>5</v>
      </c>
      <c r="E416" s="275">
        <v>3376.5</v>
      </c>
      <c r="F416" s="510">
        <f>119.85*30</f>
        <v>3595.5</v>
      </c>
      <c r="G416" s="275">
        <v>8026.5</v>
      </c>
      <c r="H416" s="510">
        <f>290.35*30</f>
        <v>8710.5</v>
      </c>
      <c r="I416" s="275">
        <v>3340.32</v>
      </c>
      <c r="J416" s="510">
        <f>148.93*24</f>
        <v>3574.32</v>
      </c>
      <c r="K416" s="275">
        <v>7942.32</v>
      </c>
      <c r="L416" s="510">
        <f>359.83*24</f>
        <v>8635.92</v>
      </c>
      <c r="M416" s="275"/>
      <c r="N416" s="510"/>
      <c r="O416" s="275"/>
      <c r="P416" s="510"/>
      <c r="Q416" s="275"/>
      <c r="R416" s="510"/>
      <c r="S416" s="275"/>
      <c r="T416" s="510"/>
      <c r="U416" s="275"/>
      <c r="V416" s="510"/>
      <c r="W416" s="275"/>
      <c r="X416" s="510"/>
      <c r="Y416" s="275"/>
      <c r="Z416" s="510"/>
      <c r="AA416" s="275"/>
      <c r="AB416" s="510"/>
      <c r="AC416" s="275"/>
      <c r="AD416" s="510"/>
      <c r="AE416" s="275"/>
      <c r="AF416" s="510"/>
      <c r="AG416" s="275"/>
      <c r="AH416" s="510"/>
      <c r="AI416" s="275"/>
      <c r="AJ416" s="510"/>
      <c r="AK416" s="275"/>
      <c r="AL416" s="510"/>
      <c r="AM416" s="275"/>
      <c r="AN416" s="510"/>
    </row>
    <row r="417" spans="1:40" s="183" customFormat="1" ht="15" customHeight="1">
      <c r="A417" s="99" t="s">
        <v>814</v>
      </c>
      <c r="B417" s="99" t="s">
        <v>846</v>
      </c>
      <c r="C417" s="405">
        <v>207306</v>
      </c>
      <c r="D417" s="101">
        <v>5</v>
      </c>
      <c r="E417" s="275">
        <v>3450</v>
      </c>
      <c r="F417" s="510">
        <f>125*30</f>
        <v>3750</v>
      </c>
      <c r="G417" s="275">
        <v>8550</v>
      </c>
      <c r="H417" s="510">
        <f>310*30</f>
        <v>9300</v>
      </c>
      <c r="I417" s="275">
        <v>3360</v>
      </c>
      <c r="J417" s="510">
        <f>152*24</f>
        <v>3648</v>
      </c>
      <c r="K417" s="275">
        <v>8232</v>
      </c>
      <c r="L417" s="510">
        <f>373*24</f>
        <v>8952</v>
      </c>
      <c r="M417" s="275"/>
      <c r="N417" s="510"/>
      <c r="O417" s="275"/>
      <c r="P417" s="510"/>
      <c r="Q417" s="275"/>
      <c r="R417" s="510"/>
      <c r="S417" s="275"/>
      <c r="T417" s="510"/>
      <c r="U417" s="275"/>
      <c r="V417" s="510"/>
      <c r="W417" s="275"/>
      <c r="X417" s="510"/>
      <c r="Y417" s="275"/>
      <c r="Z417" s="510"/>
      <c r="AA417" s="275"/>
      <c r="AB417" s="510"/>
      <c r="AC417" s="275"/>
      <c r="AD417" s="510"/>
      <c r="AE417" s="275"/>
      <c r="AF417" s="510"/>
      <c r="AG417" s="275"/>
      <c r="AH417" s="510"/>
      <c r="AI417" s="275"/>
      <c r="AJ417" s="510"/>
      <c r="AK417" s="275"/>
      <c r="AL417" s="510"/>
      <c r="AM417" s="275"/>
      <c r="AN417" s="510"/>
    </row>
    <row r="418" spans="1:40" s="183" customFormat="1" ht="15" customHeight="1">
      <c r="A418" s="99" t="s">
        <v>814</v>
      </c>
      <c r="B418" s="99" t="s">
        <v>847</v>
      </c>
      <c r="C418" s="405">
        <v>207847</v>
      </c>
      <c r="D418" s="101">
        <v>5</v>
      </c>
      <c r="E418" s="275">
        <v>3573</v>
      </c>
      <c r="F418" s="510">
        <f>130.85*30</f>
        <v>3925.5</v>
      </c>
      <c r="G418" s="275">
        <v>8845.5</v>
      </c>
      <c r="H418" s="510">
        <f>324*30</f>
        <v>9720</v>
      </c>
      <c r="I418" s="275">
        <v>3505.2</v>
      </c>
      <c r="J418" s="510">
        <f>160.5*24</f>
        <v>3852</v>
      </c>
      <c r="K418" s="275">
        <v>8629.2</v>
      </c>
      <c r="L418" s="510">
        <f>395.1*24</f>
        <v>9482.400000000001</v>
      </c>
      <c r="M418" s="275"/>
      <c r="N418" s="510"/>
      <c r="O418" s="275"/>
      <c r="P418" s="510"/>
      <c r="Q418" s="275"/>
      <c r="R418" s="510"/>
      <c r="S418" s="275"/>
      <c r="T418" s="510"/>
      <c r="U418" s="275"/>
      <c r="V418" s="510"/>
      <c r="W418" s="275"/>
      <c r="X418" s="510"/>
      <c r="Y418" s="275"/>
      <c r="Z418" s="510"/>
      <c r="AA418" s="275"/>
      <c r="AB418" s="510"/>
      <c r="AC418" s="275"/>
      <c r="AD418" s="510"/>
      <c r="AE418" s="275"/>
      <c r="AF418" s="510"/>
      <c r="AG418" s="275"/>
      <c r="AH418" s="510"/>
      <c r="AI418" s="275"/>
      <c r="AJ418" s="510"/>
      <c r="AK418" s="275"/>
      <c r="AL418" s="510"/>
      <c r="AM418" s="275"/>
      <c r="AN418" s="510"/>
    </row>
    <row r="419" spans="1:40" s="183" customFormat="1" ht="15" customHeight="1">
      <c r="A419" s="99" t="s">
        <v>814</v>
      </c>
      <c r="B419" s="99" t="s">
        <v>849</v>
      </c>
      <c r="C419" s="405">
        <v>207351</v>
      </c>
      <c r="D419" s="101">
        <v>6</v>
      </c>
      <c r="E419" s="275">
        <v>2961.9</v>
      </c>
      <c r="F419" s="510">
        <f>108.3*30</f>
        <v>3249</v>
      </c>
      <c r="G419" s="275">
        <v>7461.9</v>
      </c>
      <c r="H419" s="510">
        <f>271.3*30</f>
        <v>8139</v>
      </c>
      <c r="I419" s="275"/>
      <c r="J419" s="510"/>
      <c r="K419" s="275"/>
      <c r="L419" s="510"/>
      <c r="M419" s="275"/>
      <c r="N419" s="510"/>
      <c r="O419" s="275"/>
      <c r="P419" s="510"/>
      <c r="Q419" s="275"/>
      <c r="R419" s="510"/>
      <c r="S419" s="275"/>
      <c r="T419" s="510"/>
      <c r="U419" s="275"/>
      <c r="V419" s="510"/>
      <c r="W419" s="275"/>
      <c r="X419" s="510"/>
      <c r="Y419" s="275"/>
      <c r="Z419" s="510"/>
      <c r="AA419" s="275"/>
      <c r="AB419" s="510"/>
      <c r="AC419" s="275"/>
      <c r="AD419" s="510"/>
      <c r="AE419" s="275"/>
      <c r="AF419" s="510"/>
      <c r="AG419" s="275"/>
      <c r="AH419" s="510"/>
      <c r="AI419" s="275"/>
      <c r="AJ419" s="510"/>
      <c r="AK419" s="275"/>
      <c r="AL419" s="510"/>
      <c r="AM419" s="275"/>
      <c r="AN419" s="510"/>
    </row>
    <row r="420" spans="1:40" s="183" customFormat="1" ht="15" customHeight="1">
      <c r="A420" s="99" t="s">
        <v>814</v>
      </c>
      <c r="B420" s="450" t="s">
        <v>851</v>
      </c>
      <c r="C420" s="406">
        <v>207661</v>
      </c>
      <c r="D420" s="209">
        <v>6</v>
      </c>
      <c r="E420" s="275">
        <v>3540</v>
      </c>
      <c r="F420" s="510">
        <f>129.75*30</f>
        <v>3892.5</v>
      </c>
      <c r="G420" s="275">
        <v>8100</v>
      </c>
      <c r="H420" s="510">
        <f>295.22*30</f>
        <v>8856.6</v>
      </c>
      <c r="I420" s="275"/>
      <c r="J420" s="510"/>
      <c r="K420" s="275"/>
      <c r="L420" s="510"/>
      <c r="M420" s="275"/>
      <c r="N420" s="510"/>
      <c r="O420" s="275"/>
      <c r="P420" s="510"/>
      <c r="Q420" s="275"/>
      <c r="R420" s="510"/>
      <c r="S420" s="275"/>
      <c r="T420" s="510"/>
      <c r="U420" s="275"/>
      <c r="V420" s="510"/>
      <c r="W420" s="275"/>
      <c r="X420" s="510"/>
      <c r="Y420" s="275"/>
      <c r="Z420" s="510"/>
      <c r="AA420" s="275"/>
      <c r="AB420" s="510"/>
      <c r="AC420" s="275"/>
      <c r="AD420" s="510"/>
      <c r="AE420" s="275"/>
      <c r="AF420" s="510"/>
      <c r="AG420" s="275"/>
      <c r="AH420" s="510"/>
      <c r="AI420" s="275"/>
      <c r="AJ420" s="510"/>
      <c r="AK420" s="275"/>
      <c r="AL420" s="510"/>
      <c r="AM420" s="275"/>
      <c r="AN420" s="510"/>
    </row>
    <row r="421" spans="1:40" s="183" customFormat="1" ht="15" customHeight="1">
      <c r="A421" s="99" t="s">
        <v>814</v>
      </c>
      <c r="B421" s="99" t="s">
        <v>850</v>
      </c>
      <c r="C421" s="405">
        <v>207722</v>
      </c>
      <c r="D421" s="101">
        <v>6</v>
      </c>
      <c r="E421" s="275">
        <v>3720</v>
      </c>
      <c r="F421" s="510">
        <f>135*30</f>
        <v>4050</v>
      </c>
      <c r="G421" s="275">
        <v>8820</v>
      </c>
      <c r="H421" s="510">
        <f>321*30</f>
        <v>9630</v>
      </c>
      <c r="I421" s="275"/>
      <c r="J421" s="510"/>
      <c r="K421" s="275"/>
      <c r="L421" s="510"/>
      <c r="M421" s="275"/>
      <c r="N421" s="510"/>
      <c r="O421" s="275"/>
      <c r="P421" s="510"/>
      <c r="Q421" s="275"/>
      <c r="R421" s="510"/>
      <c r="S421" s="275"/>
      <c r="T421" s="510"/>
      <c r="U421" s="275"/>
      <c r="V421" s="510"/>
      <c r="W421" s="275"/>
      <c r="X421" s="510"/>
      <c r="Y421" s="275"/>
      <c r="Z421" s="510"/>
      <c r="AA421" s="275"/>
      <c r="AB421" s="510"/>
      <c r="AC421" s="275"/>
      <c r="AD421" s="510"/>
      <c r="AE421" s="275"/>
      <c r="AF421" s="510"/>
      <c r="AG421" s="275"/>
      <c r="AH421" s="510"/>
      <c r="AI421" s="275"/>
      <c r="AJ421" s="510"/>
      <c r="AK421" s="275"/>
      <c r="AL421" s="510"/>
      <c r="AM421" s="275"/>
      <c r="AN421" s="510"/>
    </row>
    <row r="422" spans="1:40" s="183" customFormat="1" ht="15" customHeight="1">
      <c r="A422" s="99" t="s">
        <v>814</v>
      </c>
      <c r="B422" s="99" t="s">
        <v>852</v>
      </c>
      <c r="C422" s="405">
        <v>207449</v>
      </c>
      <c r="D422" s="101">
        <v>8</v>
      </c>
      <c r="E422" s="275">
        <v>2190</v>
      </c>
      <c r="F422" s="510">
        <f>78*30</f>
        <v>2340</v>
      </c>
      <c r="G422" s="275">
        <v>5835</v>
      </c>
      <c r="H422" s="510">
        <f>208*30</f>
        <v>6240</v>
      </c>
      <c r="I422" s="275"/>
      <c r="J422" s="510"/>
      <c r="K422" s="275"/>
      <c r="L422" s="510"/>
      <c r="M422" s="275"/>
      <c r="N422" s="510"/>
      <c r="O422" s="275"/>
      <c r="P422" s="510"/>
      <c r="Q422" s="275"/>
      <c r="R422" s="510"/>
      <c r="S422" s="275"/>
      <c r="T422" s="510"/>
      <c r="U422" s="275"/>
      <c r="V422" s="510"/>
      <c r="W422" s="275"/>
      <c r="X422" s="510"/>
      <c r="Y422" s="275"/>
      <c r="Z422" s="510"/>
      <c r="AA422" s="275"/>
      <c r="AB422" s="510"/>
      <c r="AC422" s="275"/>
      <c r="AD422" s="510"/>
      <c r="AE422" s="275"/>
      <c r="AF422" s="510"/>
      <c r="AG422" s="275"/>
      <c r="AH422" s="510"/>
      <c r="AI422" s="275"/>
      <c r="AJ422" s="510"/>
      <c r="AK422" s="275"/>
      <c r="AL422" s="510"/>
      <c r="AM422" s="275"/>
      <c r="AN422" s="510"/>
    </row>
    <row r="423" spans="1:40" s="183" customFormat="1" ht="15" customHeight="1">
      <c r="A423" s="99" t="s">
        <v>814</v>
      </c>
      <c r="B423" s="99" t="s">
        <v>853</v>
      </c>
      <c r="C423" s="405">
        <v>207935</v>
      </c>
      <c r="D423" s="101">
        <v>8</v>
      </c>
      <c r="E423" s="275">
        <v>2376.9</v>
      </c>
      <c r="F423" s="510">
        <f>85.58*30</f>
        <v>2567.4</v>
      </c>
      <c r="G423" s="275">
        <v>6369.9</v>
      </c>
      <c r="H423" s="510">
        <f>229.33*30</f>
        <v>6879.900000000001</v>
      </c>
      <c r="I423" s="275"/>
      <c r="J423" s="510"/>
      <c r="K423" s="275"/>
      <c r="L423" s="510"/>
      <c r="M423" s="275"/>
      <c r="N423" s="510"/>
      <c r="O423" s="275"/>
      <c r="P423" s="510"/>
      <c r="Q423" s="275"/>
      <c r="R423" s="510"/>
      <c r="S423" s="275"/>
      <c r="T423" s="510"/>
      <c r="U423" s="275"/>
      <c r="V423" s="510"/>
      <c r="W423" s="275"/>
      <c r="X423" s="510"/>
      <c r="Y423" s="275"/>
      <c r="Z423" s="510"/>
      <c r="AA423" s="275"/>
      <c r="AB423" s="510"/>
      <c r="AC423" s="275"/>
      <c r="AD423" s="510"/>
      <c r="AE423" s="275"/>
      <c r="AF423" s="510"/>
      <c r="AG423" s="275"/>
      <c r="AH423" s="510"/>
      <c r="AI423" s="275"/>
      <c r="AJ423" s="510"/>
      <c r="AK423" s="275"/>
      <c r="AL423" s="510"/>
      <c r="AM423" s="275"/>
      <c r="AN423" s="510"/>
    </row>
    <row r="424" spans="1:40" s="183" customFormat="1" ht="15" customHeight="1">
      <c r="A424" s="99" t="s">
        <v>814</v>
      </c>
      <c r="B424" s="99" t="s">
        <v>854</v>
      </c>
      <c r="C424" s="405">
        <v>207281</v>
      </c>
      <c r="D424" s="101">
        <v>9</v>
      </c>
      <c r="E424" s="275">
        <v>1992</v>
      </c>
      <c r="F424" s="510">
        <f>70.05*30</f>
        <v>2101.5</v>
      </c>
      <c r="G424" s="275">
        <v>5014.5</v>
      </c>
      <c r="H424" s="510">
        <f>178.85*30</f>
        <v>5365.5</v>
      </c>
      <c r="I424" s="275"/>
      <c r="J424" s="510"/>
      <c r="K424" s="275"/>
      <c r="L424" s="510"/>
      <c r="M424" s="275"/>
      <c r="N424" s="510"/>
      <c r="O424" s="275"/>
      <c r="P424" s="510"/>
      <c r="Q424" s="275"/>
      <c r="R424" s="510"/>
      <c r="S424" s="275"/>
      <c r="T424" s="510"/>
      <c r="U424" s="275"/>
      <c r="V424" s="510"/>
      <c r="W424" s="275"/>
      <c r="X424" s="510"/>
      <c r="Y424" s="275"/>
      <c r="Z424" s="510"/>
      <c r="AA424" s="275"/>
      <c r="AB424" s="510"/>
      <c r="AC424" s="275"/>
      <c r="AD424" s="510"/>
      <c r="AE424" s="275"/>
      <c r="AF424" s="510"/>
      <c r="AG424" s="275"/>
      <c r="AH424" s="510"/>
      <c r="AI424" s="275"/>
      <c r="AJ424" s="510"/>
      <c r="AK424" s="275"/>
      <c r="AL424" s="510"/>
      <c r="AM424" s="275"/>
      <c r="AN424" s="510"/>
    </row>
    <row r="425" spans="1:40" s="183" customFormat="1" ht="15" customHeight="1">
      <c r="A425" s="99" t="s">
        <v>814</v>
      </c>
      <c r="B425" s="210" t="s">
        <v>855</v>
      </c>
      <c r="C425" s="406">
        <v>207564</v>
      </c>
      <c r="D425" s="209">
        <v>9</v>
      </c>
      <c r="E425" s="275">
        <v>3405</v>
      </c>
      <c r="F425" s="510">
        <f>120.25*30</f>
        <v>3607.5</v>
      </c>
      <c r="G425" s="275">
        <v>7905</v>
      </c>
      <c r="H425" s="510">
        <f>283.25*30</f>
        <v>8497.5</v>
      </c>
      <c r="I425" s="275"/>
      <c r="J425" s="510"/>
      <c r="K425" s="275"/>
      <c r="L425" s="510"/>
      <c r="M425" s="275"/>
      <c r="N425" s="510"/>
      <c r="O425" s="275"/>
      <c r="P425" s="510"/>
      <c r="Q425" s="275"/>
      <c r="R425" s="510"/>
      <c r="S425" s="275"/>
      <c r="T425" s="510"/>
      <c r="U425" s="275"/>
      <c r="V425" s="510"/>
      <c r="W425" s="275"/>
      <c r="X425" s="510"/>
      <c r="Y425" s="275"/>
      <c r="Z425" s="510"/>
      <c r="AA425" s="275"/>
      <c r="AB425" s="510"/>
      <c r="AC425" s="275"/>
      <c r="AD425" s="510"/>
      <c r="AE425" s="275"/>
      <c r="AF425" s="510"/>
      <c r="AG425" s="275"/>
      <c r="AH425" s="510"/>
      <c r="AI425" s="275"/>
      <c r="AJ425" s="510"/>
      <c r="AK425" s="275"/>
      <c r="AL425" s="510"/>
      <c r="AM425" s="275"/>
      <c r="AN425" s="510"/>
    </row>
    <row r="426" spans="1:40" s="183" customFormat="1" ht="15" customHeight="1">
      <c r="A426" s="99" t="s">
        <v>814</v>
      </c>
      <c r="B426" s="99" t="s">
        <v>856</v>
      </c>
      <c r="C426" s="405">
        <v>207397</v>
      </c>
      <c r="D426" s="101">
        <v>9</v>
      </c>
      <c r="E426" s="275">
        <v>2555.1</v>
      </c>
      <c r="F426" s="510">
        <f>100.17*30</f>
        <v>3005.1</v>
      </c>
      <c r="G426" s="275">
        <v>6635.1</v>
      </c>
      <c r="H426" s="510">
        <f>249.17*30</f>
        <v>7475.099999999999</v>
      </c>
      <c r="I426" s="275"/>
      <c r="J426" s="510"/>
      <c r="K426" s="275"/>
      <c r="L426" s="510"/>
      <c r="M426" s="275"/>
      <c r="N426" s="510"/>
      <c r="O426" s="275"/>
      <c r="P426" s="510"/>
      <c r="Q426" s="275"/>
      <c r="R426" s="510"/>
      <c r="S426" s="275"/>
      <c r="T426" s="510"/>
      <c r="U426" s="275"/>
      <c r="V426" s="510"/>
      <c r="W426" s="275"/>
      <c r="X426" s="510"/>
      <c r="Y426" s="275"/>
      <c r="Z426" s="510"/>
      <c r="AA426" s="275"/>
      <c r="AB426" s="510"/>
      <c r="AC426" s="275"/>
      <c r="AD426" s="510"/>
      <c r="AE426" s="275"/>
      <c r="AF426" s="510"/>
      <c r="AG426" s="275"/>
      <c r="AH426" s="510"/>
      <c r="AI426" s="275"/>
      <c r="AJ426" s="510"/>
      <c r="AK426" s="275"/>
      <c r="AL426" s="510"/>
      <c r="AM426" s="275"/>
      <c r="AN426" s="510"/>
    </row>
    <row r="427" spans="1:40" s="183" customFormat="1" ht="15" customHeight="1">
      <c r="A427" s="99" t="s">
        <v>814</v>
      </c>
      <c r="B427" s="99" t="s">
        <v>857</v>
      </c>
      <c r="C427" s="405">
        <v>207670</v>
      </c>
      <c r="D427" s="101">
        <v>9</v>
      </c>
      <c r="E427" s="275">
        <v>2148</v>
      </c>
      <c r="F427" s="510">
        <f>78*30</f>
        <v>2340</v>
      </c>
      <c r="G427" s="275">
        <v>5991.6</v>
      </c>
      <c r="H427" s="510">
        <f>226.6*30</f>
        <v>6798</v>
      </c>
      <c r="I427" s="275"/>
      <c r="J427" s="510"/>
      <c r="K427" s="275"/>
      <c r="L427" s="510"/>
      <c r="M427" s="275"/>
      <c r="N427" s="510"/>
      <c r="O427" s="275"/>
      <c r="P427" s="510"/>
      <c r="Q427" s="275"/>
      <c r="R427" s="510"/>
      <c r="S427" s="275"/>
      <c r="T427" s="510"/>
      <c r="U427" s="275"/>
      <c r="V427" s="510"/>
      <c r="W427" s="275"/>
      <c r="X427" s="510"/>
      <c r="Y427" s="275"/>
      <c r="Z427" s="510"/>
      <c r="AA427" s="275"/>
      <c r="AB427" s="510"/>
      <c r="AC427" s="275"/>
      <c r="AD427" s="510"/>
      <c r="AE427" s="275"/>
      <c r="AF427" s="510"/>
      <c r="AG427" s="275"/>
      <c r="AH427" s="510"/>
      <c r="AI427" s="275"/>
      <c r="AJ427" s="510"/>
      <c r="AK427" s="275"/>
      <c r="AL427" s="510"/>
      <c r="AM427" s="275"/>
      <c r="AN427" s="510"/>
    </row>
    <row r="428" spans="1:40" s="183" customFormat="1" ht="15" customHeight="1">
      <c r="A428" s="99" t="s">
        <v>814</v>
      </c>
      <c r="B428" s="99" t="s">
        <v>858</v>
      </c>
      <c r="C428" s="405">
        <v>206923</v>
      </c>
      <c r="D428" s="101">
        <v>10</v>
      </c>
      <c r="E428" s="275">
        <v>2070</v>
      </c>
      <c r="F428" s="510">
        <f>71.5*30</f>
        <v>2145</v>
      </c>
      <c r="G428" s="275">
        <v>5040</v>
      </c>
      <c r="H428" s="510">
        <f>170.5*30</f>
        <v>5115</v>
      </c>
      <c r="I428" s="275"/>
      <c r="J428" s="510"/>
      <c r="K428" s="275"/>
      <c r="L428" s="510"/>
      <c r="M428" s="275"/>
      <c r="N428" s="510"/>
      <c r="O428" s="275"/>
      <c r="P428" s="510"/>
      <c r="Q428" s="275"/>
      <c r="R428" s="510"/>
      <c r="S428" s="275"/>
      <c r="T428" s="510"/>
      <c r="U428" s="275"/>
      <c r="V428" s="510"/>
      <c r="W428" s="275"/>
      <c r="X428" s="510"/>
      <c r="Y428" s="275"/>
      <c r="Z428" s="510"/>
      <c r="AA428" s="275"/>
      <c r="AB428" s="510"/>
      <c r="AC428" s="275"/>
      <c r="AD428" s="510"/>
      <c r="AE428" s="275"/>
      <c r="AF428" s="510"/>
      <c r="AG428" s="275"/>
      <c r="AH428" s="510"/>
      <c r="AI428" s="275"/>
      <c r="AJ428" s="510"/>
      <c r="AK428" s="275"/>
      <c r="AL428" s="510"/>
      <c r="AM428" s="275"/>
      <c r="AN428" s="510"/>
    </row>
    <row r="429" spans="1:40" s="183" customFormat="1" ht="15" customHeight="1">
      <c r="A429" s="99" t="s">
        <v>814</v>
      </c>
      <c r="B429" s="99" t="s">
        <v>859</v>
      </c>
      <c r="C429" s="405">
        <v>206996</v>
      </c>
      <c r="D429" s="101">
        <v>10</v>
      </c>
      <c r="E429" s="275">
        <v>2189.4</v>
      </c>
      <c r="F429" s="510">
        <f>79.28*30</f>
        <v>2378.4</v>
      </c>
      <c r="G429" s="275">
        <v>5244.9</v>
      </c>
      <c r="H429" s="510">
        <f>189.78*30</f>
        <v>5693.4</v>
      </c>
      <c r="I429" s="275"/>
      <c r="J429" s="510"/>
      <c r="K429" s="275"/>
      <c r="L429" s="510"/>
      <c r="M429" s="275"/>
      <c r="N429" s="510"/>
      <c r="O429" s="275"/>
      <c r="P429" s="510"/>
      <c r="Q429" s="275"/>
      <c r="R429" s="510"/>
      <c r="S429" s="275"/>
      <c r="T429" s="510"/>
      <c r="U429" s="275"/>
      <c r="V429" s="510"/>
      <c r="W429" s="275"/>
      <c r="X429" s="510"/>
      <c r="Y429" s="275"/>
      <c r="Z429" s="510"/>
      <c r="AA429" s="275"/>
      <c r="AB429" s="510"/>
      <c r="AC429" s="275"/>
      <c r="AD429" s="510"/>
      <c r="AE429" s="275"/>
      <c r="AF429" s="510"/>
      <c r="AG429" s="275"/>
      <c r="AH429" s="510"/>
      <c r="AI429" s="275"/>
      <c r="AJ429" s="510"/>
      <c r="AK429" s="275"/>
      <c r="AL429" s="510"/>
      <c r="AM429" s="275"/>
      <c r="AN429" s="510"/>
    </row>
    <row r="430" spans="1:40" s="183" customFormat="1" ht="15" customHeight="1">
      <c r="A430" s="99" t="s">
        <v>814</v>
      </c>
      <c r="B430" s="99" t="s">
        <v>860</v>
      </c>
      <c r="C430" s="405">
        <v>207050</v>
      </c>
      <c r="D430" s="101">
        <v>10</v>
      </c>
      <c r="E430" s="275">
        <v>2392.5</v>
      </c>
      <c r="F430" s="510">
        <f>86*30</f>
        <v>2580</v>
      </c>
      <c r="G430" s="275">
        <v>5837.1</v>
      </c>
      <c r="H430" s="510">
        <f>206.56*30</f>
        <v>6196.8</v>
      </c>
      <c r="I430" s="275"/>
      <c r="J430" s="510"/>
      <c r="K430" s="275"/>
      <c r="L430" s="510"/>
      <c r="M430" s="275"/>
      <c r="N430" s="510"/>
      <c r="O430" s="275"/>
      <c r="P430" s="510"/>
      <c r="Q430" s="275"/>
      <c r="R430" s="510"/>
      <c r="S430" s="275"/>
      <c r="T430" s="510"/>
      <c r="U430" s="275"/>
      <c r="V430" s="510"/>
      <c r="W430" s="275"/>
      <c r="X430" s="510"/>
      <c r="Y430" s="275"/>
      <c r="Z430" s="510"/>
      <c r="AA430" s="275"/>
      <c r="AB430" s="510"/>
      <c r="AC430" s="275"/>
      <c r="AD430" s="510"/>
      <c r="AE430" s="275"/>
      <c r="AF430" s="510"/>
      <c r="AG430" s="275"/>
      <c r="AH430" s="510"/>
      <c r="AI430" s="275"/>
      <c r="AJ430" s="510"/>
      <c r="AK430" s="275"/>
      <c r="AL430" s="510"/>
      <c r="AM430" s="275"/>
      <c r="AN430" s="510"/>
    </row>
    <row r="431" spans="1:40" s="183" customFormat="1" ht="15" customHeight="1">
      <c r="A431" s="99" t="s">
        <v>814</v>
      </c>
      <c r="B431" s="99" t="s">
        <v>861</v>
      </c>
      <c r="C431" s="405">
        <v>207236</v>
      </c>
      <c r="D431" s="101">
        <v>10</v>
      </c>
      <c r="E431" s="275">
        <v>2390.1</v>
      </c>
      <c r="F431" s="510">
        <f>87.17*30</f>
        <v>2615.1</v>
      </c>
      <c r="G431" s="275">
        <v>5540.1</v>
      </c>
      <c r="H431" s="510">
        <f>203.17*30</f>
        <v>6095.099999999999</v>
      </c>
      <c r="I431" s="275"/>
      <c r="J431" s="510"/>
      <c r="K431" s="275"/>
      <c r="L431" s="510"/>
      <c r="M431" s="275"/>
      <c r="N431" s="510"/>
      <c r="O431" s="275"/>
      <c r="P431" s="510"/>
      <c r="Q431" s="275"/>
      <c r="R431" s="510"/>
      <c r="S431" s="275"/>
      <c r="T431" s="510"/>
      <c r="U431" s="275"/>
      <c r="V431" s="510"/>
      <c r="W431" s="275"/>
      <c r="X431" s="510"/>
      <c r="Y431" s="275"/>
      <c r="Z431" s="510"/>
      <c r="AA431" s="275"/>
      <c r="AB431" s="510"/>
      <c r="AC431" s="275"/>
      <c r="AD431" s="510"/>
      <c r="AE431" s="275"/>
      <c r="AF431" s="510"/>
      <c r="AG431" s="275"/>
      <c r="AH431" s="510"/>
      <c r="AI431" s="275"/>
      <c r="AJ431" s="510"/>
      <c r="AK431" s="275"/>
      <c r="AL431" s="510"/>
      <c r="AM431" s="275"/>
      <c r="AN431" s="510"/>
    </row>
    <row r="432" spans="1:40" s="183" customFormat="1" ht="15" customHeight="1">
      <c r="A432" s="99" t="s">
        <v>814</v>
      </c>
      <c r="B432" s="99" t="s">
        <v>862</v>
      </c>
      <c r="C432" s="405">
        <v>207290</v>
      </c>
      <c r="D432" s="101">
        <v>10</v>
      </c>
      <c r="E432" s="275">
        <v>2138.4</v>
      </c>
      <c r="F432" s="510">
        <f>76.18*30</f>
        <v>2285.4</v>
      </c>
      <c r="G432" s="275">
        <v>5417.4</v>
      </c>
      <c r="H432" s="510">
        <f>192.03*30</f>
        <v>5760.9</v>
      </c>
      <c r="I432" s="275"/>
      <c r="J432" s="510"/>
      <c r="K432" s="275"/>
      <c r="L432" s="510"/>
      <c r="M432" s="275"/>
      <c r="N432" s="510"/>
      <c r="O432" s="275"/>
      <c r="P432" s="510"/>
      <c r="Q432" s="275"/>
      <c r="R432" s="510"/>
      <c r="S432" s="275"/>
      <c r="T432" s="510"/>
      <c r="U432" s="275"/>
      <c r="V432" s="510"/>
      <c r="W432" s="275"/>
      <c r="X432" s="510"/>
      <c r="Y432" s="275"/>
      <c r="Z432" s="510"/>
      <c r="AA432" s="275"/>
      <c r="AB432" s="510"/>
      <c r="AC432" s="275"/>
      <c r="AD432" s="510"/>
      <c r="AE432" s="275"/>
      <c r="AF432" s="510"/>
      <c r="AG432" s="275"/>
      <c r="AH432" s="510"/>
      <c r="AI432" s="275"/>
      <c r="AJ432" s="510"/>
      <c r="AK432" s="275"/>
      <c r="AL432" s="510"/>
      <c r="AM432" s="275"/>
      <c r="AN432" s="510"/>
    </row>
    <row r="433" spans="1:40" s="183" customFormat="1" ht="15" customHeight="1">
      <c r="A433" s="99" t="s">
        <v>814</v>
      </c>
      <c r="B433" s="99" t="s">
        <v>863</v>
      </c>
      <c r="C433" s="405">
        <v>207069</v>
      </c>
      <c r="D433" s="101">
        <v>10</v>
      </c>
      <c r="E433" s="275">
        <v>2460</v>
      </c>
      <c r="F433" s="510">
        <f>88*30</f>
        <v>2640</v>
      </c>
      <c r="G433" s="275">
        <v>4710</v>
      </c>
      <c r="H433" s="510">
        <f>163*30</f>
        <v>4890</v>
      </c>
      <c r="I433" s="275"/>
      <c r="J433" s="510"/>
      <c r="K433" s="275"/>
      <c r="L433" s="510"/>
      <c r="M433" s="275"/>
      <c r="N433" s="510"/>
      <c r="O433" s="275"/>
      <c r="P433" s="510"/>
      <c r="Q433" s="275"/>
      <c r="R433" s="510"/>
      <c r="S433" s="275"/>
      <c r="T433" s="510"/>
      <c r="U433" s="275"/>
      <c r="V433" s="510"/>
      <c r="W433" s="275"/>
      <c r="X433" s="510"/>
      <c r="Y433" s="275"/>
      <c r="Z433" s="510"/>
      <c r="AA433" s="275"/>
      <c r="AB433" s="510"/>
      <c r="AC433" s="275"/>
      <c r="AD433" s="510"/>
      <c r="AE433" s="275"/>
      <c r="AF433" s="510"/>
      <c r="AG433" s="275"/>
      <c r="AH433" s="510"/>
      <c r="AI433" s="275"/>
      <c r="AJ433" s="510"/>
      <c r="AK433" s="275"/>
      <c r="AL433" s="510"/>
      <c r="AM433" s="275"/>
      <c r="AN433" s="510"/>
    </row>
    <row r="434" spans="1:40" s="183" customFormat="1" ht="15" customHeight="1">
      <c r="A434" s="99" t="s">
        <v>814</v>
      </c>
      <c r="B434" s="99" t="s">
        <v>864</v>
      </c>
      <c r="C434" s="405">
        <v>207740</v>
      </c>
      <c r="D434" s="101">
        <v>10</v>
      </c>
      <c r="E434" s="275">
        <v>2383.5</v>
      </c>
      <c r="F434" s="510">
        <f>86.45*30</f>
        <v>2593.5</v>
      </c>
      <c r="G434" s="275">
        <v>5602.5</v>
      </c>
      <c r="H434" s="510">
        <f>202.6*30</f>
        <v>6078</v>
      </c>
      <c r="I434" s="275"/>
      <c r="J434" s="510"/>
      <c r="K434" s="275"/>
      <c r="L434" s="510"/>
      <c r="M434" s="275"/>
      <c r="N434" s="510"/>
      <c r="O434" s="275"/>
      <c r="P434" s="510"/>
      <c r="Q434" s="275"/>
      <c r="R434" s="510"/>
      <c r="S434" s="275"/>
      <c r="T434" s="510"/>
      <c r="U434" s="275"/>
      <c r="V434" s="510"/>
      <c r="W434" s="275"/>
      <c r="X434" s="510"/>
      <c r="Y434" s="275"/>
      <c r="Z434" s="510"/>
      <c r="AA434" s="275"/>
      <c r="AB434" s="510"/>
      <c r="AC434" s="275"/>
      <c r="AD434" s="510"/>
      <c r="AE434" s="275"/>
      <c r="AF434" s="510"/>
      <c r="AG434" s="275"/>
      <c r="AH434" s="510"/>
      <c r="AI434" s="275"/>
      <c r="AJ434" s="510"/>
      <c r="AK434" s="275"/>
      <c r="AL434" s="510"/>
      <c r="AM434" s="275"/>
      <c r="AN434" s="510"/>
    </row>
    <row r="435" spans="1:40" s="183" customFormat="1" ht="15" customHeight="1">
      <c r="A435" s="99" t="s">
        <v>814</v>
      </c>
      <c r="B435" s="99" t="s">
        <v>865</v>
      </c>
      <c r="C435" s="178">
        <v>208035</v>
      </c>
      <c r="D435" s="101">
        <v>10</v>
      </c>
      <c r="E435" s="275">
        <v>2260.5</v>
      </c>
      <c r="F435" s="510">
        <f>82.35*30</f>
        <v>2470.5</v>
      </c>
      <c r="G435" s="275">
        <v>5395.5</v>
      </c>
      <c r="H435" s="510">
        <f>192.35*30</f>
        <v>5770.5</v>
      </c>
      <c r="I435" s="275"/>
      <c r="J435" s="510"/>
      <c r="K435" s="275"/>
      <c r="L435" s="510"/>
      <c r="M435" s="275"/>
      <c r="N435" s="510"/>
      <c r="O435" s="275"/>
      <c r="P435" s="510"/>
      <c r="Q435" s="275"/>
      <c r="R435" s="510"/>
      <c r="S435" s="275"/>
      <c r="T435" s="510"/>
      <c r="U435" s="275"/>
      <c r="V435" s="510"/>
      <c r="W435" s="275"/>
      <c r="X435" s="510"/>
      <c r="Y435" s="275"/>
      <c r="Z435" s="510"/>
      <c r="AA435" s="275"/>
      <c r="AB435" s="510"/>
      <c r="AC435" s="275"/>
      <c r="AD435" s="510"/>
      <c r="AE435" s="275"/>
      <c r="AF435" s="510"/>
      <c r="AG435" s="275"/>
      <c r="AH435" s="510"/>
      <c r="AI435" s="275"/>
      <c r="AJ435" s="510"/>
      <c r="AK435" s="275"/>
      <c r="AL435" s="510"/>
      <c r="AM435" s="275"/>
      <c r="AN435" s="510"/>
    </row>
    <row r="436" spans="1:40" s="183" customFormat="1" ht="15" customHeight="1">
      <c r="A436" s="303" t="s">
        <v>814</v>
      </c>
      <c r="B436" s="303" t="s">
        <v>1020</v>
      </c>
      <c r="C436" s="304">
        <v>245999</v>
      </c>
      <c r="D436" s="305">
        <v>12</v>
      </c>
      <c r="E436" s="275">
        <v>1296</v>
      </c>
      <c r="F436" s="510">
        <v>1350</v>
      </c>
      <c r="G436" s="275">
        <v>2592</v>
      </c>
      <c r="H436" s="510">
        <v>2700</v>
      </c>
      <c r="I436" s="275"/>
      <c r="J436" s="510"/>
      <c r="K436" s="275"/>
      <c r="L436" s="510"/>
      <c r="M436" s="275"/>
      <c r="N436" s="510"/>
      <c r="O436" s="275"/>
      <c r="P436" s="510"/>
      <c r="Q436" s="275"/>
      <c r="R436" s="510"/>
      <c r="S436" s="275"/>
      <c r="T436" s="510"/>
      <c r="U436" s="275"/>
      <c r="V436" s="510"/>
      <c r="W436" s="275"/>
      <c r="X436" s="510"/>
      <c r="Y436" s="275"/>
      <c r="Z436" s="510"/>
      <c r="AA436" s="275"/>
      <c r="AB436" s="510"/>
      <c r="AC436" s="275"/>
      <c r="AD436" s="510"/>
      <c r="AE436" s="275"/>
      <c r="AF436" s="510"/>
      <c r="AG436" s="275"/>
      <c r="AH436" s="510"/>
      <c r="AI436" s="275"/>
      <c r="AJ436" s="510"/>
      <c r="AK436" s="275"/>
      <c r="AL436" s="510"/>
      <c r="AM436" s="275"/>
      <c r="AN436" s="510"/>
    </row>
    <row r="437" spans="1:40" s="183" customFormat="1" ht="15" customHeight="1">
      <c r="A437" s="303" t="s">
        <v>814</v>
      </c>
      <c r="B437" s="303" t="s">
        <v>1021</v>
      </c>
      <c r="C437" s="304">
        <v>364548</v>
      </c>
      <c r="D437" s="305">
        <v>12</v>
      </c>
      <c r="E437" s="275">
        <v>1125</v>
      </c>
      <c r="F437" s="510">
        <v>1125</v>
      </c>
      <c r="G437" s="275">
        <v>2125</v>
      </c>
      <c r="H437" s="510">
        <v>2125</v>
      </c>
      <c r="I437" s="275"/>
      <c r="J437" s="510"/>
      <c r="K437" s="275"/>
      <c r="L437" s="510"/>
      <c r="M437" s="275"/>
      <c r="N437" s="510"/>
      <c r="O437" s="275"/>
      <c r="P437" s="510"/>
      <c r="Q437" s="275"/>
      <c r="R437" s="510"/>
      <c r="S437" s="275"/>
      <c r="T437" s="510"/>
      <c r="U437" s="275"/>
      <c r="V437" s="510"/>
      <c r="W437" s="275"/>
      <c r="X437" s="510"/>
      <c r="Y437" s="275"/>
      <c r="Z437" s="510"/>
      <c r="AA437" s="275"/>
      <c r="AB437" s="510"/>
      <c r="AC437" s="275"/>
      <c r="AD437" s="510"/>
      <c r="AE437" s="275"/>
      <c r="AF437" s="510"/>
      <c r="AG437" s="275"/>
      <c r="AH437" s="510"/>
      <c r="AI437" s="275"/>
      <c r="AJ437" s="510"/>
      <c r="AK437" s="275"/>
      <c r="AL437" s="510"/>
      <c r="AM437" s="275"/>
      <c r="AN437" s="510"/>
    </row>
    <row r="438" spans="1:40" s="183" customFormat="1" ht="15" customHeight="1">
      <c r="A438" s="303" t="s">
        <v>814</v>
      </c>
      <c r="B438" s="303" t="s">
        <v>1022</v>
      </c>
      <c r="C438" s="304">
        <v>363165</v>
      </c>
      <c r="D438" s="305">
        <v>12</v>
      </c>
      <c r="E438" s="275">
        <v>1125</v>
      </c>
      <c r="F438" s="510">
        <v>1125</v>
      </c>
      <c r="G438" s="275">
        <v>5400</v>
      </c>
      <c r="H438" s="510">
        <v>5400</v>
      </c>
      <c r="I438" s="275"/>
      <c r="J438" s="510"/>
      <c r="K438" s="275"/>
      <c r="L438" s="510"/>
      <c r="M438" s="275"/>
      <c r="N438" s="510"/>
      <c r="O438" s="275"/>
      <c r="P438" s="510"/>
      <c r="Q438" s="275"/>
      <c r="R438" s="510"/>
      <c r="S438" s="275"/>
      <c r="T438" s="510"/>
      <c r="U438" s="275"/>
      <c r="V438" s="510"/>
      <c r="W438" s="275"/>
      <c r="X438" s="510"/>
      <c r="Y438" s="275"/>
      <c r="Z438" s="510"/>
      <c r="AA438" s="275"/>
      <c r="AB438" s="510"/>
      <c r="AC438" s="275"/>
      <c r="AD438" s="510"/>
      <c r="AE438" s="275"/>
      <c r="AF438" s="510"/>
      <c r="AG438" s="275"/>
      <c r="AH438" s="510"/>
      <c r="AI438" s="275"/>
      <c r="AJ438" s="510"/>
      <c r="AK438" s="275"/>
      <c r="AL438" s="510"/>
      <c r="AM438" s="275"/>
      <c r="AN438" s="510"/>
    </row>
    <row r="439" spans="1:40" s="183" customFormat="1" ht="15" customHeight="1">
      <c r="A439" s="303" t="s">
        <v>814</v>
      </c>
      <c r="B439" s="424" t="s">
        <v>1023</v>
      </c>
      <c r="C439" s="304">
        <v>248606</v>
      </c>
      <c r="D439" s="305">
        <v>12</v>
      </c>
      <c r="E439" s="275"/>
      <c r="F439" s="510">
        <v>909</v>
      </c>
      <c r="G439" s="275"/>
      <c r="H439" s="510">
        <v>1341</v>
      </c>
      <c r="I439" s="275"/>
      <c r="J439" s="510"/>
      <c r="K439" s="275"/>
      <c r="L439" s="510"/>
      <c r="M439" s="275"/>
      <c r="N439" s="510"/>
      <c r="O439" s="275"/>
      <c r="P439" s="510"/>
      <c r="Q439" s="275"/>
      <c r="R439" s="510"/>
      <c r="S439" s="275"/>
      <c r="T439" s="510"/>
      <c r="U439" s="275"/>
      <c r="V439" s="510"/>
      <c r="W439" s="275"/>
      <c r="X439" s="510"/>
      <c r="Y439" s="275"/>
      <c r="Z439" s="510"/>
      <c r="AA439" s="275"/>
      <c r="AB439" s="510"/>
      <c r="AC439" s="275"/>
      <c r="AD439" s="510"/>
      <c r="AE439" s="275"/>
      <c r="AF439" s="510"/>
      <c r="AG439" s="275"/>
      <c r="AH439" s="510"/>
      <c r="AI439" s="275"/>
      <c r="AJ439" s="510"/>
      <c r="AK439" s="275"/>
      <c r="AL439" s="510"/>
      <c r="AM439" s="275"/>
      <c r="AN439" s="510"/>
    </row>
    <row r="440" spans="1:40" s="183" customFormat="1" ht="15" customHeight="1">
      <c r="A440" s="303" t="s">
        <v>814</v>
      </c>
      <c r="B440" s="303" t="s">
        <v>1024</v>
      </c>
      <c r="C440" s="304">
        <v>261393</v>
      </c>
      <c r="D440" s="305">
        <v>12</v>
      </c>
      <c r="E440" s="275">
        <v>2250</v>
      </c>
      <c r="F440" s="510">
        <v>2250</v>
      </c>
      <c r="G440" s="275">
        <v>4500</v>
      </c>
      <c r="H440" s="510">
        <v>4500</v>
      </c>
      <c r="I440" s="275"/>
      <c r="J440" s="510"/>
      <c r="K440" s="275"/>
      <c r="L440" s="510"/>
      <c r="M440" s="275"/>
      <c r="N440" s="510"/>
      <c r="O440" s="275"/>
      <c r="P440" s="510"/>
      <c r="Q440" s="275"/>
      <c r="R440" s="510"/>
      <c r="S440" s="275"/>
      <c r="T440" s="510"/>
      <c r="U440" s="275"/>
      <c r="V440" s="510"/>
      <c r="W440" s="275"/>
      <c r="X440" s="510"/>
      <c r="Y440" s="275"/>
      <c r="Z440" s="510"/>
      <c r="AA440" s="275"/>
      <c r="AB440" s="510"/>
      <c r="AC440" s="275"/>
      <c r="AD440" s="510"/>
      <c r="AE440" s="275"/>
      <c r="AF440" s="510"/>
      <c r="AG440" s="275"/>
      <c r="AH440" s="510"/>
      <c r="AI440" s="275"/>
      <c r="AJ440" s="510"/>
      <c r="AK440" s="275"/>
      <c r="AL440" s="510"/>
      <c r="AM440" s="275"/>
      <c r="AN440" s="510"/>
    </row>
    <row r="441" spans="1:40" s="183" customFormat="1" ht="15" customHeight="1">
      <c r="A441" s="303" t="s">
        <v>814</v>
      </c>
      <c r="B441" s="303" t="s">
        <v>1025</v>
      </c>
      <c r="C441" s="304">
        <v>365213</v>
      </c>
      <c r="D441" s="305">
        <v>13</v>
      </c>
      <c r="E441" s="275">
        <v>1080</v>
      </c>
      <c r="F441" s="510">
        <v>1080</v>
      </c>
      <c r="G441" s="275">
        <v>3699</v>
      </c>
      <c r="H441" s="510">
        <v>4050</v>
      </c>
      <c r="I441" s="275"/>
      <c r="J441" s="510"/>
      <c r="K441" s="275"/>
      <c r="L441" s="510"/>
      <c r="M441" s="275"/>
      <c r="N441" s="510"/>
      <c r="O441" s="275"/>
      <c r="P441" s="510"/>
      <c r="Q441" s="275"/>
      <c r="R441" s="510"/>
      <c r="S441" s="275"/>
      <c r="T441" s="510"/>
      <c r="U441" s="275"/>
      <c r="V441" s="510"/>
      <c r="W441" s="275"/>
      <c r="X441" s="510"/>
      <c r="Y441" s="275"/>
      <c r="Z441" s="510"/>
      <c r="AA441" s="275"/>
      <c r="AB441" s="510"/>
      <c r="AC441" s="275"/>
      <c r="AD441" s="510"/>
      <c r="AE441" s="275"/>
      <c r="AF441" s="510"/>
      <c r="AG441" s="275"/>
      <c r="AH441" s="510"/>
      <c r="AI441" s="275"/>
      <c r="AJ441" s="510"/>
      <c r="AK441" s="275"/>
      <c r="AL441" s="510"/>
      <c r="AM441" s="275"/>
      <c r="AN441" s="510"/>
    </row>
    <row r="442" spans="1:40" s="183" customFormat="1" ht="15" customHeight="1">
      <c r="A442" s="303" t="s">
        <v>814</v>
      </c>
      <c r="B442" s="303" t="s">
        <v>1026</v>
      </c>
      <c r="C442" s="304">
        <v>364946</v>
      </c>
      <c r="D442" s="305">
        <v>13</v>
      </c>
      <c r="E442" s="275">
        <v>1800</v>
      </c>
      <c r="F442" s="510">
        <v>1800</v>
      </c>
      <c r="G442" s="275">
        <v>3600</v>
      </c>
      <c r="H442" s="510">
        <v>3600</v>
      </c>
      <c r="I442" s="275"/>
      <c r="J442" s="510"/>
      <c r="K442" s="275"/>
      <c r="L442" s="510"/>
      <c r="M442" s="275"/>
      <c r="N442" s="510"/>
      <c r="O442" s="275"/>
      <c r="P442" s="510"/>
      <c r="Q442" s="275"/>
      <c r="R442" s="510"/>
      <c r="S442" s="275"/>
      <c r="T442" s="510"/>
      <c r="U442" s="275"/>
      <c r="V442" s="510"/>
      <c r="W442" s="275"/>
      <c r="X442" s="510"/>
      <c r="Y442" s="275"/>
      <c r="Z442" s="510"/>
      <c r="AA442" s="275"/>
      <c r="AB442" s="510"/>
      <c r="AC442" s="275"/>
      <c r="AD442" s="510"/>
      <c r="AE442" s="275"/>
      <c r="AF442" s="510"/>
      <c r="AG442" s="275"/>
      <c r="AH442" s="510"/>
      <c r="AI442" s="275"/>
      <c r="AJ442" s="510"/>
      <c r="AK442" s="275"/>
      <c r="AL442" s="510"/>
      <c r="AM442" s="275"/>
      <c r="AN442" s="510"/>
    </row>
    <row r="443" spans="1:40" s="183" customFormat="1" ht="15" customHeight="1">
      <c r="A443" s="303" t="s">
        <v>814</v>
      </c>
      <c r="B443" s="424" t="s">
        <v>1027</v>
      </c>
      <c r="C443" s="304">
        <v>365374</v>
      </c>
      <c r="D443" s="305">
        <v>13</v>
      </c>
      <c r="E443" s="275">
        <v>1135</v>
      </c>
      <c r="F443" s="510">
        <v>1090</v>
      </c>
      <c r="G443" s="275">
        <v>14518</v>
      </c>
      <c r="H443" s="510"/>
      <c r="I443" s="275"/>
      <c r="J443" s="510"/>
      <c r="K443" s="275"/>
      <c r="L443" s="510"/>
      <c r="M443" s="275"/>
      <c r="N443" s="510"/>
      <c r="O443" s="275"/>
      <c r="P443" s="510"/>
      <c r="Q443" s="275"/>
      <c r="R443" s="510"/>
      <c r="S443" s="275"/>
      <c r="T443" s="510"/>
      <c r="U443" s="275"/>
      <c r="V443" s="510"/>
      <c r="W443" s="275"/>
      <c r="X443" s="510"/>
      <c r="Y443" s="275"/>
      <c r="Z443" s="510"/>
      <c r="AA443" s="275"/>
      <c r="AB443" s="510"/>
      <c r="AC443" s="275"/>
      <c r="AD443" s="510"/>
      <c r="AE443" s="275"/>
      <c r="AF443" s="510"/>
      <c r="AG443" s="275"/>
      <c r="AH443" s="510"/>
      <c r="AI443" s="275"/>
      <c r="AJ443" s="510"/>
      <c r="AK443" s="275"/>
      <c r="AL443" s="510"/>
      <c r="AM443" s="275"/>
      <c r="AN443" s="510"/>
    </row>
    <row r="444" spans="1:40" s="183" customFormat="1" ht="15" customHeight="1">
      <c r="A444" s="303" t="s">
        <v>814</v>
      </c>
      <c r="B444" s="303" t="s">
        <v>1028</v>
      </c>
      <c r="C444" s="304">
        <v>246017</v>
      </c>
      <c r="D444" s="305">
        <v>13</v>
      </c>
      <c r="E444" s="275">
        <v>990</v>
      </c>
      <c r="F444" s="510">
        <v>1090</v>
      </c>
      <c r="G444" s="275">
        <v>1980</v>
      </c>
      <c r="H444" s="510">
        <v>2080</v>
      </c>
      <c r="I444" s="275"/>
      <c r="J444" s="510"/>
      <c r="K444" s="275"/>
      <c r="L444" s="510"/>
      <c r="M444" s="275"/>
      <c r="N444" s="510"/>
      <c r="O444" s="275"/>
      <c r="P444" s="510"/>
      <c r="Q444" s="275"/>
      <c r="R444" s="510"/>
      <c r="S444" s="275"/>
      <c r="T444" s="510"/>
      <c r="U444" s="275"/>
      <c r="V444" s="510"/>
      <c r="W444" s="275"/>
      <c r="X444" s="510"/>
      <c r="Y444" s="275"/>
      <c r="Z444" s="510"/>
      <c r="AA444" s="275"/>
      <c r="AB444" s="510"/>
      <c r="AC444" s="275"/>
      <c r="AD444" s="510"/>
      <c r="AE444" s="275"/>
      <c r="AF444" s="510"/>
      <c r="AG444" s="275"/>
      <c r="AH444" s="510"/>
      <c r="AI444" s="275"/>
      <c r="AJ444" s="510"/>
      <c r="AK444" s="275"/>
      <c r="AL444" s="510"/>
      <c r="AM444" s="275"/>
      <c r="AN444" s="510"/>
    </row>
    <row r="445" spans="1:40" s="183" customFormat="1" ht="15" customHeight="1">
      <c r="A445" s="303" t="s">
        <v>814</v>
      </c>
      <c r="B445" s="303" t="s">
        <v>1029</v>
      </c>
      <c r="C445" s="304">
        <v>375656</v>
      </c>
      <c r="D445" s="305">
        <v>13</v>
      </c>
      <c r="E445" s="275">
        <v>1145</v>
      </c>
      <c r="F445" s="510">
        <v>1800</v>
      </c>
      <c r="G445" s="275">
        <v>2675</v>
      </c>
      <c r="H445" s="510">
        <v>3600</v>
      </c>
      <c r="I445" s="275"/>
      <c r="J445" s="510"/>
      <c r="K445" s="275"/>
      <c r="L445" s="510"/>
      <c r="M445" s="275"/>
      <c r="N445" s="510"/>
      <c r="O445" s="275"/>
      <c r="P445" s="510"/>
      <c r="Q445" s="275"/>
      <c r="R445" s="510"/>
      <c r="S445" s="275"/>
      <c r="T445" s="510"/>
      <c r="U445" s="275"/>
      <c r="V445" s="510"/>
      <c r="W445" s="275"/>
      <c r="X445" s="510"/>
      <c r="Y445" s="275"/>
      <c r="Z445" s="510"/>
      <c r="AA445" s="275"/>
      <c r="AB445" s="510"/>
      <c r="AC445" s="275"/>
      <c r="AD445" s="510"/>
      <c r="AE445" s="275"/>
      <c r="AF445" s="510"/>
      <c r="AG445" s="275"/>
      <c r="AH445" s="510"/>
      <c r="AI445" s="275"/>
      <c r="AJ445" s="510"/>
      <c r="AK445" s="275"/>
      <c r="AL445" s="510"/>
      <c r="AM445" s="275"/>
      <c r="AN445" s="510"/>
    </row>
    <row r="446" spans="1:40" s="183" customFormat="1" ht="15" customHeight="1">
      <c r="A446" s="303" t="s">
        <v>814</v>
      </c>
      <c r="B446" s="303" t="s">
        <v>1030</v>
      </c>
      <c r="C446" s="304">
        <v>418348</v>
      </c>
      <c r="D446" s="305">
        <v>13</v>
      </c>
      <c r="E446" s="275">
        <v>1080</v>
      </c>
      <c r="F446" s="510">
        <v>900</v>
      </c>
      <c r="G446" s="275">
        <v>1080</v>
      </c>
      <c r="H446" s="510">
        <v>900</v>
      </c>
      <c r="I446" s="275"/>
      <c r="J446" s="510"/>
      <c r="K446" s="275"/>
      <c r="L446" s="510"/>
      <c r="M446" s="275"/>
      <c r="N446" s="510"/>
      <c r="O446" s="275"/>
      <c r="P446" s="510"/>
      <c r="Q446" s="275"/>
      <c r="R446" s="510"/>
      <c r="S446" s="275"/>
      <c r="T446" s="510"/>
      <c r="U446" s="275"/>
      <c r="V446" s="510"/>
      <c r="W446" s="275"/>
      <c r="X446" s="510"/>
      <c r="Y446" s="275"/>
      <c r="Z446" s="510"/>
      <c r="AA446" s="275"/>
      <c r="AB446" s="510"/>
      <c r="AC446" s="275"/>
      <c r="AD446" s="510"/>
      <c r="AE446" s="275"/>
      <c r="AF446" s="510"/>
      <c r="AG446" s="275"/>
      <c r="AH446" s="510"/>
      <c r="AI446" s="275"/>
      <c r="AJ446" s="510"/>
      <c r="AK446" s="275"/>
      <c r="AL446" s="510"/>
      <c r="AM446" s="275"/>
      <c r="AN446" s="510"/>
    </row>
    <row r="447" spans="1:40" s="183" customFormat="1" ht="15" customHeight="1">
      <c r="A447" s="303" t="s">
        <v>814</v>
      </c>
      <c r="B447" s="303" t="s">
        <v>1031</v>
      </c>
      <c r="C447" s="304">
        <v>375683</v>
      </c>
      <c r="D447" s="305">
        <v>13</v>
      </c>
      <c r="E447" s="275">
        <v>900</v>
      </c>
      <c r="F447" s="510">
        <v>1125</v>
      </c>
      <c r="G447" s="275">
        <v>1800</v>
      </c>
      <c r="H447" s="510"/>
      <c r="I447" s="275"/>
      <c r="J447" s="510"/>
      <c r="K447" s="275"/>
      <c r="L447" s="510"/>
      <c r="M447" s="275"/>
      <c r="N447" s="510"/>
      <c r="O447" s="275"/>
      <c r="P447" s="510"/>
      <c r="Q447" s="275"/>
      <c r="R447" s="510"/>
      <c r="S447" s="275"/>
      <c r="T447" s="510"/>
      <c r="U447" s="275"/>
      <c r="V447" s="510"/>
      <c r="W447" s="275"/>
      <c r="X447" s="510"/>
      <c r="Y447" s="275"/>
      <c r="Z447" s="510"/>
      <c r="AA447" s="275"/>
      <c r="AB447" s="510"/>
      <c r="AC447" s="275"/>
      <c r="AD447" s="510"/>
      <c r="AE447" s="275"/>
      <c r="AF447" s="510"/>
      <c r="AG447" s="275"/>
      <c r="AH447" s="510"/>
      <c r="AI447" s="275"/>
      <c r="AJ447" s="510"/>
      <c r="AK447" s="275"/>
      <c r="AL447" s="510"/>
      <c r="AM447" s="275"/>
      <c r="AN447" s="510"/>
    </row>
    <row r="448" spans="1:40" s="183" customFormat="1" ht="15" customHeight="1">
      <c r="A448" s="303" t="s">
        <v>814</v>
      </c>
      <c r="B448" s="303" t="s">
        <v>1032</v>
      </c>
      <c r="C448" s="304">
        <v>428019</v>
      </c>
      <c r="D448" s="305">
        <v>13</v>
      </c>
      <c r="E448" s="275">
        <v>1800</v>
      </c>
      <c r="F448" s="510">
        <v>2350</v>
      </c>
      <c r="G448" s="275">
        <v>3600</v>
      </c>
      <c r="H448" s="510">
        <v>4600</v>
      </c>
      <c r="I448" s="275"/>
      <c r="J448" s="510"/>
      <c r="K448" s="275"/>
      <c r="L448" s="510"/>
      <c r="M448" s="275"/>
      <c r="N448" s="510"/>
      <c r="O448" s="275"/>
      <c r="P448" s="510"/>
      <c r="Q448" s="275"/>
      <c r="R448" s="510"/>
      <c r="S448" s="275"/>
      <c r="T448" s="510"/>
      <c r="U448" s="275"/>
      <c r="V448" s="510"/>
      <c r="W448" s="275"/>
      <c r="X448" s="510"/>
      <c r="Y448" s="275"/>
      <c r="Z448" s="510"/>
      <c r="AA448" s="275"/>
      <c r="AB448" s="510"/>
      <c r="AC448" s="275"/>
      <c r="AD448" s="510"/>
      <c r="AE448" s="275"/>
      <c r="AF448" s="510"/>
      <c r="AG448" s="275"/>
      <c r="AH448" s="510"/>
      <c r="AI448" s="275"/>
      <c r="AJ448" s="510"/>
      <c r="AK448" s="275"/>
      <c r="AL448" s="510"/>
      <c r="AM448" s="275"/>
      <c r="AN448" s="510"/>
    </row>
    <row r="449" spans="1:40" s="183" customFormat="1" ht="15" customHeight="1">
      <c r="A449" s="303" t="s">
        <v>814</v>
      </c>
      <c r="B449" s="303" t="s">
        <v>1033</v>
      </c>
      <c r="C449" s="304">
        <v>208053</v>
      </c>
      <c r="D449" s="305">
        <v>13</v>
      </c>
      <c r="E449" s="275">
        <v>1125</v>
      </c>
      <c r="F449" s="510">
        <v>1125</v>
      </c>
      <c r="G449" s="275">
        <v>2250</v>
      </c>
      <c r="H449" s="510">
        <v>2250</v>
      </c>
      <c r="I449" s="275"/>
      <c r="J449" s="510"/>
      <c r="K449" s="275"/>
      <c r="L449" s="510"/>
      <c r="M449" s="275"/>
      <c r="N449" s="510"/>
      <c r="O449" s="275"/>
      <c r="P449" s="510"/>
      <c r="Q449" s="275"/>
      <c r="R449" s="510"/>
      <c r="S449" s="275"/>
      <c r="T449" s="510"/>
      <c r="U449" s="275"/>
      <c r="V449" s="510"/>
      <c r="W449" s="275"/>
      <c r="X449" s="510"/>
      <c r="Y449" s="275"/>
      <c r="Z449" s="510"/>
      <c r="AA449" s="275"/>
      <c r="AB449" s="510"/>
      <c r="AC449" s="275"/>
      <c r="AD449" s="510"/>
      <c r="AE449" s="275"/>
      <c r="AF449" s="510"/>
      <c r="AG449" s="275"/>
      <c r="AH449" s="510"/>
      <c r="AI449" s="275"/>
      <c r="AJ449" s="510"/>
      <c r="AK449" s="275"/>
      <c r="AL449" s="510"/>
      <c r="AM449" s="275"/>
      <c r="AN449" s="510"/>
    </row>
    <row r="450" spans="1:40" s="183" customFormat="1" ht="15" customHeight="1">
      <c r="A450" s="303" t="s">
        <v>814</v>
      </c>
      <c r="B450" s="303" t="s">
        <v>1034</v>
      </c>
      <c r="C450" s="304">
        <v>418296</v>
      </c>
      <c r="D450" s="305">
        <v>13</v>
      </c>
      <c r="E450" s="275">
        <v>900</v>
      </c>
      <c r="F450" s="510">
        <v>900</v>
      </c>
      <c r="G450" s="275">
        <v>1800</v>
      </c>
      <c r="H450" s="510">
        <v>1800</v>
      </c>
      <c r="I450" s="275"/>
      <c r="J450" s="510"/>
      <c r="K450" s="275"/>
      <c r="L450" s="510"/>
      <c r="M450" s="275"/>
      <c r="N450" s="510"/>
      <c r="O450" s="275"/>
      <c r="P450" s="510"/>
      <c r="Q450" s="275"/>
      <c r="R450" s="510"/>
      <c r="S450" s="275"/>
      <c r="T450" s="510"/>
      <c r="U450" s="275"/>
      <c r="V450" s="510"/>
      <c r="W450" s="275"/>
      <c r="X450" s="510"/>
      <c r="Y450" s="275"/>
      <c r="Z450" s="510"/>
      <c r="AA450" s="275"/>
      <c r="AB450" s="510"/>
      <c r="AC450" s="275"/>
      <c r="AD450" s="510"/>
      <c r="AE450" s="275"/>
      <c r="AF450" s="510"/>
      <c r="AG450" s="275"/>
      <c r="AH450" s="510"/>
      <c r="AI450" s="275"/>
      <c r="AJ450" s="510"/>
      <c r="AK450" s="275"/>
      <c r="AL450" s="510"/>
      <c r="AM450" s="275"/>
      <c r="AN450" s="510"/>
    </row>
    <row r="451" spans="1:40" s="183" customFormat="1" ht="15" customHeight="1">
      <c r="A451" s="303" t="s">
        <v>814</v>
      </c>
      <c r="B451" s="303" t="s">
        <v>783</v>
      </c>
      <c r="C451" s="304">
        <v>421540</v>
      </c>
      <c r="D451" s="305">
        <v>13</v>
      </c>
      <c r="E451" s="275">
        <v>900</v>
      </c>
      <c r="F451" s="510">
        <v>900</v>
      </c>
      <c r="G451" s="275">
        <v>1800</v>
      </c>
      <c r="H451" s="510">
        <v>1800</v>
      </c>
      <c r="I451" s="275"/>
      <c r="J451" s="510"/>
      <c r="K451" s="275"/>
      <c r="L451" s="510"/>
      <c r="M451" s="275"/>
      <c r="N451" s="510"/>
      <c r="O451" s="275"/>
      <c r="P451" s="510"/>
      <c r="Q451" s="275"/>
      <c r="R451" s="510"/>
      <c r="S451" s="275"/>
      <c r="T451" s="510"/>
      <c r="U451" s="275"/>
      <c r="V451" s="510"/>
      <c r="W451" s="275"/>
      <c r="X451" s="510"/>
      <c r="Y451" s="275"/>
      <c r="Z451" s="510"/>
      <c r="AA451" s="275"/>
      <c r="AB451" s="510"/>
      <c r="AC451" s="275"/>
      <c r="AD451" s="510"/>
      <c r="AE451" s="275"/>
      <c r="AF451" s="510"/>
      <c r="AG451" s="275"/>
      <c r="AH451" s="510"/>
      <c r="AI451" s="275"/>
      <c r="AJ451" s="510"/>
      <c r="AK451" s="275"/>
      <c r="AL451" s="510"/>
      <c r="AM451" s="275"/>
      <c r="AN451" s="510"/>
    </row>
    <row r="452" spans="1:40" s="183" customFormat="1" ht="15" customHeight="1">
      <c r="A452" s="303" t="s">
        <v>814</v>
      </c>
      <c r="B452" s="303" t="s">
        <v>53</v>
      </c>
      <c r="C452" s="304">
        <v>421559</v>
      </c>
      <c r="D452" s="305">
        <v>13</v>
      </c>
      <c r="E452" s="275">
        <v>900</v>
      </c>
      <c r="F452" s="510">
        <v>900</v>
      </c>
      <c r="G452" s="275">
        <v>1800</v>
      </c>
      <c r="H452" s="510">
        <v>1800</v>
      </c>
      <c r="I452" s="275"/>
      <c r="J452" s="510"/>
      <c r="K452" s="275"/>
      <c r="L452" s="510"/>
      <c r="M452" s="275"/>
      <c r="N452" s="510"/>
      <c r="O452" s="275"/>
      <c r="P452" s="510"/>
      <c r="Q452" s="275"/>
      <c r="R452" s="510"/>
      <c r="S452" s="275"/>
      <c r="T452" s="510"/>
      <c r="U452" s="275"/>
      <c r="V452" s="510"/>
      <c r="W452" s="275"/>
      <c r="X452" s="510"/>
      <c r="Y452" s="275"/>
      <c r="Z452" s="510"/>
      <c r="AA452" s="275"/>
      <c r="AB452" s="510"/>
      <c r="AC452" s="275"/>
      <c r="AD452" s="510"/>
      <c r="AE452" s="275"/>
      <c r="AF452" s="510"/>
      <c r="AG452" s="275"/>
      <c r="AH452" s="510"/>
      <c r="AI452" s="275"/>
      <c r="AJ452" s="510"/>
      <c r="AK452" s="275"/>
      <c r="AL452" s="510"/>
      <c r="AM452" s="275"/>
      <c r="AN452" s="510"/>
    </row>
    <row r="453" spans="1:40" s="183" customFormat="1" ht="15" customHeight="1">
      <c r="A453" s="303" t="s">
        <v>814</v>
      </c>
      <c r="B453" s="303" t="s">
        <v>54</v>
      </c>
      <c r="C453" s="304">
        <v>208026</v>
      </c>
      <c r="D453" s="305">
        <v>13</v>
      </c>
      <c r="E453" s="275">
        <v>900</v>
      </c>
      <c r="F453" s="510">
        <v>900</v>
      </c>
      <c r="G453" s="275">
        <v>1800</v>
      </c>
      <c r="H453" s="510">
        <v>1800</v>
      </c>
      <c r="I453" s="275"/>
      <c r="J453" s="510"/>
      <c r="K453" s="275"/>
      <c r="L453" s="510"/>
      <c r="M453" s="275"/>
      <c r="N453" s="510"/>
      <c r="O453" s="275"/>
      <c r="P453" s="510"/>
      <c r="Q453" s="275"/>
      <c r="R453" s="510"/>
      <c r="S453" s="275"/>
      <c r="T453" s="510"/>
      <c r="U453" s="275"/>
      <c r="V453" s="510"/>
      <c r="W453" s="275"/>
      <c r="X453" s="510"/>
      <c r="Y453" s="275"/>
      <c r="Z453" s="510"/>
      <c r="AA453" s="275"/>
      <c r="AB453" s="510"/>
      <c r="AC453" s="275"/>
      <c r="AD453" s="510"/>
      <c r="AE453" s="275"/>
      <c r="AF453" s="510"/>
      <c r="AG453" s="275"/>
      <c r="AH453" s="510"/>
      <c r="AI453" s="275"/>
      <c r="AJ453" s="510"/>
      <c r="AK453" s="275"/>
      <c r="AL453" s="510"/>
      <c r="AM453" s="275"/>
      <c r="AN453" s="510"/>
    </row>
    <row r="454" spans="1:40" s="183" customFormat="1" ht="15" customHeight="1">
      <c r="A454" s="303" t="s">
        <v>814</v>
      </c>
      <c r="B454" s="303" t="s">
        <v>55</v>
      </c>
      <c r="C454" s="304">
        <v>375692</v>
      </c>
      <c r="D454" s="305">
        <v>13</v>
      </c>
      <c r="E454" s="275">
        <v>1125</v>
      </c>
      <c r="F454" s="510">
        <v>1125</v>
      </c>
      <c r="G454" s="275">
        <v>2250</v>
      </c>
      <c r="H454" s="510">
        <v>2250</v>
      </c>
      <c r="I454" s="275"/>
      <c r="J454" s="510"/>
      <c r="K454" s="275"/>
      <c r="L454" s="510"/>
      <c r="M454" s="275"/>
      <c r="N454" s="510"/>
      <c r="O454" s="275"/>
      <c r="P454" s="510"/>
      <c r="Q454" s="275"/>
      <c r="R454" s="510"/>
      <c r="S454" s="275"/>
      <c r="T454" s="510"/>
      <c r="U454" s="275"/>
      <c r="V454" s="510"/>
      <c r="W454" s="275"/>
      <c r="X454" s="510"/>
      <c r="Y454" s="275"/>
      <c r="Z454" s="510"/>
      <c r="AA454" s="275"/>
      <c r="AB454" s="510"/>
      <c r="AC454" s="275"/>
      <c r="AD454" s="510"/>
      <c r="AE454" s="275"/>
      <c r="AF454" s="510"/>
      <c r="AG454" s="275"/>
      <c r="AH454" s="510"/>
      <c r="AI454" s="275"/>
      <c r="AJ454" s="510"/>
      <c r="AK454" s="275"/>
      <c r="AL454" s="510"/>
      <c r="AM454" s="275"/>
      <c r="AN454" s="510"/>
    </row>
    <row r="455" spans="1:40" s="183" customFormat="1" ht="15" customHeight="1">
      <c r="A455" s="303" t="s">
        <v>814</v>
      </c>
      <c r="B455" s="303" t="s">
        <v>56</v>
      </c>
      <c r="C455" s="304">
        <v>375708</v>
      </c>
      <c r="D455" s="305">
        <v>13</v>
      </c>
      <c r="E455" s="275">
        <v>1125</v>
      </c>
      <c r="F455" s="510">
        <v>1125</v>
      </c>
      <c r="G455" s="275">
        <v>2250</v>
      </c>
      <c r="H455" s="510">
        <v>2250</v>
      </c>
      <c r="I455" s="275"/>
      <c r="J455" s="510"/>
      <c r="K455" s="275"/>
      <c r="L455" s="510"/>
      <c r="M455" s="275"/>
      <c r="N455" s="510"/>
      <c r="O455" s="275"/>
      <c r="P455" s="510"/>
      <c r="Q455" s="275"/>
      <c r="R455" s="510"/>
      <c r="S455" s="275"/>
      <c r="T455" s="510"/>
      <c r="U455" s="275"/>
      <c r="V455" s="510"/>
      <c r="W455" s="275"/>
      <c r="X455" s="510"/>
      <c r="Y455" s="275"/>
      <c r="Z455" s="510"/>
      <c r="AA455" s="275"/>
      <c r="AB455" s="510"/>
      <c r="AC455" s="275"/>
      <c r="AD455" s="510"/>
      <c r="AE455" s="275"/>
      <c r="AF455" s="510"/>
      <c r="AG455" s="275"/>
      <c r="AH455" s="510"/>
      <c r="AI455" s="275"/>
      <c r="AJ455" s="510"/>
      <c r="AK455" s="275"/>
      <c r="AL455" s="510"/>
      <c r="AM455" s="275"/>
      <c r="AN455" s="510"/>
    </row>
    <row r="456" spans="1:40" s="183" customFormat="1" ht="15" customHeight="1">
      <c r="A456" s="303" t="s">
        <v>814</v>
      </c>
      <c r="B456" s="303" t="s">
        <v>57</v>
      </c>
      <c r="C456" s="304">
        <v>375717</v>
      </c>
      <c r="D456" s="305">
        <v>13</v>
      </c>
      <c r="E456" s="275">
        <v>1125</v>
      </c>
      <c r="F456" s="510">
        <v>1125</v>
      </c>
      <c r="G456" s="275">
        <v>2250</v>
      </c>
      <c r="H456" s="510">
        <v>2250</v>
      </c>
      <c r="I456" s="275"/>
      <c r="J456" s="510"/>
      <c r="K456" s="275"/>
      <c r="L456" s="510"/>
      <c r="M456" s="275"/>
      <c r="N456" s="510"/>
      <c r="O456" s="275"/>
      <c r="P456" s="510"/>
      <c r="Q456" s="275"/>
      <c r="R456" s="510"/>
      <c r="S456" s="275"/>
      <c r="T456" s="510"/>
      <c r="U456" s="275"/>
      <c r="V456" s="510"/>
      <c r="W456" s="275"/>
      <c r="X456" s="510"/>
      <c r="Y456" s="275"/>
      <c r="Z456" s="510"/>
      <c r="AA456" s="275"/>
      <c r="AB456" s="510"/>
      <c r="AC456" s="275"/>
      <c r="AD456" s="510"/>
      <c r="AE456" s="275"/>
      <c r="AF456" s="510"/>
      <c r="AG456" s="275"/>
      <c r="AH456" s="510"/>
      <c r="AI456" s="275"/>
      <c r="AJ456" s="510"/>
      <c r="AK456" s="275"/>
      <c r="AL456" s="510"/>
      <c r="AM456" s="275"/>
      <c r="AN456" s="510"/>
    </row>
    <row r="457" spans="1:40" s="183" customFormat="1" ht="15" customHeight="1">
      <c r="A457" s="303" t="s">
        <v>814</v>
      </c>
      <c r="B457" s="303" t="s">
        <v>58</v>
      </c>
      <c r="C457" s="304">
        <v>375735</v>
      </c>
      <c r="D457" s="305">
        <v>13</v>
      </c>
      <c r="E457" s="275">
        <v>1125</v>
      </c>
      <c r="F457" s="510">
        <v>1125</v>
      </c>
      <c r="G457" s="275">
        <v>2250</v>
      </c>
      <c r="H457" s="510">
        <v>2250</v>
      </c>
      <c r="I457" s="275"/>
      <c r="J457" s="510"/>
      <c r="K457" s="275"/>
      <c r="L457" s="510"/>
      <c r="M457" s="275"/>
      <c r="N457" s="510"/>
      <c r="O457" s="275"/>
      <c r="P457" s="510"/>
      <c r="Q457" s="275"/>
      <c r="R457" s="510"/>
      <c r="S457" s="275"/>
      <c r="T457" s="510"/>
      <c r="U457" s="275"/>
      <c r="V457" s="510"/>
      <c r="W457" s="275"/>
      <c r="X457" s="510"/>
      <c r="Y457" s="275"/>
      <c r="Z457" s="510"/>
      <c r="AA457" s="275"/>
      <c r="AB457" s="510"/>
      <c r="AC457" s="275"/>
      <c r="AD457" s="510"/>
      <c r="AE457" s="275"/>
      <c r="AF457" s="510"/>
      <c r="AG457" s="275"/>
      <c r="AH457" s="510"/>
      <c r="AI457" s="275"/>
      <c r="AJ457" s="510"/>
      <c r="AK457" s="275"/>
      <c r="AL457" s="510"/>
      <c r="AM457" s="275"/>
      <c r="AN457" s="510"/>
    </row>
    <row r="458" spans="1:40" s="183" customFormat="1" ht="15" customHeight="1">
      <c r="A458" s="303" t="s">
        <v>814</v>
      </c>
      <c r="B458" s="303" t="s">
        <v>59</v>
      </c>
      <c r="C458" s="304">
        <v>375726</v>
      </c>
      <c r="D458" s="305">
        <v>13</v>
      </c>
      <c r="E458" s="275">
        <v>1125</v>
      </c>
      <c r="F458" s="510">
        <v>1125</v>
      </c>
      <c r="G458" s="275">
        <v>2250</v>
      </c>
      <c r="H458" s="510">
        <v>2250</v>
      </c>
      <c r="I458" s="275"/>
      <c r="J458" s="510"/>
      <c r="K458" s="275"/>
      <c r="L458" s="510"/>
      <c r="M458" s="275"/>
      <c r="N458" s="510"/>
      <c r="O458" s="275"/>
      <c r="P458" s="510"/>
      <c r="Q458" s="275"/>
      <c r="R458" s="510"/>
      <c r="S458" s="275"/>
      <c r="T458" s="510"/>
      <c r="U458" s="275"/>
      <c r="V458" s="510"/>
      <c r="W458" s="275"/>
      <c r="X458" s="510"/>
      <c r="Y458" s="275"/>
      <c r="Z458" s="510"/>
      <c r="AA458" s="275"/>
      <c r="AB458" s="510"/>
      <c r="AC458" s="275"/>
      <c r="AD458" s="510"/>
      <c r="AE458" s="275"/>
      <c r="AF458" s="510"/>
      <c r="AG458" s="275"/>
      <c r="AH458" s="510"/>
      <c r="AI458" s="275"/>
      <c r="AJ458" s="510"/>
      <c r="AK458" s="275"/>
      <c r="AL458" s="510"/>
      <c r="AM458" s="275"/>
      <c r="AN458" s="510"/>
    </row>
    <row r="459" spans="1:40" s="183" customFormat="1" ht="15" customHeight="1">
      <c r="A459" s="303" t="s">
        <v>814</v>
      </c>
      <c r="B459" s="303" t="s">
        <v>60</v>
      </c>
      <c r="C459" s="304">
        <v>375744</v>
      </c>
      <c r="D459" s="305">
        <v>13</v>
      </c>
      <c r="E459" s="275">
        <v>1125</v>
      </c>
      <c r="F459" s="510">
        <v>1125</v>
      </c>
      <c r="G459" s="275">
        <v>2250</v>
      </c>
      <c r="H459" s="510">
        <v>2250</v>
      </c>
      <c r="I459" s="275"/>
      <c r="J459" s="510"/>
      <c r="K459" s="275"/>
      <c r="L459" s="510"/>
      <c r="M459" s="275"/>
      <c r="N459" s="510"/>
      <c r="O459" s="275"/>
      <c r="P459" s="510"/>
      <c r="Q459" s="275"/>
      <c r="R459" s="510"/>
      <c r="S459" s="275"/>
      <c r="T459" s="510"/>
      <c r="U459" s="275"/>
      <c r="V459" s="510"/>
      <c r="W459" s="275"/>
      <c r="X459" s="510"/>
      <c r="Y459" s="275"/>
      <c r="Z459" s="510"/>
      <c r="AA459" s="275"/>
      <c r="AB459" s="510"/>
      <c r="AC459" s="275"/>
      <c r="AD459" s="510"/>
      <c r="AE459" s="275"/>
      <c r="AF459" s="510"/>
      <c r="AG459" s="275"/>
      <c r="AH459" s="510"/>
      <c r="AI459" s="275"/>
      <c r="AJ459" s="510"/>
      <c r="AK459" s="275"/>
      <c r="AL459" s="510"/>
      <c r="AM459" s="275"/>
      <c r="AN459" s="510"/>
    </row>
    <row r="460" spans="1:40" s="183" customFormat="1" ht="15" customHeight="1">
      <c r="A460" s="303" t="s">
        <v>814</v>
      </c>
      <c r="B460" s="303" t="s">
        <v>61</v>
      </c>
      <c r="C460" s="304">
        <v>375753</v>
      </c>
      <c r="D460" s="305">
        <v>13</v>
      </c>
      <c r="E460" s="275">
        <v>1125</v>
      </c>
      <c r="F460" s="510">
        <v>1125</v>
      </c>
      <c r="G460" s="275">
        <v>2250</v>
      </c>
      <c r="H460" s="510">
        <v>2250</v>
      </c>
      <c r="I460" s="275"/>
      <c r="J460" s="510"/>
      <c r="K460" s="275"/>
      <c r="L460" s="510"/>
      <c r="M460" s="275"/>
      <c r="N460" s="510"/>
      <c r="O460" s="275"/>
      <c r="P460" s="510"/>
      <c r="Q460" s="275"/>
      <c r="R460" s="510"/>
      <c r="S460" s="275"/>
      <c r="T460" s="510"/>
      <c r="U460" s="275"/>
      <c r="V460" s="510"/>
      <c r="W460" s="275"/>
      <c r="X460" s="510"/>
      <c r="Y460" s="275"/>
      <c r="Z460" s="510"/>
      <c r="AA460" s="275"/>
      <c r="AB460" s="510"/>
      <c r="AC460" s="275"/>
      <c r="AD460" s="510"/>
      <c r="AE460" s="275"/>
      <c r="AF460" s="510"/>
      <c r="AG460" s="275"/>
      <c r="AH460" s="510"/>
      <c r="AI460" s="275"/>
      <c r="AJ460" s="510"/>
      <c r="AK460" s="275"/>
      <c r="AL460" s="510"/>
      <c r="AM460" s="275"/>
      <c r="AN460" s="510"/>
    </row>
    <row r="461" spans="1:40" s="183" customFormat="1" ht="15" customHeight="1">
      <c r="A461" s="303" t="s">
        <v>814</v>
      </c>
      <c r="B461" s="303" t="s">
        <v>62</v>
      </c>
      <c r="C461" s="304">
        <v>405748</v>
      </c>
      <c r="D461" s="305">
        <v>13</v>
      </c>
      <c r="E461" s="275">
        <v>1125</v>
      </c>
      <c r="F461" s="510">
        <v>1125</v>
      </c>
      <c r="G461" s="275">
        <v>2250</v>
      </c>
      <c r="H461" s="510">
        <v>2250</v>
      </c>
      <c r="I461" s="275"/>
      <c r="J461" s="510"/>
      <c r="K461" s="275"/>
      <c r="L461" s="510"/>
      <c r="M461" s="275"/>
      <c r="N461" s="510"/>
      <c r="O461" s="275"/>
      <c r="P461" s="510"/>
      <c r="Q461" s="275"/>
      <c r="R461" s="510"/>
      <c r="S461" s="275"/>
      <c r="T461" s="510"/>
      <c r="U461" s="275"/>
      <c r="V461" s="510"/>
      <c r="W461" s="275"/>
      <c r="X461" s="510"/>
      <c r="Y461" s="275"/>
      <c r="Z461" s="510"/>
      <c r="AA461" s="275"/>
      <c r="AB461" s="510"/>
      <c r="AC461" s="275"/>
      <c r="AD461" s="510"/>
      <c r="AE461" s="275"/>
      <c r="AF461" s="510"/>
      <c r="AG461" s="275"/>
      <c r="AH461" s="510"/>
      <c r="AI461" s="275"/>
      <c r="AJ461" s="510"/>
      <c r="AK461" s="275"/>
      <c r="AL461" s="510"/>
      <c r="AM461" s="275"/>
      <c r="AN461" s="510"/>
    </row>
    <row r="462" spans="1:40" s="183" customFormat="1" ht="15" customHeight="1">
      <c r="A462" s="303" t="s">
        <v>814</v>
      </c>
      <c r="B462" s="303" t="s">
        <v>63</v>
      </c>
      <c r="C462" s="304">
        <v>375762</v>
      </c>
      <c r="D462" s="305">
        <v>13</v>
      </c>
      <c r="E462" s="275">
        <v>1125</v>
      </c>
      <c r="F462" s="510">
        <v>1125</v>
      </c>
      <c r="G462" s="275">
        <v>2250</v>
      </c>
      <c r="H462" s="510">
        <v>2250</v>
      </c>
      <c r="I462" s="275"/>
      <c r="J462" s="510"/>
      <c r="K462" s="275"/>
      <c r="L462" s="510"/>
      <c r="M462" s="275"/>
      <c r="N462" s="510"/>
      <c r="O462" s="275"/>
      <c r="P462" s="510"/>
      <c r="Q462" s="275"/>
      <c r="R462" s="510"/>
      <c r="S462" s="275"/>
      <c r="T462" s="510"/>
      <c r="U462" s="275"/>
      <c r="V462" s="510"/>
      <c r="W462" s="275"/>
      <c r="X462" s="510"/>
      <c r="Y462" s="275"/>
      <c r="Z462" s="510"/>
      <c r="AA462" s="275"/>
      <c r="AB462" s="510"/>
      <c r="AC462" s="275"/>
      <c r="AD462" s="510"/>
      <c r="AE462" s="275"/>
      <c r="AF462" s="510"/>
      <c r="AG462" s="275"/>
      <c r="AH462" s="510"/>
      <c r="AI462" s="275"/>
      <c r="AJ462" s="510"/>
      <c r="AK462" s="275"/>
      <c r="AL462" s="510"/>
      <c r="AM462" s="275"/>
      <c r="AN462" s="510"/>
    </row>
    <row r="463" spans="1:40" s="183" customFormat="1" ht="15" customHeight="1">
      <c r="A463" s="303" t="s">
        <v>814</v>
      </c>
      <c r="B463" s="303" t="s">
        <v>64</v>
      </c>
      <c r="C463" s="304">
        <v>365480</v>
      </c>
      <c r="D463" s="305">
        <v>13</v>
      </c>
      <c r="E463" s="275">
        <v>1620</v>
      </c>
      <c r="F463" s="510">
        <v>1800</v>
      </c>
      <c r="G463" s="275">
        <v>4491</v>
      </c>
      <c r="H463" s="510">
        <v>4428</v>
      </c>
      <c r="I463" s="275"/>
      <c r="J463" s="510"/>
      <c r="K463" s="275"/>
      <c r="L463" s="510"/>
      <c r="M463" s="275"/>
      <c r="N463" s="510"/>
      <c r="O463" s="275"/>
      <c r="P463" s="510"/>
      <c r="Q463" s="275"/>
      <c r="R463" s="510"/>
      <c r="S463" s="275"/>
      <c r="T463" s="510"/>
      <c r="U463" s="275"/>
      <c r="V463" s="510"/>
      <c r="W463" s="275"/>
      <c r="X463" s="510"/>
      <c r="Y463" s="275"/>
      <c r="Z463" s="510"/>
      <c r="AA463" s="275"/>
      <c r="AB463" s="510"/>
      <c r="AC463" s="275"/>
      <c r="AD463" s="510"/>
      <c r="AE463" s="275"/>
      <c r="AF463" s="510"/>
      <c r="AG463" s="275"/>
      <c r="AH463" s="510"/>
      <c r="AI463" s="275"/>
      <c r="AJ463" s="510"/>
      <c r="AK463" s="275"/>
      <c r="AL463" s="510"/>
      <c r="AM463" s="275"/>
      <c r="AN463" s="510"/>
    </row>
    <row r="464" spans="1:40" s="183" customFormat="1" ht="15" customHeight="1">
      <c r="A464" s="303" t="s">
        <v>814</v>
      </c>
      <c r="B464" s="303" t="s">
        <v>65</v>
      </c>
      <c r="C464" s="304">
        <v>418320</v>
      </c>
      <c r="D464" s="305">
        <v>13</v>
      </c>
      <c r="E464" s="275">
        <v>900</v>
      </c>
      <c r="F464" s="510">
        <v>900</v>
      </c>
      <c r="G464" s="275">
        <v>900</v>
      </c>
      <c r="H464" s="510"/>
      <c r="I464" s="275"/>
      <c r="J464" s="510"/>
      <c r="K464" s="275"/>
      <c r="L464" s="510"/>
      <c r="M464" s="275"/>
      <c r="N464" s="510"/>
      <c r="O464" s="275"/>
      <c r="P464" s="510"/>
      <c r="Q464" s="275"/>
      <c r="R464" s="510"/>
      <c r="S464" s="275"/>
      <c r="T464" s="510"/>
      <c r="U464" s="275"/>
      <c r="V464" s="510"/>
      <c r="W464" s="275"/>
      <c r="X464" s="510"/>
      <c r="Y464" s="275"/>
      <c r="Z464" s="510"/>
      <c r="AA464" s="275"/>
      <c r="AB464" s="510"/>
      <c r="AC464" s="275"/>
      <c r="AD464" s="510"/>
      <c r="AE464" s="275"/>
      <c r="AF464" s="510"/>
      <c r="AG464" s="275"/>
      <c r="AH464" s="510"/>
      <c r="AI464" s="275"/>
      <c r="AJ464" s="510"/>
      <c r="AK464" s="275"/>
      <c r="AL464" s="510"/>
      <c r="AM464" s="275"/>
      <c r="AN464" s="510"/>
    </row>
    <row r="465" spans="1:40" s="183" customFormat="1" ht="15" customHeight="1">
      <c r="A465" s="303" t="s">
        <v>814</v>
      </c>
      <c r="B465" s="303" t="s">
        <v>66</v>
      </c>
      <c r="C465" s="304">
        <v>431017</v>
      </c>
      <c r="D465" s="305">
        <v>13</v>
      </c>
      <c r="E465" s="275">
        <v>1275</v>
      </c>
      <c r="F465" s="510">
        <v>1275</v>
      </c>
      <c r="G465" s="275">
        <v>1275</v>
      </c>
      <c r="H465" s="510">
        <v>1275</v>
      </c>
      <c r="I465" s="275"/>
      <c r="J465" s="510"/>
      <c r="K465" s="275"/>
      <c r="L465" s="510"/>
      <c r="M465" s="275"/>
      <c r="N465" s="510"/>
      <c r="O465" s="275"/>
      <c r="P465" s="510"/>
      <c r="Q465" s="275"/>
      <c r="R465" s="510"/>
      <c r="S465" s="275"/>
      <c r="T465" s="510"/>
      <c r="U465" s="275"/>
      <c r="V465" s="510"/>
      <c r="W465" s="275"/>
      <c r="X465" s="510"/>
      <c r="Y465" s="275"/>
      <c r="Z465" s="510"/>
      <c r="AA465" s="275"/>
      <c r="AB465" s="510"/>
      <c r="AC465" s="275"/>
      <c r="AD465" s="510"/>
      <c r="AE465" s="275"/>
      <c r="AF465" s="510"/>
      <c r="AG465" s="275"/>
      <c r="AH465" s="510"/>
      <c r="AI465" s="275"/>
      <c r="AJ465" s="510"/>
      <c r="AK465" s="275"/>
      <c r="AL465" s="510"/>
      <c r="AM465" s="275"/>
      <c r="AN465" s="510"/>
    </row>
    <row r="466" spans="1:40" s="183" customFormat="1" ht="15" customHeight="1">
      <c r="A466" s="303" t="s">
        <v>814</v>
      </c>
      <c r="B466" s="303" t="s">
        <v>67</v>
      </c>
      <c r="C466" s="304">
        <v>420459</v>
      </c>
      <c r="D466" s="305">
        <v>13</v>
      </c>
      <c r="E466" s="275"/>
      <c r="F466" s="533">
        <v>684</v>
      </c>
      <c r="G466" s="275"/>
      <c r="H466" s="534">
        <v>1368</v>
      </c>
      <c r="I466" s="275"/>
      <c r="J466" s="510"/>
      <c r="K466" s="275"/>
      <c r="L466" s="510"/>
      <c r="M466" s="275"/>
      <c r="N466" s="510"/>
      <c r="O466" s="275"/>
      <c r="P466" s="510"/>
      <c r="Q466" s="275"/>
      <c r="R466" s="510"/>
      <c r="S466" s="275"/>
      <c r="T466" s="510"/>
      <c r="U466" s="275"/>
      <c r="V466" s="510"/>
      <c r="W466" s="275"/>
      <c r="X466" s="510"/>
      <c r="Y466" s="275"/>
      <c r="Z466" s="510"/>
      <c r="AA466" s="275"/>
      <c r="AB466" s="510"/>
      <c r="AC466" s="275"/>
      <c r="AD466" s="510"/>
      <c r="AE466" s="275"/>
      <c r="AF466" s="510"/>
      <c r="AG466" s="275"/>
      <c r="AH466" s="510"/>
      <c r="AI466" s="275"/>
      <c r="AJ466" s="510"/>
      <c r="AK466" s="275"/>
      <c r="AL466" s="510"/>
      <c r="AM466" s="275"/>
      <c r="AN466" s="510"/>
    </row>
    <row r="467" spans="1:40" s="183" customFormat="1" ht="15" customHeight="1">
      <c r="A467" s="303" t="s">
        <v>814</v>
      </c>
      <c r="B467" s="303" t="s">
        <v>68</v>
      </c>
      <c r="C467" s="304">
        <v>432074</v>
      </c>
      <c r="D467" s="305">
        <v>13</v>
      </c>
      <c r="E467" s="275"/>
      <c r="F467" s="533">
        <v>684</v>
      </c>
      <c r="G467" s="275"/>
      <c r="H467" s="534">
        <v>1368</v>
      </c>
      <c r="I467" s="275"/>
      <c r="J467" s="510"/>
      <c r="K467" s="275"/>
      <c r="L467" s="510"/>
      <c r="M467" s="275"/>
      <c r="N467" s="510"/>
      <c r="O467" s="275"/>
      <c r="P467" s="510"/>
      <c r="Q467" s="275"/>
      <c r="R467" s="510"/>
      <c r="S467" s="275"/>
      <c r="T467" s="510"/>
      <c r="U467" s="275"/>
      <c r="V467" s="510"/>
      <c r="W467" s="275"/>
      <c r="X467" s="510"/>
      <c r="Y467" s="275"/>
      <c r="Z467" s="510"/>
      <c r="AA467" s="275"/>
      <c r="AB467" s="510"/>
      <c r="AC467" s="275"/>
      <c r="AD467" s="510"/>
      <c r="AE467" s="275"/>
      <c r="AF467" s="510"/>
      <c r="AG467" s="275"/>
      <c r="AH467" s="510"/>
      <c r="AI467" s="275"/>
      <c r="AJ467" s="510"/>
      <c r="AK467" s="275"/>
      <c r="AL467" s="510"/>
      <c r="AM467" s="275"/>
      <c r="AN467" s="510"/>
    </row>
    <row r="468" spans="1:40" s="183" customFormat="1" ht="15" customHeight="1">
      <c r="A468" s="303" t="s">
        <v>814</v>
      </c>
      <c r="B468" s="303" t="s">
        <v>69</v>
      </c>
      <c r="C468" s="304">
        <v>418339</v>
      </c>
      <c r="D468" s="305">
        <v>13</v>
      </c>
      <c r="E468" s="275"/>
      <c r="F468" s="533">
        <v>684</v>
      </c>
      <c r="G468" s="275"/>
      <c r="H468" s="534">
        <v>1368</v>
      </c>
      <c r="I468" s="275"/>
      <c r="J468" s="510"/>
      <c r="K468" s="275"/>
      <c r="L468" s="510"/>
      <c r="M468" s="275"/>
      <c r="N468" s="510"/>
      <c r="O468" s="275"/>
      <c r="P468" s="510"/>
      <c r="Q468" s="275"/>
      <c r="R468" s="510"/>
      <c r="S468" s="275"/>
      <c r="T468" s="510"/>
      <c r="U468" s="275"/>
      <c r="V468" s="510"/>
      <c r="W468" s="275"/>
      <c r="X468" s="510"/>
      <c r="Y468" s="275"/>
      <c r="Z468" s="510"/>
      <c r="AA468" s="275"/>
      <c r="AB468" s="510"/>
      <c r="AC468" s="275"/>
      <c r="AD468" s="510"/>
      <c r="AE468" s="275"/>
      <c r="AF468" s="510"/>
      <c r="AG468" s="275"/>
      <c r="AH468" s="510"/>
      <c r="AI468" s="275"/>
      <c r="AJ468" s="510"/>
      <c r="AK468" s="275"/>
      <c r="AL468" s="510"/>
      <c r="AM468" s="275"/>
      <c r="AN468" s="510"/>
    </row>
    <row r="469" spans="1:40" s="183" customFormat="1" ht="15" customHeight="1">
      <c r="A469" s="303" t="s">
        <v>814</v>
      </c>
      <c r="B469" s="303" t="s">
        <v>70</v>
      </c>
      <c r="C469" s="304">
        <v>366623</v>
      </c>
      <c r="D469" s="305">
        <v>13</v>
      </c>
      <c r="E469" s="275">
        <v>1375</v>
      </c>
      <c r="F469" s="510">
        <v>1375</v>
      </c>
      <c r="G469" s="275">
        <v>3337</v>
      </c>
      <c r="H469" s="510">
        <v>3337</v>
      </c>
      <c r="I469" s="275"/>
      <c r="J469" s="510"/>
      <c r="K469" s="275"/>
      <c r="L469" s="510"/>
      <c r="M469" s="275"/>
      <c r="N469" s="510"/>
      <c r="O469" s="275"/>
      <c r="P469" s="510"/>
      <c r="Q469" s="275"/>
      <c r="R469" s="510"/>
      <c r="S469" s="275"/>
      <c r="T469" s="510"/>
      <c r="U469" s="275"/>
      <c r="V469" s="510"/>
      <c r="W469" s="275"/>
      <c r="X469" s="510"/>
      <c r="Y469" s="275"/>
      <c r="Z469" s="510"/>
      <c r="AA469" s="275"/>
      <c r="AB469" s="510"/>
      <c r="AC469" s="275"/>
      <c r="AD469" s="510"/>
      <c r="AE469" s="275"/>
      <c r="AF469" s="510"/>
      <c r="AG469" s="275"/>
      <c r="AH469" s="510"/>
      <c r="AI469" s="275"/>
      <c r="AJ469" s="510"/>
      <c r="AK469" s="275"/>
      <c r="AL469" s="510"/>
      <c r="AM469" s="275"/>
      <c r="AN469" s="510"/>
    </row>
    <row r="470" spans="1:40" s="183" customFormat="1" ht="15" customHeight="1">
      <c r="A470" s="303" t="s">
        <v>814</v>
      </c>
      <c r="B470" s="303" t="s">
        <v>71</v>
      </c>
      <c r="C470" s="304">
        <v>407601</v>
      </c>
      <c r="D470" s="305">
        <v>13</v>
      </c>
      <c r="E470" s="275">
        <v>1375</v>
      </c>
      <c r="F470" s="510">
        <v>1375</v>
      </c>
      <c r="G470" s="275">
        <v>3337</v>
      </c>
      <c r="H470" s="510">
        <v>3337</v>
      </c>
      <c r="I470" s="275"/>
      <c r="J470" s="510"/>
      <c r="K470" s="275"/>
      <c r="L470" s="510"/>
      <c r="M470" s="275"/>
      <c r="N470" s="510"/>
      <c r="O470" s="275"/>
      <c r="P470" s="510"/>
      <c r="Q470" s="275"/>
      <c r="R470" s="510"/>
      <c r="S470" s="275"/>
      <c r="T470" s="510"/>
      <c r="U470" s="275"/>
      <c r="V470" s="510"/>
      <c r="W470" s="275"/>
      <c r="X470" s="510"/>
      <c r="Y470" s="275"/>
      <c r="Z470" s="510"/>
      <c r="AA470" s="275"/>
      <c r="AB470" s="510"/>
      <c r="AC470" s="275"/>
      <c r="AD470" s="510"/>
      <c r="AE470" s="275"/>
      <c r="AF470" s="510"/>
      <c r="AG470" s="275"/>
      <c r="AH470" s="510"/>
      <c r="AI470" s="275"/>
      <c r="AJ470" s="510"/>
      <c r="AK470" s="275"/>
      <c r="AL470" s="510"/>
      <c r="AM470" s="275"/>
      <c r="AN470" s="510"/>
    </row>
    <row r="471" spans="1:40" s="183" customFormat="1" ht="15" customHeight="1">
      <c r="A471" s="303" t="s">
        <v>814</v>
      </c>
      <c r="B471" s="303" t="s">
        <v>72</v>
      </c>
      <c r="C471" s="304">
        <v>364627</v>
      </c>
      <c r="D471" s="305">
        <v>13</v>
      </c>
      <c r="E471" s="275">
        <v>1150</v>
      </c>
      <c r="F471" s="510">
        <v>1150</v>
      </c>
      <c r="G471" s="275">
        <v>2275</v>
      </c>
      <c r="H471" s="510">
        <v>2275</v>
      </c>
      <c r="I471" s="275"/>
      <c r="J471" s="510"/>
      <c r="K471" s="275"/>
      <c r="L471" s="510"/>
      <c r="M471" s="275"/>
      <c r="N471" s="510"/>
      <c r="O471" s="275"/>
      <c r="P471" s="510"/>
      <c r="Q471" s="275"/>
      <c r="R471" s="510"/>
      <c r="S471" s="275"/>
      <c r="T471" s="510"/>
      <c r="U471" s="275"/>
      <c r="V471" s="510"/>
      <c r="W471" s="275"/>
      <c r="X471" s="510"/>
      <c r="Y471" s="275"/>
      <c r="Z471" s="510"/>
      <c r="AA471" s="275"/>
      <c r="AB471" s="510"/>
      <c r="AC471" s="275"/>
      <c r="AD471" s="510"/>
      <c r="AE471" s="275"/>
      <c r="AF471" s="510"/>
      <c r="AG471" s="275"/>
      <c r="AH471" s="510"/>
      <c r="AI471" s="275"/>
      <c r="AJ471" s="510"/>
      <c r="AK471" s="275"/>
      <c r="AL471" s="510"/>
      <c r="AM471" s="275"/>
      <c r="AN471" s="510"/>
    </row>
    <row r="472" spans="1:40" s="183" customFormat="1" ht="15" customHeight="1">
      <c r="A472" s="303" t="s">
        <v>814</v>
      </c>
      <c r="B472" s="303" t="s">
        <v>73</v>
      </c>
      <c r="C472" s="304">
        <v>206905</v>
      </c>
      <c r="D472" s="305">
        <v>13</v>
      </c>
      <c r="E472" s="275">
        <v>2285</v>
      </c>
      <c r="F472" s="510">
        <v>2285</v>
      </c>
      <c r="G472" s="275">
        <v>4535</v>
      </c>
      <c r="H472" s="510">
        <v>4535</v>
      </c>
      <c r="I472" s="275"/>
      <c r="J472" s="510"/>
      <c r="K472" s="275"/>
      <c r="L472" s="510"/>
      <c r="M472" s="275"/>
      <c r="N472" s="510"/>
      <c r="O472" s="275"/>
      <c r="P472" s="510"/>
      <c r="Q472" s="275"/>
      <c r="R472" s="510"/>
      <c r="S472" s="275"/>
      <c r="T472" s="510"/>
      <c r="U472" s="275"/>
      <c r="V472" s="510"/>
      <c r="W472" s="275"/>
      <c r="X472" s="510"/>
      <c r="Y472" s="275"/>
      <c r="Z472" s="510"/>
      <c r="AA472" s="275"/>
      <c r="AB472" s="510"/>
      <c r="AC472" s="275"/>
      <c r="AD472" s="510"/>
      <c r="AE472" s="275"/>
      <c r="AF472" s="510"/>
      <c r="AG472" s="275"/>
      <c r="AH472" s="510"/>
      <c r="AI472" s="275"/>
      <c r="AJ472" s="510"/>
      <c r="AK472" s="275"/>
      <c r="AL472" s="510"/>
      <c r="AM472" s="275"/>
      <c r="AN472" s="510"/>
    </row>
    <row r="473" spans="1:40" s="183" customFormat="1" ht="15" customHeight="1">
      <c r="A473" s="303" t="s">
        <v>814</v>
      </c>
      <c r="B473" s="303" t="s">
        <v>74</v>
      </c>
      <c r="C473" s="304">
        <v>250993</v>
      </c>
      <c r="D473" s="305">
        <v>13</v>
      </c>
      <c r="E473" s="275">
        <v>975</v>
      </c>
      <c r="F473" s="510"/>
      <c r="G473" s="275">
        <v>2900</v>
      </c>
      <c r="H473" s="510"/>
      <c r="I473" s="275"/>
      <c r="J473" s="510"/>
      <c r="K473" s="275"/>
      <c r="L473" s="510"/>
      <c r="M473" s="275"/>
      <c r="N473" s="510"/>
      <c r="O473" s="275"/>
      <c r="P473" s="510"/>
      <c r="Q473" s="275"/>
      <c r="R473" s="510"/>
      <c r="S473" s="275"/>
      <c r="T473" s="510"/>
      <c r="U473" s="275"/>
      <c r="V473" s="510"/>
      <c r="W473" s="275"/>
      <c r="X473" s="510"/>
      <c r="Y473" s="275"/>
      <c r="Z473" s="510"/>
      <c r="AA473" s="275"/>
      <c r="AB473" s="510"/>
      <c r="AC473" s="275"/>
      <c r="AD473" s="510"/>
      <c r="AE473" s="275"/>
      <c r="AF473" s="510"/>
      <c r="AG473" s="275"/>
      <c r="AH473" s="510"/>
      <c r="AI473" s="275"/>
      <c r="AJ473" s="510"/>
      <c r="AK473" s="275"/>
      <c r="AL473" s="510"/>
      <c r="AM473" s="275"/>
      <c r="AN473" s="510"/>
    </row>
    <row r="474" spans="1:40" s="183" customFormat="1" ht="15" customHeight="1">
      <c r="A474" s="303" t="s">
        <v>814</v>
      </c>
      <c r="B474" s="303" t="s">
        <v>75</v>
      </c>
      <c r="C474" s="304">
        <v>365198</v>
      </c>
      <c r="D474" s="305">
        <v>13</v>
      </c>
      <c r="E474" s="275">
        <v>1800</v>
      </c>
      <c r="F474" s="510">
        <v>1825</v>
      </c>
      <c r="G474" s="275">
        <v>22500</v>
      </c>
      <c r="H474" s="510">
        <v>22525</v>
      </c>
      <c r="I474" s="275"/>
      <c r="J474" s="510"/>
      <c r="K474" s="275"/>
      <c r="L474" s="510"/>
      <c r="M474" s="275"/>
      <c r="N474" s="510"/>
      <c r="O474" s="275"/>
      <c r="P474" s="510"/>
      <c r="Q474" s="275"/>
      <c r="R474" s="510"/>
      <c r="S474" s="275"/>
      <c r="T474" s="510"/>
      <c r="U474" s="275"/>
      <c r="V474" s="510"/>
      <c r="W474" s="275"/>
      <c r="X474" s="510"/>
      <c r="Y474" s="275"/>
      <c r="Z474" s="510"/>
      <c r="AA474" s="275"/>
      <c r="AB474" s="510"/>
      <c r="AC474" s="275"/>
      <c r="AD474" s="510"/>
      <c r="AE474" s="275"/>
      <c r="AF474" s="510"/>
      <c r="AG474" s="275"/>
      <c r="AH474" s="510"/>
      <c r="AI474" s="275"/>
      <c r="AJ474" s="510"/>
      <c r="AK474" s="275"/>
      <c r="AL474" s="510"/>
      <c r="AM474" s="275"/>
      <c r="AN474" s="510"/>
    </row>
    <row r="475" spans="1:40" s="183" customFormat="1" ht="15" customHeight="1">
      <c r="A475" s="303" t="s">
        <v>814</v>
      </c>
      <c r="B475" s="303" t="s">
        <v>76</v>
      </c>
      <c r="C475" s="304">
        <v>368364</v>
      </c>
      <c r="D475" s="305">
        <v>13</v>
      </c>
      <c r="E475" s="275">
        <v>1470</v>
      </c>
      <c r="F475" s="510">
        <v>1920</v>
      </c>
      <c r="G475" s="275">
        <v>3405</v>
      </c>
      <c r="H475" s="510">
        <v>3810</v>
      </c>
      <c r="I475" s="275"/>
      <c r="J475" s="510"/>
      <c r="K475" s="275"/>
      <c r="L475" s="510"/>
      <c r="M475" s="275"/>
      <c r="N475" s="510"/>
      <c r="O475" s="275"/>
      <c r="P475" s="510"/>
      <c r="Q475" s="275"/>
      <c r="R475" s="510"/>
      <c r="S475" s="275"/>
      <c r="T475" s="510"/>
      <c r="U475" s="275"/>
      <c r="V475" s="510"/>
      <c r="W475" s="275"/>
      <c r="X475" s="510"/>
      <c r="Y475" s="275"/>
      <c r="Z475" s="510"/>
      <c r="AA475" s="275"/>
      <c r="AB475" s="510"/>
      <c r="AC475" s="275"/>
      <c r="AD475" s="510"/>
      <c r="AE475" s="275"/>
      <c r="AF475" s="510"/>
      <c r="AG475" s="275"/>
      <c r="AH475" s="510"/>
      <c r="AI475" s="275"/>
      <c r="AJ475" s="510"/>
      <c r="AK475" s="275"/>
      <c r="AL475" s="510"/>
      <c r="AM475" s="275"/>
      <c r="AN475" s="510"/>
    </row>
    <row r="476" spans="1:40" s="183" customFormat="1" ht="15" customHeight="1">
      <c r="A476" s="303" t="s">
        <v>814</v>
      </c>
      <c r="B476" s="303" t="s">
        <v>77</v>
      </c>
      <c r="C476" s="304">
        <v>418287</v>
      </c>
      <c r="D476" s="305">
        <v>13</v>
      </c>
      <c r="E476" s="275">
        <v>1385</v>
      </c>
      <c r="F476" s="510">
        <v>1385</v>
      </c>
      <c r="G476" s="275">
        <v>1835</v>
      </c>
      <c r="H476" s="510">
        <v>2735</v>
      </c>
      <c r="I476" s="275"/>
      <c r="J476" s="510"/>
      <c r="K476" s="275"/>
      <c r="L476" s="510"/>
      <c r="M476" s="275"/>
      <c r="N476" s="510"/>
      <c r="O476" s="275"/>
      <c r="P476" s="510"/>
      <c r="Q476" s="275"/>
      <c r="R476" s="510"/>
      <c r="S476" s="275"/>
      <c r="T476" s="510"/>
      <c r="U476" s="275"/>
      <c r="V476" s="510"/>
      <c r="W476" s="275"/>
      <c r="X476" s="510"/>
      <c r="Y476" s="275"/>
      <c r="Z476" s="510"/>
      <c r="AA476" s="275"/>
      <c r="AB476" s="510"/>
      <c r="AC476" s="275"/>
      <c r="AD476" s="510"/>
      <c r="AE476" s="275"/>
      <c r="AF476" s="510"/>
      <c r="AG476" s="275"/>
      <c r="AH476" s="510"/>
      <c r="AI476" s="275"/>
      <c r="AJ476" s="510"/>
      <c r="AK476" s="275"/>
      <c r="AL476" s="510"/>
      <c r="AM476" s="275"/>
      <c r="AN476" s="510"/>
    </row>
    <row r="477" spans="1:40" s="183" customFormat="1" ht="15" customHeight="1">
      <c r="A477" s="303" t="s">
        <v>814</v>
      </c>
      <c r="B477" s="306" t="s">
        <v>78</v>
      </c>
      <c r="C477" s="307">
        <v>207607</v>
      </c>
      <c r="D477" s="305">
        <v>13</v>
      </c>
      <c r="E477" s="275">
        <v>2250</v>
      </c>
      <c r="F477" s="510">
        <v>2250</v>
      </c>
      <c r="G477" s="275">
        <v>4500</v>
      </c>
      <c r="H477" s="510">
        <v>4500</v>
      </c>
      <c r="I477" s="275"/>
      <c r="J477" s="510"/>
      <c r="K477" s="275"/>
      <c r="L477" s="510"/>
      <c r="M477" s="275"/>
      <c r="N477" s="510"/>
      <c r="O477" s="275"/>
      <c r="P477" s="510"/>
      <c r="Q477" s="275"/>
      <c r="R477" s="510"/>
      <c r="S477" s="275"/>
      <c r="T477" s="510"/>
      <c r="U477" s="275"/>
      <c r="V477" s="510"/>
      <c r="W477" s="275"/>
      <c r="X477" s="510"/>
      <c r="Y477" s="275"/>
      <c r="Z477" s="510"/>
      <c r="AA477" s="275"/>
      <c r="AB477" s="510"/>
      <c r="AC477" s="275"/>
      <c r="AD477" s="510"/>
      <c r="AE477" s="275"/>
      <c r="AF477" s="510"/>
      <c r="AG477" s="275"/>
      <c r="AH477" s="510"/>
      <c r="AI477" s="275"/>
      <c r="AJ477" s="510"/>
      <c r="AK477" s="275"/>
      <c r="AL477" s="510"/>
      <c r="AM477" s="275"/>
      <c r="AN477" s="510"/>
    </row>
    <row r="478" spans="1:40" s="183" customFormat="1" ht="15" customHeight="1">
      <c r="A478" s="303" t="s">
        <v>814</v>
      </c>
      <c r="B478" s="306" t="s">
        <v>79</v>
      </c>
      <c r="C478" s="307">
        <v>261375</v>
      </c>
      <c r="D478" s="305">
        <v>13</v>
      </c>
      <c r="E478" s="275">
        <v>2250</v>
      </c>
      <c r="F478" s="510">
        <v>2250</v>
      </c>
      <c r="G478" s="275">
        <v>4500</v>
      </c>
      <c r="H478" s="510">
        <v>4500</v>
      </c>
      <c r="I478" s="275"/>
      <c r="J478" s="510"/>
      <c r="K478" s="275"/>
      <c r="L478" s="510"/>
      <c r="M478" s="275"/>
      <c r="N478" s="510"/>
      <c r="O478" s="275"/>
      <c r="P478" s="510"/>
      <c r="Q478" s="275"/>
      <c r="R478" s="510"/>
      <c r="S478" s="275"/>
      <c r="T478" s="510"/>
      <c r="U478" s="275"/>
      <c r="V478" s="510"/>
      <c r="W478" s="275"/>
      <c r="X478" s="510"/>
      <c r="Y478" s="275"/>
      <c r="Z478" s="510"/>
      <c r="AA478" s="275"/>
      <c r="AB478" s="510"/>
      <c r="AC478" s="275"/>
      <c r="AD478" s="510"/>
      <c r="AE478" s="275"/>
      <c r="AF478" s="510"/>
      <c r="AG478" s="275"/>
      <c r="AH478" s="510"/>
      <c r="AI478" s="275"/>
      <c r="AJ478" s="510"/>
      <c r="AK478" s="275"/>
      <c r="AL478" s="510"/>
      <c r="AM478" s="275"/>
      <c r="AN478" s="510"/>
    </row>
    <row r="479" spans="1:40" s="183" customFormat="1" ht="15" customHeight="1">
      <c r="A479" s="303" t="s">
        <v>814</v>
      </c>
      <c r="B479" s="303" t="s">
        <v>80</v>
      </c>
      <c r="C479" s="304">
        <v>261384</v>
      </c>
      <c r="D479" s="305">
        <v>13</v>
      </c>
      <c r="E479" s="275">
        <v>2250</v>
      </c>
      <c r="F479" s="510">
        <v>2250</v>
      </c>
      <c r="G479" s="275">
        <v>4500</v>
      </c>
      <c r="H479" s="510">
        <v>4500</v>
      </c>
      <c r="I479" s="275"/>
      <c r="J479" s="510"/>
      <c r="K479" s="275"/>
      <c r="L479" s="510"/>
      <c r="M479" s="275"/>
      <c r="N479" s="510"/>
      <c r="O479" s="275"/>
      <c r="P479" s="510"/>
      <c r="Q479" s="275"/>
      <c r="R479" s="510"/>
      <c r="S479" s="275"/>
      <c r="T479" s="510"/>
      <c r="U479" s="275"/>
      <c r="V479" s="510"/>
      <c r="W479" s="275"/>
      <c r="X479" s="510"/>
      <c r="Y479" s="275"/>
      <c r="Z479" s="510"/>
      <c r="AA479" s="275"/>
      <c r="AB479" s="510"/>
      <c r="AC479" s="275"/>
      <c r="AD479" s="510"/>
      <c r="AE479" s="275"/>
      <c r="AF479" s="510"/>
      <c r="AG479" s="275"/>
      <c r="AH479" s="510"/>
      <c r="AI479" s="275"/>
      <c r="AJ479" s="510"/>
      <c r="AK479" s="275"/>
      <c r="AL479" s="510"/>
      <c r="AM479" s="275"/>
      <c r="AN479" s="510"/>
    </row>
    <row r="480" spans="1:40" s="183" customFormat="1" ht="15" customHeight="1">
      <c r="A480" s="303" t="s">
        <v>814</v>
      </c>
      <c r="B480" s="303" t="s">
        <v>81</v>
      </c>
      <c r="C480" s="304">
        <v>418357</v>
      </c>
      <c r="D480" s="305">
        <v>13</v>
      </c>
      <c r="E480" s="275"/>
      <c r="F480" s="510">
        <v>2250</v>
      </c>
      <c r="G480" s="275"/>
      <c r="H480" s="510">
        <v>2520</v>
      </c>
      <c r="I480" s="275"/>
      <c r="J480" s="510"/>
      <c r="K480" s="275"/>
      <c r="L480" s="510"/>
      <c r="M480" s="275"/>
      <c r="N480" s="510"/>
      <c r="O480" s="275"/>
      <c r="P480" s="510"/>
      <c r="Q480" s="275"/>
      <c r="R480" s="510"/>
      <c r="S480" s="275"/>
      <c r="T480" s="510"/>
      <c r="U480" s="275"/>
      <c r="V480" s="510"/>
      <c r="W480" s="275"/>
      <c r="X480" s="510"/>
      <c r="Y480" s="275"/>
      <c r="Z480" s="510"/>
      <c r="AA480" s="275"/>
      <c r="AB480" s="510"/>
      <c r="AC480" s="275"/>
      <c r="AD480" s="510"/>
      <c r="AE480" s="275"/>
      <c r="AF480" s="510"/>
      <c r="AG480" s="275"/>
      <c r="AH480" s="510"/>
      <c r="AI480" s="275"/>
      <c r="AJ480" s="510"/>
      <c r="AK480" s="275"/>
      <c r="AL480" s="510"/>
      <c r="AM480" s="275"/>
      <c r="AN480" s="510"/>
    </row>
    <row r="481" spans="1:40" s="183" customFormat="1" ht="15" customHeight="1">
      <c r="A481" s="303" t="s">
        <v>814</v>
      </c>
      <c r="B481" s="303" t="s">
        <v>82</v>
      </c>
      <c r="C481" s="304">
        <v>418302</v>
      </c>
      <c r="D481" s="305">
        <v>13</v>
      </c>
      <c r="E481" s="275">
        <v>1450</v>
      </c>
      <c r="F481" s="510">
        <v>1810</v>
      </c>
      <c r="G481" s="275">
        <v>4372</v>
      </c>
      <c r="H481" s="510">
        <v>4372</v>
      </c>
      <c r="I481" s="275"/>
      <c r="J481" s="510"/>
      <c r="K481" s="275"/>
      <c r="L481" s="510"/>
      <c r="M481" s="275"/>
      <c r="N481" s="510"/>
      <c r="O481" s="275"/>
      <c r="P481" s="510"/>
      <c r="Q481" s="275"/>
      <c r="R481" s="510"/>
      <c r="S481" s="275"/>
      <c r="T481" s="510"/>
      <c r="U481" s="275"/>
      <c r="V481" s="510"/>
      <c r="W481" s="275"/>
      <c r="X481" s="510"/>
      <c r="Y481" s="275"/>
      <c r="Z481" s="510"/>
      <c r="AA481" s="275"/>
      <c r="AB481" s="510"/>
      <c r="AC481" s="275"/>
      <c r="AD481" s="510"/>
      <c r="AE481" s="275"/>
      <c r="AF481" s="510"/>
      <c r="AG481" s="275"/>
      <c r="AH481" s="510"/>
      <c r="AI481" s="275"/>
      <c r="AJ481" s="510"/>
      <c r="AK481" s="275"/>
      <c r="AL481" s="510"/>
      <c r="AM481" s="275"/>
      <c r="AN481" s="510"/>
    </row>
    <row r="482" spans="1:40" s="183" customFormat="1" ht="15" customHeight="1">
      <c r="A482" s="381" t="s">
        <v>537</v>
      </c>
      <c r="B482" s="384" t="s">
        <v>867</v>
      </c>
      <c r="C482" s="387">
        <v>218663</v>
      </c>
      <c r="D482" s="386">
        <v>1</v>
      </c>
      <c r="E482" s="275">
        <v>7808</v>
      </c>
      <c r="F482" s="510">
        <v>8346</v>
      </c>
      <c r="G482" s="275">
        <v>20236</v>
      </c>
      <c r="H482" s="510">
        <v>21632</v>
      </c>
      <c r="I482" s="275">
        <v>8688</v>
      </c>
      <c r="J482" s="510">
        <v>9288</v>
      </c>
      <c r="K482" s="275">
        <v>18316</v>
      </c>
      <c r="L482" s="510">
        <v>19580</v>
      </c>
      <c r="M482" s="275">
        <v>15984</v>
      </c>
      <c r="N482" s="510">
        <v>16764</v>
      </c>
      <c r="O482" s="275">
        <v>31876</v>
      </c>
      <c r="P482" s="510">
        <v>33450</v>
      </c>
      <c r="Q482" s="275">
        <v>20496</v>
      </c>
      <c r="R482" s="510">
        <v>22544</v>
      </c>
      <c r="S482" s="275">
        <v>59268</v>
      </c>
      <c r="T482" s="510">
        <v>59860</v>
      </c>
      <c r="U482" s="275"/>
      <c r="V482" s="510"/>
      <c r="W482" s="275"/>
      <c r="X482" s="510"/>
      <c r="Y482" s="275">
        <v>15500</v>
      </c>
      <c r="Z482" s="510">
        <v>16340</v>
      </c>
      <c r="AA482" s="275">
        <v>31000</v>
      </c>
      <c r="AB482" s="510">
        <v>32680</v>
      </c>
      <c r="AC482" s="275"/>
      <c r="AD482" s="510"/>
      <c r="AE482" s="275"/>
      <c r="AF482" s="510"/>
      <c r="AG482" s="275"/>
      <c r="AH482" s="510"/>
      <c r="AI482" s="275"/>
      <c r="AJ482" s="510"/>
      <c r="AK482" s="275"/>
      <c r="AL482" s="510"/>
      <c r="AM482" s="275"/>
      <c r="AN482" s="510"/>
    </row>
    <row r="483" spans="1:40" s="183" customFormat="1" ht="15" customHeight="1">
      <c r="A483" s="381" t="s">
        <v>537</v>
      </c>
      <c r="B483" s="381" t="s">
        <v>866</v>
      </c>
      <c r="C483" s="382">
        <v>217882</v>
      </c>
      <c r="D483" s="383">
        <v>1</v>
      </c>
      <c r="E483" s="275">
        <v>9400</v>
      </c>
      <c r="F483" s="510">
        <v>9870</v>
      </c>
      <c r="G483" s="275">
        <v>19824</v>
      </c>
      <c r="H483" s="510">
        <v>21800</v>
      </c>
      <c r="I483" s="275">
        <v>9286</v>
      </c>
      <c r="J483" s="510">
        <v>6784</v>
      </c>
      <c r="K483" s="275">
        <v>18510</v>
      </c>
      <c r="L483" s="510">
        <v>13574</v>
      </c>
      <c r="M483" s="275"/>
      <c r="N483" s="510"/>
      <c r="O483" s="275"/>
      <c r="P483" s="510"/>
      <c r="Q483" s="275"/>
      <c r="R483" s="510"/>
      <c r="S483" s="275"/>
      <c r="T483" s="510"/>
      <c r="U483" s="275"/>
      <c r="V483" s="510"/>
      <c r="W483" s="275"/>
      <c r="X483" s="510"/>
      <c r="Y483" s="275"/>
      <c r="Z483" s="510"/>
      <c r="AA483" s="275"/>
      <c r="AB483" s="510"/>
      <c r="AC483" s="275"/>
      <c r="AD483" s="510"/>
      <c r="AE483" s="275"/>
      <c r="AF483" s="510"/>
      <c r="AG483" s="275"/>
      <c r="AH483" s="510"/>
      <c r="AI483" s="275"/>
      <c r="AJ483" s="510"/>
      <c r="AK483" s="275"/>
      <c r="AL483" s="510"/>
      <c r="AM483" s="275"/>
      <c r="AN483" s="510"/>
    </row>
    <row r="484" spans="1:40" s="183" customFormat="1" ht="15" customHeight="1">
      <c r="A484" s="381" t="s">
        <v>537</v>
      </c>
      <c r="B484" s="384" t="s">
        <v>868</v>
      </c>
      <c r="C484" s="382">
        <v>217819</v>
      </c>
      <c r="D484" s="383">
        <v>3</v>
      </c>
      <c r="E484" s="275">
        <v>7234</v>
      </c>
      <c r="F484" s="510">
        <v>7778</v>
      </c>
      <c r="G484" s="275">
        <v>16800</v>
      </c>
      <c r="H484" s="510">
        <v>18732</v>
      </c>
      <c r="I484" s="275">
        <v>7234</v>
      </c>
      <c r="J484" s="510">
        <v>7778</v>
      </c>
      <c r="K484" s="275">
        <v>16800</v>
      </c>
      <c r="L484" s="510">
        <v>18732</v>
      </c>
      <c r="M484" s="275"/>
      <c r="N484" s="510"/>
      <c r="O484" s="275"/>
      <c r="P484" s="510"/>
      <c r="Q484" s="275"/>
      <c r="R484" s="510"/>
      <c r="S484" s="275"/>
      <c r="T484" s="510"/>
      <c r="U484" s="275"/>
      <c r="V484" s="510"/>
      <c r="W484" s="275"/>
      <c r="X484" s="510"/>
      <c r="Y484" s="275"/>
      <c r="Z484" s="510"/>
      <c r="AA484" s="275"/>
      <c r="AB484" s="510"/>
      <c r="AC484" s="275"/>
      <c r="AD484" s="510"/>
      <c r="AE484" s="275"/>
      <c r="AF484" s="510"/>
      <c r="AG484" s="275"/>
      <c r="AH484" s="510"/>
      <c r="AI484" s="275"/>
      <c r="AJ484" s="510"/>
      <c r="AK484" s="275"/>
      <c r="AL484" s="510"/>
      <c r="AM484" s="275"/>
      <c r="AN484" s="510"/>
    </row>
    <row r="485" spans="1:40" s="183" customFormat="1" ht="15" customHeight="1">
      <c r="A485" s="381" t="s">
        <v>537</v>
      </c>
      <c r="B485" s="381" t="s">
        <v>869</v>
      </c>
      <c r="C485" s="382">
        <v>218964</v>
      </c>
      <c r="D485" s="383">
        <v>3</v>
      </c>
      <c r="E485" s="275">
        <v>9500</v>
      </c>
      <c r="F485" s="510">
        <v>10210</v>
      </c>
      <c r="G485" s="275">
        <v>17564</v>
      </c>
      <c r="H485" s="510">
        <v>19034</v>
      </c>
      <c r="I485" s="275">
        <v>9148</v>
      </c>
      <c r="J485" s="510">
        <v>9834</v>
      </c>
      <c r="K485" s="275">
        <v>16864</v>
      </c>
      <c r="L485" s="510">
        <v>18280</v>
      </c>
      <c r="M485" s="275"/>
      <c r="N485" s="510"/>
      <c r="O485" s="275"/>
      <c r="P485" s="510"/>
      <c r="Q485" s="275"/>
      <c r="R485" s="510"/>
      <c r="S485" s="275"/>
      <c r="T485" s="510"/>
      <c r="U485" s="275"/>
      <c r="V485" s="510"/>
      <c r="W485" s="275"/>
      <c r="X485" s="510"/>
      <c r="Y485" s="275"/>
      <c r="Z485" s="510"/>
      <c r="AA485" s="275"/>
      <c r="AB485" s="510"/>
      <c r="AC485" s="275"/>
      <c r="AD485" s="510"/>
      <c r="AE485" s="275"/>
      <c r="AF485" s="510"/>
      <c r="AG485" s="275"/>
      <c r="AH485" s="510"/>
      <c r="AI485" s="275"/>
      <c r="AJ485" s="510"/>
      <c r="AK485" s="275"/>
      <c r="AL485" s="510"/>
      <c r="AM485" s="275"/>
      <c r="AN485" s="510"/>
    </row>
    <row r="486" spans="1:40" s="183" customFormat="1" ht="15" customHeight="1">
      <c r="A486" s="381" t="s">
        <v>537</v>
      </c>
      <c r="B486" s="381" t="s">
        <v>870</v>
      </c>
      <c r="C486" s="382">
        <v>217864</v>
      </c>
      <c r="D486" s="383">
        <v>4</v>
      </c>
      <c r="E486" s="275">
        <v>7168</v>
      </c>
      <c r="F486" s="510">
        <v>7735</v>
      </c>
      <c r="G486" s="275">
        <v>17487</v>
      </c>
      <c r="H486" s="510">
        <v>19291</v>
      </c>
      <c r="I486" s="275">
        <v>6231</v>
      </c>
      <c r="J486" s="510">
        <v>6735</v>
      </c>
      <c r="K486" s="275">
        <v>11601</v>
      </c>
      <c r="L486" s="510">
        <v>12159</v>
      </c>
      <c r="M486" s="275"/>
      <c r="N486" s="510"/>
      <c r="O486" s="275"/>
      <c r="P486" s="510"/>
      <c r="Q486" s="275"/>
      <c r="R486" s="510"/>
      <c r="S486" s="275"/>
      <c r="T486" s="510"/>
      <c r="U486" s="275"/>
      <c r="V486" s="510"/>
      <c r="W486" s="275"/>
      <c r="X486" s="510"/>
      <c r="Y486" s="275"/>
      <c r="Z486" s="510"/>
      <c r="AA486" s="275"/>
      <c r="AB486" s="510"/>
      <c r="AC486" s="275"/>
      <c r="AD486" s="510"/>
      <c r="AE486" s="275"/>
      <c r="AF486" s="510"/>
      <c r="AG486" s="275"/>
      <c r="AH486" s="510"/>
      <c r="AI486" s="275"/>
      <c r="AJ486" s="510"/>
      <c r="AK486" s="275"/>
      <c r="AL486" s="510"/>
      <c r="AM486" s="275"/>
      <c r="AN486" s="510"/>
    </row>
    <row r="487" spans="1:40" s="183" customFormat="1" ht="15" customHeight="1">
      <c r="A487" s="381" t="s">
        <v>537</v>
      </c>
      <c r="B487" s="384" t="s">
        <v>871</v>
      </c>
      <c r="C487" s="387">
        <v>218724</v>
      </c>
      <c r="D487" s="386">
        <v>5</v>
      </c>
      <c r="E487" s="275">
        <v>7500</v>
      </c>
      <c r="F487" s="510">
        <v>7600</v>
      </c>
      <c r="G487" s="275">
        <v>16190</v>
      </c>
      <c r="H487" s="510">
        <v>16590</v>
      </c>
      <c r="I487" s="275">
        <v>5940</v>
      </c>
      <c r="J487" s="510">
        <v>6200</v>
      </c>
      <c r="K487" s="275">
        <v>7200</v>
      </c>
      <c r="L487" s="510">
        <v>7496</v>
      </c>
      <c r="M487" s="275"/>
      <c r="N487" s="510"/>
      <c r="O487" s="275"/>
      <c r="P487" s="510"/>
      <c r="Q487" s="275"/>
      <c r="R487" s="510"/>
      <c r="S487" s="275"/>
      <c r="T487" s="510"/>
      <c r="U487" s="275"/>
      <c r="V487" s="510"/>
      <c r="W487" s="275"/>
      <c r="X487" s="510"/>
      <c r="Y487" s="275"/>
      <c r="Z487" s="510"/>
      <c r="AA487" s="275"/>
      <c r="AB487" s="510"/>
      <c r="AC487" s="275"/>
      <c r="AD487" s="510"/>
      <c r="AE487" s="275"/>
      <c r="AF487" s="510"/>
      <c r="AG487" s="275"/>
      <c r="AH487" s="510"/>
      <c r="AI487" s="275"/>
      <c r="AJ487" s="510"/>
      <c r="AK487" s="275"/>
      <c r="AL487" s="510"/>
      <c r="AM487" s="275"/>
      <c r="AN487" s="510"/>
    </row>
    <row r="488" spans="1:40" s="183" customFormat="1" ht="15" customHeight="1">
      <c r="A488" s="381" t="s">
        <v>537</v>
      </c>
      <c r="B488" s="381" t="s">
        <v>872</v>
      </c>
      <c r="C488" s="382">
        <v>218061</v>
      </c>
      <c r="D488" s="383">
        <v>5</v>
      </c>
      <c r="E488" s="275">
        <v>6512</v>
      </c>
      <c r="F488" s="510">
        <v>7038</v>
      </c>
      <c r="G488" s="275">
        <v>12839</v>
      </c>
      <c r="H488" s="510">
        <v>13841</v>
      </c>
      <c r="I488" s="275">
        <v>6712</v>
      </c>
      <c r="J488" s="510">
        <v>7238</v>
      </c>
      <c r="K488" s="275">
        <v>13239</v>
      </c>
      <c r="L488" s="510">
        <v>14241</v>
      </c>
      <c r="M488" s="275"/>
      <c r="N488" s="510"/>
      <c r="O488" s="275"/>
      <c r="P488" s="510"/>
      <c r="Q488" s="275"/>
      <c r="R488" s="510"/>
      <c r="S488" s="275"/>
      <c r="T488" s="510"/>
      <c r="U488" s="275"/>
      <c r="V488" s="510"/>
      <c r="W488" s="275"/>
      <c r="X488" s="510"/>
      <c r="Y488" s="275"/>
      <c r="Z488" s="510"/>
      <c r="AA488" s="275"/>
      <c r="AB488" s="510"/>
      <c r="AC488" s="275"/>
      <c r="AD488" s="510"/>
      <c r="AE488" s="275"/>
      <c r="AF488" s="510"/>
      <c r="AG488" s="275"/>
      <c r="AH488" s="510"/>
      <c r="AI488" s="275"/>
      <c r="AJ488" s="510"/>
      <c r="AK488" s="275"/>
      <c r="AL488" s="510"/>
      <c r="AM488" s="275"/>
      <c r="AN488" s="510"/>
    </row>
    <row r="489" spans="1:40" s="183" customFormat="1" ht="15" customHeight="1">
      <c r="A489" s="381" t="s">
        <v>537</v>
      </c>
      <c r="B489" s="384" t="s">
        <v>873</v>
      </c>
      <c r="C489" s="382">
        <v>218229</v>
      </c>
      <c r="D489" s="383">
        <v>5</v>
      </c>
      <c r="E489" s="275">
        <v>7162</v>
      </c>
      <c r="F489" s="510">
        <v>7728</v>
      </c>
      <c r="G489" s="275">
        <v>13538</v>
      </c>
      <c r="H489" s="510">
        <v>14616</v>
      </c>
      <c r="I489" s="275">
        <v>7834</v>
      </c>
      <c r="J489" s="510">
        <v>8448</v>
      </c>
      <c r="K489" s="275">
        <v>14942</v>
      </c>
      <c r="L489" s="510">
        <v>16128</v>
      </c>
      <c r="M489" s="275"/>
      <c r="N489" s="510"/>
      <c r="O489" s="275"/>
      <c r="P489" s="510"/>
      <c r="Q489" s="275"/>
      <c r="R489" s="510"/>
      <c r="S489" s="275"/>
      <c r="T489" s="510"/>
      <c r="U489" s="275"/>
      <c r="V489" s="510"/>
      <c r="W489" s="275"/>
      <c r="X489" s="510"/>
      <c r="Y489" s="275"/>
      <c r="Z489" s="510"/>
      <c r="AA489" s="275"/>
      <c r="AB489" s="510"/>
      <c r="AC489" s="275"/>
      <c r="AD489" s="510"/>
      <c r="AE489" s="275"/>
      <c r="AF489" s="510"/>
      <c r="AG489" s="275"/>
      <c r="AH489" s="510"/>
      <c r="AI489" s="275"/>
      <c r="AJ489" s="510"/>
      <c r="AK489" s="275"/>
      <c r="AL489" s="510"/>
      <c r="AM489" s="275"/>
      <c r="AN489" s="510"/>
    </row>
    <row r="490" spans="1:40" s="183" customFormat="1" ht="15" customHeight="1">
      <c r="A490" s="381" t="s">
        <v>537</v>
      </c>
      <c r="B490" s="384" t="s">
        <v>553</v>
      </c>
      <c r="C490" s="387">
        <v>218733</v>
      </c>
      <c r="D490" s="386">
        <v>5</v>
      </c>
      <c r="E490" s="275">
        <v>7278</v>
      </c>
      <c r="F490" s="510">
        <v>7318</v>
      </c>
      <c r="G490" s="275">
        <v>14322</v>
      </c>
      <c r="H490" s="510">
        <v>14362</v>
      </c>
      <c r="I490" s="275">
        <v>7278</v>
      </c>
      <c r="J490" s="510">
        <v>7318</v>
      </c>
      <c r="K490" s="275">
        <v>14322</v>
      </c>
      <c r="L490" s="510">
        <v>14362</v>
      </c>
      <c r="M490" s="275"/>
      <c r="N490" s="510"/>
      <c r="O490" s="275"/>
      <c r="P490" s="510"/>
      <c r="Q490" s="275"/>
      <c r="R490" s="510"/>
      <c r="S490" s="275"/>
      <c r="T490" s="510"/>
      <c r="U490" s="275"/>
      <c r="V490" s="510"/>
      <c r="W490" s="275"/>
      <c r="X490" s="510"/>
      <c r="Y490" s="275"/>
      <c r="Z490" s="510"/>
      <c r="AA490" s="275"/>
      <c r="AB490" s="510"/>
      <c r="AC490" s="275"/>
      <c r="AD490" s="510"/>
      <c r="AE490" s="275"/>
      <c r="AF490" s="510"/>
      <c r="AG490" s="275"/>
      <c r="AH490" s="510"/>
      <c r="AI490" s="275"/>
      <c r="AJ490" s="510"/>
      <c r="AK490" s="275"/>
      <c r="AL490" s="510"/>
      <c r="AM490" s="275"/>
      <c r="AN490" s="510"/>
    </row>
    <row r="491" spans="1:40" s="183" customFormat="1" ht="15" customHeight="1">
      <c r="A491" s="381" t="s">
        <v>537</v>
      </c>
      <c r="B491" s="384" t="s">
        <v>554</v>
      </c>
      <c r="C491" s="387">
        <v>218645</v>
      </c>
      <c r="D491" s="386">
        <v>6</v>
      </c>
      <c r="E491" s="275">
        <v>6670</v>
      </c>
      <c r="F491" s="510">
        <v>7006</v>
      </c>
      <c r="G491" s="275">
        <v>13250</v>
      </c>
      <c r="H491" s="510">
        <v>13922</v>
      </c>
      <c r="I491" s="275">
        <v>8688</v>
      </c>
      <c r="J491" s="510">
        <v>9288</v>
      </c>
      <c r="K491" s="275">
        <v>18316</v>
      </c>
      <c r="L491" s="510">
        <v>19580</v>
      </c>
      <c r="M491" s="275"/>
      <c r="N491" s="510"/>
      <c r="O491" s="275"/>
      <c r="P491" s="510"/>
      <c r="Q491" s="275"/>
      <c r="R491" s="510"/>
      <c r="S491" s="275"/>
      <c r="T491" s="510"/>
      <c r="U491" s="275"/>
      <c r="V491" s="510"/>
      <c r="W491" s="275"/>
      <c r="X491" s="510"/>
      <c r="Y491" s="275"/>
      <c r="Z491" s="510"/>
      <c r="AA491" s="275"/>
      <c r="AB491" s="510"/>
      <c r="AC491" s="275"/>
      <c r="AD491" s="510"/>
      <c r="AE491" s="275"/>
      <c r="AF491" s="510"/>
      <c r="AG491" s="275"/>
      <c r="AH491" s="510"/>
      <c r="AI491" s="275"/>
      <c r="AJ491" s="510"/>
      <c r="AK491" s="275"/>
      <c r="AL491" s="510"/>
      <c r="AM491" s="275"/>
      <c r="AN491" s="510"/>
    </row>
    <row r="492" spans="1:40" s="183" customFormat="1" ht="15" customHeight="1">
      <c r="A492" s="381" t="s">
        <v>537</v>
      </c>
      <c r="B492" s="381" t="s">
        <v>555</v>
      </c>
      <c r="C492" s="382">
        <v>218742</v>
      </c>
      <c r="D492" s="383">
        <v>6</v>
      </c>
      <c r="E492" s="275">
        <v>7218</v>
      </c>
      <c r="F492" s="510">
        <v>7760</v>
      </c>
      <c r="G492" s="275">
        <v>14656</v>
      </c>
      <c r="H492" s="510">
        <v>15752</v>
      </c>
      <c r="I492" s="275">
        <v>8688</v>
      </c>
      <c r="J492" s="510">
        <v>9288</v>
      </c>
      <c r="K492" s="275">
        <v>18316</v>
      </c>
      <c r="L492" s="510">
        <v>19580</v>
      </c>
      <c r="M492" s="275"/>
      <c r="N492" s="510"/>
      <c r="O492" s="275"/>
      <c r="P492" s="510"/>
      <c r="Q492" s="275"/>
      <c r="R492" s="510"/>
      <c r="S492" s="275"/>
      <c r="T492" s="510"/>
      <c r="U492" s="275"/>
      <c r="V492" s="510"/>
      <c r="W492" s="275"/>
      <c r="X492" s="510"/>
      <c r="Y492" s="275"/>
      <c r="Z492" s="510"/>
      <c r="AA492" s="275"/>
      <c r="AB492" s="510"/>
      <c r="AC492" s="275"/>
      <c r="AD492" s="510"/>
      <c r="AE492" s="275"/>
      <c r="AF492" s="510"/>
      <c r="AG492" s="275"/>
      <c r="AH492" s="510"/>
      <c r="AI492" s="275"/>
      <c r="AJ492" s="510"/>
      <c r="AK492" s="275"/>
      <c r="AL492" s="510"/>
      <c r="AM492" s="275"/>
      <c r="AN492" s="510"/>
    </row>
    <row r="493" spans="1:40" s="183" customFormat="1" ht="15" customHeight="1">
      <c r="A493" s="381" t="s">
        <v>537</v>
      </c>
      <c r="B493" s="384" t="s">
        <v>556</v>
      </c>
      <c r="C493" s="387">
        <v>218654</v>
      </c>
      <c r="D493" s="386">
        <v>7</v>
      </c>
      <c r="E493" s="275">
        <v>5724</v>
      </c>
      <c r="F493" s="510">
        <v>6250</v>
      </c>
      <c r="G493" s="275">
        <v>12756</v>
      </c>
      <c r="H493" s="510">
        <v>13912</v>
      </c>
      <c r="I493" s="275"/>
      <c r="J493" s="510"/>
      <c r="K493" s="275"/>
      <c r="L493" s="510"/>
      <c r="M493" s="275"/>
      <c r="N493" s="510"/>
      <c r="O493" s="275"/>
      <c r="P493" s="510"/>
      <c r="Q493" s="275"/>
      <c r="R493" s="510"/>
      <c r="S493" s="275"/>
      <c r="T493" s="510"/>
      <c r="U493" s="275"/>
      <c r="V493" s="510"/>
      <c r="W493" s="275"/>
      <c r="X493" s="510"/>
      <c r="Y493" s="275"/>
      <c r="Z493" s="510"/>
      <c r="AA493" s="275"/>
      <c r="AB493" s="510"/>
      <c r="AC493" s="275"/>
      <c r="AD493" s="510"/>
      <c r="AE493" s="275"/>
      <c r="AF493" s="510"/>
      <c r="AG493" s="275"/>
      <c r="AH493" s="510"/>
      <c r="AI493" s="275"/>
      <c r="AJ493" s="510"/>
      <c r="AK493" s="275"/>
      <c r="AL493" s="510"/>
      <c r="AM493" s="275"/>
      <c r="AN493" s="510"/>
    </row>
    <row r="494" spans="1:40" s="183" customFormat="1" ht="15" customHeight="1">
      <c r="A494" s="381" t="s">
        <v>537</v>
      </c>
      <c r="B494" s="381" t="s">
        <v>557</v>
      </c>
      <c r="C494" s="382">
        <v>218113</v>
      </c>
      <c r="D494" s="383">
        <v>8</v>
      </c>
      <c r="E494" s="275">
        <v>3190</v>
      </c>
      <c r="F494" s="510">
        <v>3290</v>
      </c>
      <c r="G494" s="275">
        <v>6490</v>
      </c>
      <c r="H494" s="510">
        <v>6698</v>
      </c>
      <c r="I494" s="275"/>
      <c r="J494" s="510"/>
      <c r="K494" s="275"/>
      <c r="L494" s="510"/>
      <c r="M494" s="275"/>
      <c r="N494" s="510"/>
      <c r="O494" s="275"/>
      <c r="P494" s="510"/>
      <c r="Q494" s="275"/>
      <c r="R494" s="510"/>
      <c r="S494" s="275"/>
      <c r="T494" s="510"/>
      <c r="U494" s="275"/>
      <c r="V494" s="510"/>
      <c r="W494" s="275"/>
      <c r="X494" s="510"/>
      <c r="Y494" s="275"/>
      <c r="Z494" s="510"/>
      <c r="AA494" s="275"/>
      <c r="AB494" s="510"/>
      <c r="AC494" s="275"/>
      <c r="AD494" s="510"/>
      <c r="AE494" s="275"/>
      <c r="AF494" s="510"/>
      <c r="AG494" s="275"/>
      <c r="AH494" s="510"/>
      <c r="AI494" s="275"/>
      <c r="AJ494" s="510"/>
      <c r="AK494" s="275"/>
      <c r="AL494" s="510"/>
      <c r="AM494" s="275"/>
      <c r="AN494" s="510"/>
    </row>
    <row r="495" spans="1:40" s="183" customFormat="1" ht="15" customHeight="1">
      <c r="A495" s="381" t="s">
        <v>537</v>
      </c>
      <c r="B495" s="381" t="s">
        <v>558</v>
      </c>
      <c r="C495" s="382">
        <v>218353</v>
      </c>
      <c r="D495" s="383">
        <v>8</v>
      </c>
      <c r="E495" s="275">
        <v>3100</v>
      </c>
      <c r="F495" s="510">
        <v>3244</v>
      </c>
      <c r="G495" s="275">
        <v>9100</v>
      </c>
      <c r="H495" s="510">
        <v>9532</v>
      </c>
      <c r="I495" s="275"/>
      <c r="J495" s="510"/>
      <c r="K495" s="275"/>
      <c r="L495" s="510"/>
      <c r="M495" s="275"/>
      <c r="N495" s="510"/>
      <c r="O495" s="275"/>
      <c r="P495" s="510"/>
      <c r="Q495" s="275"/>
      <c r="R495" s="510"/>
      <c r="S495" s="275"/>
      <c r="T495" s="510"/>
      <c r="U495" s="275"/>
      <c r="V495" s="510"/>
      <c r="W495" s="275"/>
      <c r="X495" s="510"/>
      <c r="Y495" s="275"/>
      <c r="Z495" s="510"/>
      <c r="AA495" s="275"/>
      <c r="AB495" s="510"/>
      <c r="AC495" s="275"/>
      <c r="AD495" s="510"/>
      <c r="AE495" s="275"/>
      <c r="AF495" s="510"/>
      <c r="AG495" s="275"/>
      <c r="AH495" s="510"/>
      <c r="AI495" s="275"/>
      <c r="AJ495" s="510"/>
      <c r="AK495" s="275"/>
      <c r="AL495" s="510"/>
      <c r="AM495" s="275"/>
      <c r="AN495" s="510"/>
    </row>
    <row r="496" spans="1:40" s="183" customFormat="1" ht="15" customHeight="1">
      <c r="A496" s="381" t="s">
        <v>537</v>
      </c>
      <c r="B496" s="381" t="s">
        <v>559</v>
      </c>
      <c r="C496" s="382">
        <v>218894</v>
      </c>
      <c r="D496" s="383">
        <v>8</v>
      </c>
      <c r="E496" s="275">
        <v>3114</v>
      </c>
      <c r="F496" s="510">
        <v>3220</v>
      </c>
      <c r="G496" s="275">
        <v>5898</v>
      </c>
      <c r="H496" s="510">
        <v>6100</v>
      </c>
      <c r="I496" s="275"/>
      <c r="J496" s="510"/>
      <c r="K496" s="275"/>
      <c r="L496" s="510"/>
      <c r="M496" s="275"/>
      <c r="N496" s="510"/>
      <c r="O496" s="275"/>
      <c r="P496" s="510"/>
      <c r="Q496" s="275"/>
      <c r="R496" s="510"/>
      <c r="S496" s="275"/>
      <c r="T496" s="510"/>
      <c r="U496" s="275"/>
      <c r="V496" s="510"/>
      <c r="W496" s="275"/>
      <c r="X496" s="510"/>
      <c r="Y496" s="275"/>
      <c r="Z496" s="510"/>
      <c r="AA496" s="275"/>
      <c r="AB496" s="510"/>
      <c r="AC496" s="275"/>
      <c r="AD496" s="510"/>
      <c r="AE496" s="275"/>
      <c r="AF496" s="510"/>
      <c r="AG496" s="275"/>
      <c r="AH496" s="510"/>
      <c r="AI496" s="275"/>
      <c r="AJ496" s="510"/>
      <c r="AK496" s="275"/>
      <c r="AL496" s="510"/>
      <c r="AM496" s="275"/>
      <c r="AN496" s="510"/>
    </row>
    <row r="497" spans="1:40" s="183" customFormat="1" ht="15" customHeight="1">
      <c r="A497" s="381" t="s">
        <v>537</v>
      </c>
      <c r="B497" s="407" t="s">
        <v>560</v>
      </c>
      <c r="C497" s="382">
        <v>217615</v>
      </c>
      <c r="D497" s="383">
        <v>9</v>
      </c>
      <c r="E497" s="275">
        <v>3190</v>
      </c>
      <c r="F497" s="510">
        <v>3298</v>
      </c>
      <c r="G497" s="275">
        <v>8906</v>
      </c>
      <c r="H497" s="510">
        <v>9222</v>
      </c>
      <c r="I497" s="275"/>
      <c r="J497" s="510"/>
      <c r="K497" s="275"/>
      <c r="L497" s="510"/>
      <c r="M497" s="275"/>
      <c r="N497" s="510"/>
      <c r="O497" s="275"/>
      <c r="P497" s="510"/>
      <c r="Q497" s="275"/>
      <c r="R497" s="510"/>
      <c r="S497" s="275"/>
      <c r="T497" s="510"/>
      <c r="U497" s="275"/>
      <c r="V497" s="510"/>
      <c r="W497" s="275"/>
      <c r="X497" s="510"/>
      <c r="Y497" s="275"/>
      <c r="Z497" s="510"/>
      <c r="AA497" s="275"/>
      <c r="AB497" s="510"/>
      <c r="AC497" s="275"/>
      <c r="AD497" s="510"/>
      <c r="AE497" s="275"/>
      <c r="AF497" s="510"/>
      <c r="AG497" s="275"/>
      <c r="AH497" s="510"/>
      <c r="AI497" s="275"/>
      <c r="AJ497" s="510"/>
      <c r="AK497" s="275"/>
      <c r="AL497" s="510"/>
      <c r="AM497" s="275"/>
      <c r="AN497" s="510"/>
    </row>
    <row r="498" spans="1:40" s="183" customFormat="1" ht="15" customHeight="1">
      <c r="A498" s="381" t="s">
        <v>537</v>
      </c>
      <c r="B498" s="381" t="s">
        <v>561</v>
      </c>
      <c r="C498" s="382">
        <v>218858</v>
      </c>
      <c r="D498" s="383">
        <v>9</v>
      </c>
      <c r="E498" s="275">
        <v>2900</v>
      </c>
      <c r="F498" s="510">
        <v>2920</v>
      </c>
      <c r="G498" s="275">
        <v>5156</v>
      </c>
      <c r="H498" s="510">
        <v>5176</v>
      </c>
      <c r="I498" s="275"/>
      <c r="J498" s="510"/>
      <c r="K498" s="275"/>
      <c r="L498" s="510"/>
      <c r="M498" s="275"/>
      <c r="N498" s="510"/>
      <c r="O498" s="275"/>
      <c r="P498" s="510"/>
      <c r="Q498" s="275"/>
      <c r="R498" s="510"/>
      <c r="S498" s="275"/>
      <c r="T498" s="510"/>
      <c r="U498" s="275"/>
      <c r="V498" s="510"/>
      <c r="W498" s="275"/>
      <c r="X498" s="510"/>
      <c r="Y498" s="275"/>
      <c r="Z498" s="510"/>
      <c r="AA498" s="275"/>
      <c r="AB498" s="510"/>
      <c r="AC498" s="275"/>
      <c r="AD498" s="510"/>
      <c r="AE498" s="275"/>
      <c r="AF498" s="510"/>
      <c r="AG498" s="275"/>
      <c r="AH498" s="510"/>
      <c r="AI498" s="275"/>
      <c r="AJ498" s="510"/>
      <c r="AK498" s="275"/>
      <c r="AL498" s="510"/>
      <c r="AM498" s="275"/>
      <c r="AN498" s="510"/>
    </row>
    <row r="499" spans="1:40" s="183" customFormat="1" ht="15" customHeight="1">
      <c r="A499" s="381" t="s">
        <v>537</v>
      </c>
      <c r="B499" s="381" t="s">
        <v>562</v>
      </c>
      <c r="C499" s="382">
        <v>218025</v>
      </c>
      <c r="D499" s="383">
        <v>9</v>
      </c>
      <c r="E499" s="275">
        <v>3074</v>
      </c>
      <c r="F499" s="510">
        <v>3190</v>
      </c>
      <c r="G499" s="275">
        <v>5170</v>
      </c>
      <c r="H499" s="510">
        <v>5286</v>
      </c>
      <c r="I499" s="275"/>
      <c r="J499" s="510"/>
      <c r="K499" s="275"/>
      <c r="L499" s="510"/>
      <c r="M499" s="275"/>
      <c r="N499" s="510"/>
      <c r="O499" s="275"/>
      <c r="P499" s="510"/>
      <c r="Q499" s="275"/>
      <c r="R499" s="510"/>
      <c r="S499" s="275"/>
      <c r="T499" s="510"/>
      <c r="U499" s="275"/>
      <c r="V499" s="510"/>
      <c r="W499" s="275"/>
      <c r="X499" s="510"/>
      <c r="Y499" s="275"/>
      <c r="Z499" s="510"/>
      <c r="AA499" s="275"/>
      <c r="AB499" s="510"/>
      <c r="AC499" s="275"/>
      <c r="AD499" s="510"/>
      <c r="AE499" s="275"/>
      <c r="AF499" s="510"/>
      <c r="AG499" s="275"/>
      <c r="AH499" s="510"/>
      <c r="AI499" s="275"/>
      <c r="AJ499" s="510"/>
      <c r="AK499" s="275"/>
      <c r="AL499" s="510"/>
      <c r="AM499" s="275"/>
      <c r="AN499" s="510"/>
    </row>
    <row r="500" spans="1:40" s="183" customFormat="1" ht="15" customHeight="1">
      <c r="A500" s="381" t="s">
        <v>537</v>
      </c>
      <c r="B500" s="381" t="s">
        <v>563</v>
      </c>
      <c r="C500" s="382">
        <v>218140</v>
      </c>
      <c r="D500" s="383">
        <v>9</v>
      </c>
      <c r="E500" s="275">
        <v>2944</v>
      </c>
      <c r="F500" s="510">
        <v>3114</v>
      </c>
      <c r="G500" s="275">
        <v>4407</v>
      </c>
      <c r="H500" s="510">
        <v>4914</v>
      </c>
      <c r="I500" s="275"/>
      <c r="J500" s="510"/>
      <c r="K500" s="275"/>
      <c r="L500" s="510"/>
      <c r="M500" s="275"/>
      <c r="N500" s="510"/>
      <c r="O500" s="275"/>
      <c r="P500" s="510"/>
      <c r="Q500" s="275"/>
      <c r="R500" s="510"/>
      <c r="S500" s="275"/>
      <c r="T500" s="510"/>
      <c r="U500" s="275"/>
      <c r="V500" s="510"/>
      <c r="W500" s="275"/>
      <c r="X500" s="510"/>
      <c r="Y500" s="275"/>
      <c r="Z500" s="510"/>
      <c r="AA500" s="275"/>
      <c r="AB500" s="510"/>
      <c r="AC500" s="275"/>
      <c r="AD500" s="510"/>
      <c r="AE500" s="275"/>
      <c r="AF500" s="510"/>
      <c r="AG500" s="275"/>
      <c r="AH500" s="510"/>
      <c r="AI500" s="275"/>
      <c r="AJ500" s="510"/>
      <c r="AK500" s="275"/>
      <c r="AL500" s="510"/>
      <c r="AM500" s="275"/>
      <c r="AN500" s="510"/>
    </row>
    <row r="501" spans="1:40" s="183" customFormat="1" ht="15" customHeight="1">
      <c r="A501" s="381" t="s">
        <v>537</v>
      </c>
      <c r="B501" s="381" t="s">
        <v>564</v>
      </c>
      <c r="C501" s="382">
        <v>218487</v>
      </c>
      <c r="D501" s="383">
        <v>9</v>
      </c>
      <c r="E501" s="275">
        <v>2832</v>
      </c>
      <c r="F501" s="510">
        <v>2832</v>
      </c>
      <c r="G501" s="275">
        <v>4464</v>
      </c>
      <c r="H501" s="510">
        <v>4464</v>
      </c>
      <c r="I501" s="275"/>
      <c r="J501" s="510"/>
      <c r="K501" s="275"/>
      <c r="L501" s="510"/>
      <c r="M501" s="275"/>
      <c r="N501" s="510"/>
      <c r="O501" s="275"/>
      <c r="P501" s="510"/>
      <c r="Q501" s="275"/>
      <c r="R501" s="510"/>
      <c r="S501" s="275"/>
      <c r="T501" s="510"/>
      <c r="U501" s="275"/>
      <c r="V501" s="510"/>
      <c r="W501" s="275"/>
      <c r="X501" s="510"/>
      <c r="Y501" s="275"/>
      <c r="Z501" s="510"/>
      <c r="AA501" s="275"/>
      <c r="AB501" s="510"/>
      <c r="AC501" s="275"/>
      <c r="AD501" s="510"/>
      <c r="AE501" s="275"/>
      <c r="AF501" s="510"/>
      <c r="AG501" s="275"/>
      <c r="AH501" s="510"/>
      <c r="AI501" s="275"/>
      <c r="AJ501" s="510"/>
      <c r="AK501" s="275"/>
      <c r="AL501" s="510"/>
      <c r="AM501" s="275"/>
      <c r="AN501" s="510"/>
    </row>
    <row r="502" spans="1:40" s="183" customFormat="1" ht="15" customHeight="1">
      <c r="A502" s="381" t="s">
        <v>537</v>
      </c>
      <c r="B502" s="381" t="s">
        <v>565</v>
      </c>
      <c r="C502" s="382">
        <v>218520</v>
      </c>
      <c r="D502" s="383">
        <v>9</v>
      </c>
      <c r="E502" s="275">
        <v>2956</v>
      </c>
      <c r="F502" s="510">
        <v>3126</v>
      </c>
      <c r="G502" s="275">
        <v>4564</v>
      </c>
      <c r="H502" s="510">
        <v>4734</v>
      </c>
      <c r="I502" s="275"/>
      <c r="J502" s="510"/>
      <c r="K502" s="275"/>
      <c r="L502" s="510"/>
      <c r="M502" s="275"/>
      <c r="N502" s="510"/>
      <c r="O502" s="275"/>
      <c r="P502" s="510"/>
      <c r="Q502" s="275"/>
      <c r="R502" s="510"/>
      <c r="S502" s="275"/>
      <c r="T502" s="510"/>
      <c r="U502" s="275"/>
      <c r="V502" s="510"/>
      <c r="W502" s="275"/>
      <c r="X502" s="510"/>
      <c r="Y502" s="275"/>
      <c r="Z502" s="510"/>
      <c r="AA502" s="275"/>
      <c r="AB502" s="510"/>
      <c r="AC502" s="275"/>
      <c r="AD502" s="510"/>
      <c r="AE502" s="275"/>
      <c r="AF502" s="510"/>
      <c r="AG502" s="275"/>
      <c r="AH502" s="510"/>
      <c r="AI502" s="275"/>
      <c r="AJ502" s="510"/>
      <c r="AK502" s="275"/>
      <c r="AL502" s="510"/>
      <c r="AM502" s="275"/>
      <c r="AN502" s="510"/>
    </row>
    <row r="503" spans="1:40" s="183" customFormat="1" ht="15" customHeight="1">
      <c r="A503" s="381" t="s">
        <v>537</v>
      </c>
      <c r="B503" s="381" t="s">
        <v>566</v>
      </c>
      <c r="C503" s="382">
        <v>218830</v>
      </c>
      <c r="D503" s="383">
        <v>9</v>
      </c>
      <c r="E503" s="275">
        <v>3094</v>
      </c>
      <c r="F503" s="510">
        <v>3194</v>
      </c>
      <c r="G503" s="275">
        <v>5988</v>
      </c>
      <c r="H503" s="510">
        <v>6110</v>
      </c>
      <c r="I503" s="275"/>
      <c r="J503" s="510"/>
      <c r="K503" s="275"/>
      <c r="L503" s="510"/>
      <c r="M503" s="275"/>
      <c r="N503" s="510"/>
      <c r="O503" s="275"/>
      <c r="P503" s="510"/>
      <c r="Q503" s="275"/>
      <c r="R503" s="510"/>
      <c r="S503" s="275"/>
      <c r="T503" s="510"/>
      <c r="U503" s="275"/>
      <c r="V503" s="510"/>
      <c r="W503" s="275"/>
      <c r="X503" s="510"/>
      <c r="Y503" s="275"/>
      <c r="Z503" s="510"/>
      <c r="AA503" s="275"/>
      <c r="AB503" s="510"/>
      <c r="AC503" s="275"/>
      <c r="AD503" s="510"/>
      <c r="AE503" s="275"/>
      <c r="AF503" s="510"/>
      <c r="AG503" s="275"/>
      <c r="AH503" s="510"/>
      <c r="AI503" s="275"/>
      <c r="AJ503" s="510"/>
      <c r="AK503" s="275"/>
      <c r="AL503" s="510"/>
      <c r="AM503" s="275"/>
      <c r="AN503" s="510"/>
    </row>
    <row r="504" spans="1:40" s="183" customFormat="1" ht="15" customHeight="1">
      <c r="A504" s="381" t="s">
        <v>537</v>
      </c>
      <c r="B504" s="381" t="s">
        <v>567</v>
      </c>
      <c r="C504" s="382">
        <v>218885</v>
      </c>
      <c r="D504" s="383">
        <v>9</v>
      </c>
      <c r="E504" s="275">
        <v>2856</v>
      </c>
      <c r="F504" s="510">
        <v>2976</v>
      </c>
      <c r="G504" s="275">
        <v>6348</v>
      </c>
      <c r="H504" s="510">
        <v>6594</v>
      </c>
      <c r="I504" s="275"/>
      <c r="J504" s="510"/>
      <c r="K504" s="275"/>
      <c r="L504" s="510"/>
      <c r="M504" s="275"/>
      <c r="N504" s="510"/>
      <c r="O504" s="275"/>
      <c r="P504" s="510"/>
      <c r="Q504" s="275"/>
      <c r="R504" s="510"/>
      <c r="S504" s="275"/>
      <c r="T504" s="510"/>
      <c r="U504" s="275"/>
      <c r="V504" s="510"/>
      <c r="W504" s="275"/>
      <c r="X504" s="510"/>
      <c r="Y504" s="275"/>
      <c r="Z504" s="510"/>
      <c r="AA504" s="275"/>
      <c r="AB504" s="510"/>
      <c r="AC504" s="275"/>
      <c r="AD504" s="510"/>
      <c r="AE504" s="275"/>
      <c r="AF504" s="510"/>
      <c r="AG504" s="275"/>
      <c r="AH504" s="510"/>
      <c r="AI504" s="275"/>
      <c r="AJ504" s="510"/>
      <c r="AK504" s="275"/>
      <c r="AL504" s="510"/>
      <c r="AM504" s="275"/>
      <c r="AN504" s="510"/>
    </row>
    <row r="505" spans="1:40" s="183" customFormat="1" ht="15" customHeight="1">
      <c r="A505" s="381" t="s">
        <v>537</v>
      </c>
      <c r="B505" s="381" t="s">
        <v>568</v>
      </c>
      <c r="C505" s="382">
        <v>218991</v>
      </c>
      <c r="D505" s="383">
        <v>9</v>
      </c>
      <c r="E505" s="275">
        <v>3124</v>
      </c>
      <c r="F505" s="510">
        <v>3124</v>
      </c>
      <c r="G505" s="275">
        <v>7000</v>
      </c>
      <c r="H505" s="510">
        <v>7000</v>
      </c>
      <c r="I505" s="275"/>
      <c r="J505" s="510"/>
      <c r="K505" s="275"/>
      <c r="L505" s="510"/>
      <c r="M505" s="275"/>
      <c r="N505" s="510"/>
      <c r="O505" s="275"/>
      <c r="P505" s="510"/>
      <c r="Q505" s="275"/>
      <c r="R505" s="510"/>
      <c r="S505" s="275"/>
      <c r="T505" s="510"/>
      <c r="U505" s="275"/>
      <c r="V505" s="510"/>
      <c r="W505" s="275"/>
      <c r="X505" s="510"/>
      <c r="Y505" s="275"/>
      <c r="Z505" s="510"/>
      <c r="AA505" s="275"/>
      <c r="AB505" s="510"/>
      <c r="AC505" s="275"/>
      <c r="AD505" s="510"/>
      <c r="AE505" s="275"/>
      <c r="AF505" s="510"/>
      <c r="AG505" s="275"/>
      <c r="AH505" s="510"/>
      <c r="AI505" s="275"/>
      <c r="AJ505" s="510"/>
      <c r="AK505" s="275"/>
      <c r="AL505" s="510"/>
      <c r="AM505" s="275"/>
      <c r="AN505" s="510"/>
    </row>
    <row r="506" spans="1:40" s="183" customFormat="1" ht="15" customHeight="1">
      <c r="A506" s="381" t="s">
        <v>537</v>
      </c>
      <c r="B506" s="381" t="s">
        <v>569</v>
      </c>
      <c r="C506" s="382">
        <v>217989</v>
      </c>
      <c r="D506" s="383">
        <v>10</v>
      </c>
      <c r="E506" s="275">
        <v>2278</v>
      </c>
      <c r="F506" s="510">
        <v>2278</v>
      </c>
      <c r="G506" s="275">
        <v>4366</v>
      </c>
      <c r="H506" s="510">
        <v>4366</v>
      </c>
      <c r="I506" s="275"/>
      <c r="J506" s="510"/>
      <c r="K506" s="275"/>
      <c r="L506" s="510"/>
      <c r="M506" s="275"/>
      <c r="N506" s="510"/>
      <c r="O506" s="275"/>
      <c r="P506" s="510"/>
      <c r="Q506" s="275"/>
      <c r="R506" s="510"/>
      <c r="S506" s="275"/>
      <c r="T506" s="510"/>
      <c r="U506" s="275"/>
      <c r="V506" s="510"/>
      <c r="W506" s="275"/>
      <c r="X506" s="510"/>
      <c r="Y506" s="275"/>
      <c r="Z506" s="510"/>
      <c r="AA506" s="275"/>
      <c r="AB506" s="510"/>
      <c r="AC506" s="275"/>
      <c r="AD506" s="510"/>
      <c r="AE506" s="275"/>
      <c r="AF506" s="510"/>
      <c r="AG506" s="275"/>
      <c r="AH506" s="510"/>
      <c r="AI506" s="275"/>
      <c r="AJ506" s="510"/>
      <c r="AK506" s="275"/>
      <c r="AL506" s="510"/>
      <c r="AM506" s="275"/>
      <c r="AN506" s="510"/>
    </row>
    <row r="507" spans="1:40" s="183" customFormat="1" ht="15" customHeight="1">
      <c r="A507" s="381" t="s">
        <v>537</v>
      </c>
      <c r="B507" s="381" t="s">
        <v>570</v>
      </c>
      <c r="C507" s="382">
        <v>217837</v>
      </c>
      <c r="D507" s="383">
        <v>10</v>
      </c>
      <c r="E507" s="275">
        <v>2646</v>
      </c>
      <c r="F507" s="510">
        <v>2982</v>
      </c>
      <c r="G507" s="275">
        <v>5118</v>
      </c>
      <c r="H507" s="510">
        <v>5454</v>
      </c>
      <c r="I507" s="275"/>
      <c r="J507" s="510"/>
      <c r="K507" s="275"/>
      <c r="L507" s="510"/>
      <c r="M507" s="275"/>
      <c r="N507" s="510"/>
      <c r="O507" s="275"/>
      <c r="P507" s="510"/>
      <c r="Q507" s="275"/>
      <c r="R507" s="510"/>
      <c r="S507" s="275"/>
      <c r="T507" s="510"/>
      <c r="U507" s="275"/>
      <c r="V507" s="510"/>
      <c r="W507" s="275"/>
      <c r="X507" s="510"/>
      <c r="Y507" s="275"/>
      <c r="Z507" s="510"/>
      <c r="AA507" s="275"/>
      <c r="AB507" s="510"/>
      <c r="AC507" s="275"/>
      <c r="AD507" s="510"/>
      <c r="AE507" s="275"/>
      <c r="AF507" s="510"/>
      <c r="AG507" s="275"/>
      <c r="AH507" s="510"/>
      <c r="AI507" s="275"/>
      <c r="AJ507" s="510"/>
      <c r="AK507" s="275"/>
      <c r="AL507" s="510"/>
      <c r="AM507" s="275"/>
      <c r="AN507" s="510"/>
    </row>
    <row r="508" spans="1:40" s="183" customFormat="1" ht="15" customHeight="1">
      <c r="A508" s="381" t="s">
        <v>537</v>
      </c>
      <c r="B508" s="381" t="s">
        <v>571</v>
      </c>
      <c r="C508" s="382">
        <v>217712</v>
      </c>
      <c r="D508" s="383">
        <v>10</v>
      </c>
      <c r="E508" s="275">
        <v>3050</v>
      </c>
      <c r="F508" s="510">
        <v>3150</v>
      </c>
      <c r="G508" s="275">
        <v>5932</v>
      </c>
      <c r="H508" s="510">
        <v>6912</v>
      </c>
      <c r="I508" s="275"/>
      <c r="J508" s="510"/>
      <c r="K508" s="275"/>
      <c r="L508" s="510"/>
      <c r="M508" s="275"/>
      <c r="N508" s="510"/>
      <c r="O508" s="275"/>
      <c r="P508" s="510"/>
      <c r="Q508" s="275"/>
      <c r="R508" s="510"/>
      <c r="S508" s="275"/>
      <c r="T508" s="510"/>
      <c r="U508" s="275"/>
      <c r="V508" s="510"/>
      <c r="W508" s="275"/>
      <c r="X508" s="510"/>
      <c r="Y508" s="275"/>
      <c r="Z508" s="510"/>
      <c r="AA508" s="275"/>
      <c r="AB508" s="510"/>
      <c r="AC508" s="275"/>
      <c r="AD508" s="510"/>
      <c r="AE508" s="275"/>
      <c r="AF508" s="510"/>
      <c r="AG508" s="275"/>
      <c r="AH508" s="510"/>
      <c r="AI508" s="275"/>
      <c r="AJ508" s="510"/>
      <c r="AK508" s="275"/>
      <c r="AL508" s="510"/>
      <c r="AM508" s="275"/>
      <c r="AN508" s="510"/>
    </row>
    <row r="509" spans="1:40" s="183" customFormat="1" ht="15" customHeight="1">
      <c r="A509" s="381" t="s">
        <v>537</v>
      </c>
      <c r="B509" s="384" t="s">
        <v>572</v>
      </c>
      <c r="C509" s="387">
        <v>218672</v>
      </c>
      <c r="D509" s="386">
        <v>10</v>
      </c>
      <c r="E509" s="275">
        <v>4652</v>
      </c>
      <c r="F509" s="510">
        <v>4868</v>
      </c>
      <c r="G509" s="275">
        <v>11128</v>
      </c>
      <c r="H509" s="510">
        <v>11780</v>
      </c>
      <c r="I509" s="275"/>
      <c r="J509" s="510"/>
      <c r="K509" s="275"/>
      <c r="L509" s="510"/>
      <c r="M509" s="275"/>
      <c r="N509" s="510"/>
      <c r="O509" s="275"/>
      <c r="P509" s="510"/>
      <c r="Q509" s="275"/>
      <c r="R509" s="510"/>
      <c r="S509" s="275"/>
      <c r="T509" s="510"/>
      <c r="U509" s="275"/>
      <c r="V509" s="510"/>
      <c r="W509" s="275"/>
      <c r="X509" s="510"/>
      <c r="Y509" s="275"/>
      <c r="Z509" s="510"/>
      <c r="AA509" s="275"/>
      <c r="AB509" s="510"/>
      <c r="AC509" s="275"/>
      <c r="AD509" s="510"/>
      <c r="AE509" s="275"/>
      <c r="AF509" s="510"/>
      <c r="AG509" s="275"/>
      <c r="AH509" s="510"/>
      <c r="AI509" s="275"/>
      <c r="AJ509" s="510"/>
      <c r="AK509" s="275"/>
      <c r="AL509" s="510"/>
      <c r="AM509" s="275"/>
      <c r="AN509" s="510"/>
    </row>
    <row r="510" spans="1:40" s="183" customFormat="1" ht="15" customHeight="1">
      <c r="A510" s="381" t="s">
        <v>537</v>
      </c>
      <c r="B510" s="384" t="s">
        <v>573</v>
      </c>
      <c r="C510" s="387">
        <v>218681</v>
      </c>
      <c r="D510" s="386">
        <v>10</v>
      </c>
      <c r="E510" s="275">
        <v>4652</v>
      </c>
      <c r="F510" s="510">
        <v>4868</v>
      </c>
      <c r="G510" s="275">
        <v>11128</v>
      </c>
      <c r="H510" s="510">
        <v>11780</v>
      </c>
      <c r="I510" s="275"/>
      <c r="J510" s="510"/>
      <c r="K510" s="275"/>
      <c r="L510" s="510"/>
      <c r="M510" s="275"/>
      <c r="N510" s="510"/>
      <c r="O510" s="275"/>
      <c r="P510" s="510"/>
      <c r="Q510" s="275"/>
      <c r="R510" s="510"/>
      <c r="S510" s="275"/>
      <c r="T510" s="510"/>
      <c r="U510" s="275"/>
      <c r="V510" s="510"/>
      <c r="W510" s="275"/>
      <c r="X510" s="510"/>
      <c r="Y510" s="275"/>
      <c r="Z510" s="510"/>
      <c r="AA510" s="275"/>
      <c r="AB510" s="510"/>
      <c r="AC510" s="275"/>
      <c r="AD510" s="510"/>
      <c r="AE510" s="275"/>
      <c r="AF510" s="510"/>
      <c r="AG510" s="275"/>
      <c r="AH510" s="510"/>
      <c r="AI510" s="275"/>
      <c r="AJ510" s="510"/>
      <c r="AK510" s="275"/>
      <c r="AL510" s="510"/>
      <c r="AM510" s="275"/>
      <c r="AN510" s="510"/>
    </row>
    <row r="511" spans="1:40" s="183" customFormat="1" ht="15" customHeight="1">
      <c r="A511" s="381" t="s">
        <v>537</v>
      </c>
      <c r="B511" s="384" t="s">
        <v>574</v>
      </c>
      <c r="C511" s="387">
        <v>218690</v>
      </c>
      <c r="D511" s="386">
        <v>10</v>
      </c>
      <c r="E511" s="275">
        <v>4652</v>
      </c>
      <c r="F511" s="510">
        <v>4868</v>
      </c>
      <c r="G511" s="275">
        <v>11128</v>
      </c>
      <c r="H511" s="510">
        <v>11780</v>
      </c>
      <c r="I511" s="275"/>
      <c r="J511" s="510"/>
      <c r="K511" s="275"/>
      <c r="L511" s="510"/>
      <c r="M511" s="275"/>
      <c r="N511" s="510"/>
      <c r="O511" s="275"/>
      <c r="P511" s="510"/>
      <c r="Q511" s="275"/>
      <c r="R511" s="510"/>
      <c r="S511" s="275"/>
      <c r="T511" s="510"/>
      <c r="U511" s="275"/>
      <c r="V511" s="510"/>
      <c r="W511" s="275"/>
      <c r="X511" s="510"/>
      <c r="Y511" s="275"/>
      <c r="Z511" s="510"/>
      <c r="AA511" s="275"/>
      <c r="AB511" s="510"/>
      <c r="AC511" s="275"/>
      <c r="AD511" s="510"/>
      <c r="AE511" s="275"/>
      <c r="AF511" s="510"/>
      <c r="AG511" s="275"/>
      <c r="AH511" s="510"/>
      <c r="AI511" s="275"/>
      <c r="AJ511" s="510"/>
      <c r="AK511" s="275"/>
      <c r="AL511" s="510"/>
      <c r="AM511" s="275"/>
      <c r="AN511" s="510"/>
    </row>
    <row r="512" spans="1:40" s="183" customFormat="1" ht="15" customHeight="1">
      <c r="A512" s="381" t="s">
        <v>537</v>
      </c>
      <c r="B512" s="384" t="s">
        <v>575</v>
      </c>
      <c r="C512" s="387">
        <v>218706</v>
      </c>
      <c r="D512" s="386">
        <v>10</v>
      </c>
      <c r="E512" s="275">
        <v>4652</v>
      </c>
      <c r="F512" s="510">
        <v>4868</v>
      </c>
      <c r="G512" s="275">
        <v>11128</v>
      </c>
      <c r="H512" s="510">
        <v>11780</v>
      </c>
      <c r="I512" s="275"/>
      <c r="J512" s="510"/>
      <c r="K512" s="275"/>
      <c r="L512" s="510"/>
      <c r="M512" s="275"/>
      <c r="N512" s="510"/>
      <c r="O512" s="275"/>
      <c r="P512" s="510"/>
      <c r="Q512" s="275"/>
      <c r="R512" s="510"/>
      <c r="S512" s="275"/>
      <c r="T512" s="510"/>
      <c r="U512" s="275"/>
      <c r="V512" s="510"/>
      <c r="W512" s="275"/>
      <c r="X512" s="510"/>
      <c r="Y512" s="275"/>
      <c r="Z512" s="510"/>
      <c r="AA512" s="275"/>
      <c r="AB512" s="510"/>
      <c r="AC512" s="275"/>
      <c r="AD512" s="510"/>
      <c r="AE512" s="275"/>
      <c r="AF512" s="510"/>
      <c r="AG512" s="275"/>
      <c r="AH512" s="510"/>
      <c r="AI512" s="275"/>
      <c r="AJ512" s="510"/>
      <c r="AK512" s="275"/>
      <c r="AL512" s="510"/>
      <c r="AM512" s="275"/>
      <c r="AN512" s="510"/>
    </row>
    <row r="513" spans="1:40" s="183" customFormat="1" ht="15" customHeight="1">
      <c r="A513" s="381" t="s">
        <v>537</v>
      </c>
      <c r="B513" s="381" t="s">
        <v>576</v>
      </c>
      <c r="C513" s="382">
        <v>218955</v>
      </c>
      <c r="D513" s="383">
        <v>10</v>
      </c>
      <c r="E513" s="275">
        <v>2830</v>
      </c>
      <c r="F513" s="510">
        <v>2830</v>
      </c>
      <c r="G513" s="275">
        <v>5292</v>
      </c>
      <c r="H513" s="510">
        <v>5292</v>
      </c>
      <c r="I513" s="275"/>
      <c r="J513" s="510"/>
      <c r="K513" s="275"/>
      <c r="L513" s="510"/>
      <c r="M513" s="275"/>
      <c r="N513" s="510"/>
      <c r="O513" s="275"/>
      <c r="P513" s="510"/>
      <c r="Q513" s="275"/>
      <c r="R513" s="510"/>
      <c r="S513" s="275"/>
      <c r="T513" s="510"/>
      <c r="U513" s="275"/>
      <c r="V513" s="510"/>
      <c r="W513" s="275"/>
      <c r="X513" s="510"/>
      <c r="Y513" s="275"/>
      <c r="Z513" s="510"/>
      <c r="AA513" s="275"/>
      <c r="AB513" s="510"/>
      <c r="AC513" s="275"/>
      <c r="AD513" s="510"/>
      <c r="AE513" s="275"/>
      <c r="AF513" s="510"/>
      <c r="AG513" s="275"/>
      <c r="AH513" s="510"/>
      <c r="AI513" s="275"/>
      <c r="AJ513" s="510"/>
      <c r="AK513" s="275"/>
      <c r="AL513" s="510"/>
      <c r="AM513" s="275"/>
      <c r="AN513" s="510"/>
    </row>
    <row r="514" spans="1:40" s="183" customFormat="1" ht="15" customHeight="1">
      <c r="A514" s="381" t="s">
        <v>537</v>
      </c>
      <c r="B514" s="381" t="s">
        <v>577</v>
      </c>
      <c r="C514" s="382">
        <v>218335</v>
      </c>
      <c r="D514" s="383">
        <v>15</v>
      </c>
      <c r="E514" s="275">
        <v>10277</v>
      </c>
      <c r="F514" s="510">
        <v>10790</v>
      </c>
      <c r="G514" s="275">
        <v>19607</v>
      </c>
      <c r="H514" s="510">
        <v>20588</v>
      </c>
      <c r="I514" s="275">
        <v>10609</v>
      </c>
      <c r="J514" s="510">
        <v>11042</v>
      </c>
      <c r="K514" s="275">
        <v>15172</v>
      </c>
      <c r="L514" s="510">
        <v>15814</v>
      </c>
      <c r="M514" s="275"/>
      <c r="N514" s="510"/>
      <c r="O514" s="275"/>
      <c r="P514" s="510"/>
      <c r="Q514" s="275">
        <v>21688</v>
      </c>
      <c r="R514" s="510">
        <v>23270</v>
      </c>
      <c r="S514" s="275">
        <v>61344</v>
      </c>
      <c r="T514" s="510">
        <v>65800</v>
      </c>
      <c r="U514" s="275">
        <v>16272</v>
      </c>
      <c r="V514" s="510">
        <v>19204</v>
      </c>
      <c r="W514" s="275">
        <v>45496</v>
      </c>
      <c r="X514" s="510">
        <v>53686</v>
      </c>
      <c r="Y514" s="275">
        <v>15500</v>
      </c>
      <c r="Z514" s="510">
        <v>16340</v>
      </c>
      <c r="AA514" s="275">
        <v>31000</v>
      </c>
      <c r="AB514" s="510">
        <v>32680</v>
      </c>
      <c r="AC514" s="275"/>
      <c r="AD514" s="510"/>
      <c r="AE514" s="275"/>
      <c r="AF514" s="510"/>
      <c r="AG514" s="275"/>
      <c r="AH514" s="510"/>
      <c r="AI514" s="275"/>
      <c r="AJ514" s="510"/>
      <c r="AK514" s="275"/>
      <c r="AL514" s="510"/>
      <c r="AM514" s="275"/>
      <c r="AN514" s="510"/>
    </row>
    <row r="515" spans="1:40" s="183" customFormat="1" ht="15" customHeight="1">
      <c r="A515" s="408" t="s">
        <v>815</v>
      </c>
      <c r="B515" s="408" t="s">
        <v>578</v>
      </c>
      <c r="C515" s="409">
        <v>221759</v>
      </c>
      <c r="D515" s="409">
        <v>1</v>
      </c>
      <c r="E515" s="275">
        <v>5622</v>
      </c>
      <c r="F515" s="510">
        <v>5932</v>
      </c>
      <c r="G515" s="275">
        <v>17188</v>
      </c>
      <c r="H515" s="510">
        <v>18174</v>
      </c>
      <c r="I515" s="275">
        <v>6366</v>
      </c>
      <c r="J515" s="510">
        <v>6720</v>
      </c>
      <c r="K515" s="275">
        <v>17932</v>
      </c>
      <c r="L515" s="510">
        <v>18962</v>
      </c>
      <c r="M515" s="275">
        <v>9934</v>
      </c>
      <c r="N515" s="510">
        <v>11502</v>
      </c>
      <c r="O515" s="275">
        <v>25290</v>
      </c>
      <c r="P515" s="510">
        <v>27762</v>
      </c>
      <c r="Q515" s="275"/>
      <c r="R515" s="510"/>
      <c r="S515" s="275"/>
      <c r="T515" s="510"/>
      <c r="U515" s="275"/>
      <c r="V515" s="510"/>
      <c r="W515" s="275"/>
      <c r="X515" s="510"/>
      <c r="Y515" s="275"/>
      <c r="Z515" s="510"/>
      <c r="AA515" s="275"/>
      <c r="AB515" s="510"/>
      <c r="AC515" s="275"/>
      <c r="AD515" s="510"/>
      <c r="AE515" s="275"/>
      <c r="AF515" s="510"/>
      <c r="AG515" s="275"/>
      <c r="AH515" s="510"/>
      <c r="AI515" s="275"/>
      <c r="AJ515" s="510"/>
      <c r="AK515" s="275"/>
      <c r="AL515" s="510"/>
      <c r="AM515" s="275"/>
      <c r="AN515" s="510"/>
    </row>
    <row r="516" spans="1:40" s="183" customFormat="1" ht="15" customHeight="1">
      <c r="A516" s="408" t="s">
        <v>815</v>
      </c>
      <c r="B516" s="397" t="s">
        <v>579</v>
      </c>
      <c r="C516" s="409">
        <v>220862</v>
      </c>
      <c r="D516" s="409">
        <v>2</v>
      </c>
      <c r="E516" s="275">
        <v>5256</v>
      </c>
      <c r="F516" s="510">
        <v>5802</v>
      </c>
      <c r="G516" s="275">
        <v>15472</v>
      </c>
      <c r="H516" s="510">
        <v>16630</v>
      </c>
      <c r="I516" s="275">
        <v>6372</v>
      </c>
      <c r="J516" s="510">
        <v>6990</v>
      </c>
      <c r="K516" s="275">
        <v>16588</v>
      </c>
      <c r="L516" s="510">
        <v>17818</v>
      </c>
      <c r="M516" s="275">
        <v>10116</v>
      </c>
      <c r="N516" s="510">
        <v>10932</v>
      </c>
      <c r="O516" s="275">
        <v>28216</v>
      </c>
      <c r="P516" s="510">
        <v>30118</v>
      </c>
      <c r="Q516" s="275"/>
      <c r="R516" s="510"/>
      <c r="S516" s="275"/>
      <c r="T516" s="510"/>
      <c r="U516" s="275"/>
      <c r="V516" s="510"/>
      <c r="W516" s="275"/>
      <c r="X516" s="510"/>
      <c r="Y516" s="275"/>
      <c r="Z516" s="510"/>
      <c r="AA516" s="275"/>
      <c r="AB516" s="510"/>
      <c r="AC516" s="275"/>
      <c r="AD516" s="510"/>
      <c r="AE516" s="275"/>
      <c r="AF516" s="510"/>
      <c r="AG516" s="275"/>
      <c r="AH516" s="510"/>
      <c r="AI516" s="275"/>
      <c r="AJ516" s="510"/>
      <c r="AK516" s="275"/>
      <c r="AL516" s="510"/>
      <c r="AM516" s="275"/>
      <c r="AN516" s="510"/>
    </row>
    <row r="517" spans="1:40" s="183" customFormat="1" ht="15" customHeight="1">
      <c r="A517" s="408" t="s">
        <v>815</v>
      </c>
      <c r="B517" s="408" t="s">
        <v>580</v>
      </c>
      <c r="C517" s="409">
        <v>220075</v>
      </c>
      <c r="D517" s="409">
        <v>3</v>
      </c>
      <c r="E517" s="275">
        <v>4637</v>
      </c>
      <c r="F517" s="510">
        <v>4887</v>
      </c>
      <c r="G517" s="275">
        <v>14331</v>
      </c>
      <c r="H517" s="510">
        <v>15163</v>
      </c>
      <c r="I517" s="275">
        <v>5947</v>
      </c>
      <c r="J517" s="510">
        <v>6275</v>
      </c>
      <c r="K517" s="275">
        <v>15641</v>
      </c>
      <c r="L517" s="510">
        <v>16551</v>
      </c>
      <c r="M517" s="275"/>
      <c r="N517" s="510"/>
      <c r="O517" s="275"/>
      <c r="P517" s="510"/>
      <c r="Q517" s="275">
        <v>19843</v>
      </c>
      <c r="R517" s="510">
        <v>21005</v>
      </c>
      <c r="S517" s="275">
        <v>39607</v>
      </c>
      <c r="T517" s="510">
        <v>41955</v>
      </c>
      <c r="U517" s="275"/>
      <c r="V517" s="510"/>
      <c r="W517" s="275"/>
      <c r="X517" s="510"/>
      <c r="Y517" s="275"/>
      <c r="Z517" s="510"/>
      <c r="AA517" s="275"/>
      <c r="AB517" s="510"/>
      <c r="AC517" s="275"/>
      <c r="AD517" s="510"/>
      <c r="AE517" s="275"/>
      <c r="AF517" s="510"/>
      <c r="AG517" s="275"/>
      <c r="AH517" s="510"/>
      <c r="AI517" s="275"/>
      <c r="AJ517" s="510"/>
      <c r="AK517" s="275"/>
      <c r="AL517" s="510"/>
      <c r="AM517" s="275"/>
      <c r="AN517" s="510"/>
    </row>
    <row r="518" spans="1:40" s="183" customFormat="1" ht="15" customHeight="1">
      <c r="A518" s="408" t="s">
        <v>815</v>
      </c>
      <c r="B518" s="408" t="s">
        <v>581</v>
      </c>
      <c r="C518" s="409">
        <v>220978</v>
      </c>
      <c r="D518" s="409">
        <v>3</v>
      </c>
      <c r="E518" s="275">
        <v>4766</v>
      </c>
      <c r="F518" s="510">
        <v>5278</v>
      </c>
      <c r="G518" s="275">
        <v>14460</v>
      </c>
      <c r="H518" s="510">
        <v>15554</v>
      </c>
      <c r="I518" s="275">
        <v>6076</v>
      </c>
      <c r="J518" s="510">
        <v>6666</v>
      </c>
      <c r="K518" s="275">
        <v>15770</v>
      </c>
      <c r="L518" s="510">
        <v>16942</v>
      </c>
      <c r="M518" s="275"/>
      <c r="N518" s="510"/>
      <c r="O518" s="275"/>
      <c r="P518" s="510"/>
      <c r="Q518" s="275"/>
      <c r="R518" s="510"/>
      <c r="S518" s="275"/>
      <c r="T518" s="510"/>
      <c r="U518" s="275"/>
      <c r="V518" s="510"/>
      <c r="W518" s="275"/>
      <c r="X518" s="510"/>
      <c r="Y518" s="275"/>
      <c r="Z518" s="510"/>
      <c r="AA518" s="275"/>
      <c r="AB518" s="510"/>
      <c r="AC518" s="275"/>
      <c r="AD518" s="510"/>
      <c r="AE518" s="275"/>
      <c r="AF518" s="510"/>
      <c r="AG518" s="275"/>
      <c r="AH518" s="510"/>
      <c r="AI518" s="275"/>
      <c r="AJ518" s="510"/>
      <c r="AK518" s="275"/>
      <c r="AL518" s="510"/>
      <c r="AM518" s="275"/>
      <c r="AN518" s="510"/>
    </row>
    <row r="519" spans="1:40" s="183" customFormat="1" ht="15" customHeight="1">
      <c r="A519" s="408" t="s">
        <v>815</v>
      </c>
      <c r="B519" s="408" t="s">
        <v>582</v>
      </c>
      <c r="C519" s="409">
        <v>221838</v>
      </c>
      <c r="D519" s="409">
        <v>3</v>
      </c>
      <c r="E519" s="275">
        <v>4534</v>
      </c>
      <c r="F519" s="510">
        <v>4856</v>
      </c>
      <c r="G519" s="275">
        <v>14228</v>
      </c>
      <c r="H519" s="510">
        <v>15132</v>
      </c>
      <c r="I519" s="275">
        <v>5844</v>
      </c>
      <c r="J519" s="510">
        <v>6244</v>
      </c>
      <c r="K519" s="275">
        <v>15538</v>
      </c>
      <c r="L519" s="510">
        <v>16520</v>
      </c>
      <c r="M519" s="275"/>
      <c r="N519" s="510"/>
      <c r="O519" s="275"/>
      <c r="P519" s="510"/>
      <c r="Q519" s="275"/>
      <c r="R519" s="510"/>
      <c r="S519" s="275"/>
      <c r="T519" s="510"/>
      <c r="U519" s="275"/>
      <c r="V519" s="510"/>
      <c r="W519" s="275"/>
      <c r="X519" s="510"/>
      <c r="Y519" s="275"/>
      <c r="Z519" s="510"/>
      <c r="AA519" s="275"/>
      <c r="AB519" s="510"/>
      <c r="AC519" s="275"/>
      <c r="AD519" s="510"/>
      <c r="AE519" s="275"/>
      <c r="AF519" s="510"/>
      <c r="AG519" s="275"/>
      <c r="AH519" s="510"/>
      <c r="AI519" s="275"/>
      <c r="AJ519" s="510"/>
      <c r="AK519" s="275"/>
      <c r="AL519" s="510"/>
      <c r="AM519" s="275"/>
      <c r="AN519" s="510"/>
    </row>
    <row r="520" spans="1:40" s="183" customFormat="1" ht="15" customHeight="1">
      <c r="A520" s="408" t="s">
        <v>815</v>
      </c>
      <c r="B520" s="408" t="s">
        <v>583</v>
      </c>
      <c r="C520" s="409">
        <v>221740</v>
      </c>
      <c r="D520" s="409">
        <v>3</v>
      </c>
      <c r="E520" s="275">
        <v>4688</v>
      </c>
      <c r="F520" s="510">
        <v>5062</v>
      </c>
      <c r="G520" s="275">
        <v>14086</v>
      </c>
      <c r="H520" s="510">
        <v>15024</v>
      </c>
      <c r="I520" s="275">
        <v>5434</v>
      </c>
      <c r="J520" s="510">
        <v>5854</v>
      </c>
      <c r="K520" s="275">
        <v>14832</v>
      </c>
      <c r="L520" s="510">
        <v>15816</v>
      </c>
      <c r="M520" s="275"/>
      <c r="N520" s="510"/>
      <c r="O520" s="275"/>
      <c r="P520" s="510"/>
      <c r="Q520" s="275"/>
      <c r="R520" s="510"/>
      <c r="S520" s="275"/>
      <c r="T520" s="510"/>
      <c r="U520" s="275"/>
      <c r="V520" s="510"/>
      <c r="W520" s="275"/>
      <c r="X520" s="510"/>
      <c r="Y520" s="275"/>
      <c r="Z520" s="510"/>
      <c r="AA520" s="275"/>
      <c r="AB520" s="510"/>
      <c r="AC520" s="275"/>
      <c r="AD520" s="510"/>
      <c r="AE520" s="275"/>
      <c r="AF520" s="510"/>
      <c r="AG520" s="275"/>
      <c r="AH520" s="510"/>
      <c r="AI520" s="275"/>
      <c r="AJ520" s="510"/>
      <c r="AK520" s="275"/>
      <c r="AL520" s="510"/>
      <c r="AM520" s="275"/>
      <c r="AN520" s="510"/>
    </row>
    <row r="521" spans="1:40" s="183" customFormat="1" ht="15" customHeight="1">
      <c r="A521" s="408" t="s">
        <v>815</v>
      </c>
      <c r="B521" s="408" t="s">
        <v>584</v>
      </c>
      <c r="C521" s="409">
        <v>219602</v>
      </c>
      <c r="D521" s="409">
        <v>4</v>
      </c>
      <c r="E521" s="275">
        <v>4837</v>
      </c>
      <c r="F521" s="510">
        <v>5238</v>
      </c>
      <c r="G521" s="275">
        <v>14531</v>
      </c>
      <c r="H521" s="510">
        <v>15514</v>
      </c>
      <c r="I521" s="275">
        <v>6147</v>
      </c>
      <c r="J521" s="510">
        <v>6626</v>
      </c>
      <c r="K521" s="275">
        <v>15841</v>
      </c>
      <c r="L521" s="510">
        <v>16902</v>
      </c>
      <c r="M521" s="275"/>
      <c r="N521" s="510"/>
      <c r="O521" s="275"/>
      <c r="P521" s="510"/>
      <c r="Q521" s="275"/>
      <c r="R521" s="510"/>
      <c r="S521" s="275"/>
      <c r="T521" s="510"/>
      <c r="U521" s="275"/>
      <c r="V521" s="510"/>
      <c r="W521" s="275"/>
      <c r="X521" s="510"/>
      <c r="Y521" s="275"/>
      <c r="Z521" s="510"/>
      <c r="AA521" s="275"/>
      <c r="AB521" s="510"/>
      <c r="AC521" s="275"/>
      <c r="AD521" s="510"/>
      <c r="AE521" s="275"/>
      <c r="AF521" s="510"/>
      <c r="AG521" s="275"/>
      <c r="AH521" s="510"/>
      <c r="AI521" s="275"/>
      <c r="AJ521" s="510"/>
      <c r="AK521" s="275"/>
      <c r="AL521" s="510"/>
      <c r="AM521" s="275"/>
      <c r="AN521" s="510"/>
    </row>
    <row r="522" spans="1:40" s="183" customFormat="1" ht="15" customHeight="1">
      <c r="A522" s="408" t="s">
        <v>815</v>
      </c>
      <c r="B522" s="397" t="s">
        <v>585</v>
      </c>
      <c r="C522" s="409">
        <v>221847</v>
      </c>
      <c r="D522" s="409">
        <v>4</v>
      </c>
      <c r="E522" s="275">
        <v>4562</v>
      </c>
      <c r="F522" s="510">
        <v>4980</v>
      </c>
      <c r="G522" s="275">
        <v>14256</v>
      </c>
      <c r="H522" s="510">
        <v>15256</v>
      </c>
      <c r="I522" s="275">
        <v>5872</v>
      </c>
      <c r="J522" s="510">
        <v>6368</v>
      </c>
      <c r="K522" s="275">
        <v>15566</v>
      </c>
      <c r="L522" s="510">
        <v>16644</v>
      </c>
      <c r="M522" s="275"/>
      <c r="N522" s="510"/>
      <c r="O522" s="275"/>
      <c r="P522" s="510"/>
      <c r="Q522" s="275"/>
      <c r="R522" s="510"/>
      <c r="S522" s="275"/>
      <c r="T522" s="510"/>
      <c r="U522" s="275"/>
      <c r="V522" s="510"/>
      <c r="W522" s="275"/>
      <c r="X522" s="510"/>
      <c r="Y522" s="275"/>
      <c r="Z522" s="510"/>
      <c r="AA522" s="275"/>
      <c r="AB522" s="510"/>
      <c r="AC522" s="275"/>
      <c r="AD522" s="510"/>
      <c r="AE522" s="275"/>
      <c r="AF522" s="510"/>
      <c r="AG522" s="275"/>
      <c r="AH522" s="510"/>
      <c r="AI522" s="275"/>
      <c r="AJ522" s="510"/>
      <c r="AK522" s="275"/>
      <c r="AL522" s="510"/>
      <c r="AM522" s="275"/>
      <c r="AN522" s="510"/>
    </row>
    <row r="523" spans="1:40" s="183" customFormat="1" ht="15" customHeight="1">
      <c r="A523" s="408" t="s">
        <v>815</v>
      </c>
      <c r="B523" s="408" t="s">
        <v>586</v>
      </c>
      <c r="C523" s="409">
        <v>221768</v>
      </c>
      <c r="D523" s="409">
        <v>5</v>
      </c>
      <c r="E523" s="275">
        <v>4665</v>
      </c>
      <c r="F523" s="510">
        <v>5005</v>
      </c>
      <c r="G523" s="275">
        <v>14137</v>
      </c>
      <c r="H523" s="510">
        <v>15045</v>
      </c>
      <c r="I523" s="275">
        <v>5400</v>
      </c>
      <c r="J523" s="510">
        <v>5803</v>
      </c>
      <c r="K523" s="275">
        <v>14872</v>
      </c>
      <c r="L523" s="510">
        <v>15843</v>
      </c>
      <c r="M523" s="275"/>
      <c r="N523" s="510"/>
      <c r="O523" s="275"/>
      <c r="P523" s="510"/>
      <c r="Q523" s="275"/>
      <c r="R523" s="510"/>
      <c r="S523" s="275"/>
      <c r="T523" s="510"/>
      <c r="U523" s="275"/>
      <c r="V523" s="510"/>
      <c r="W523" s="275"/>
      <c r="X523" s="510"/>
      <c r="Y523" s="275"/>
      <c r="Z523" s="510"/>
      <c r="AA523" s="275"/>
      <c r="AB523" s="510"/>
      <c r="AC523" s="275"/>
      <c r="AD523" s="510"/>
      <c r="AE523" s="275"/>
      <c r="AF523" s="510"/>
      <c r="AG523" s="275"/>
      <c r="AH523" s="510"/>
      <c r="AI523" s="275"/>
      <c r="AJ523" s="510"/>
      <c r="AK523" s="275"/>
      <c r="AL523" s="510"/>
      <c r="AM523" s="275"/>
      <c r="AN523" s="510"/>
    </row>
    <row r="524" spans="1:40" s="183" customFormat="1" ht="15" customHeight="1">
      <c r="A524" s="408" t="s">
        <v>815</v>
      </c>
      <c r="B524" s="408" t="s">
        <v>587</v>
      </c>
      <c r="C524" s="409">
        <v>219824</v>
      </c>
      <c r="D524" s="409">
        <v>8</v>
      </c>
      <c r="E524" s="275">
        <v>2507</v>
      </c>
      <c r="F524" s="510">
        <v>2641</v>
      </c>
      <c r="G524" s="275">
        <v>9183</v>
      </c>
      <c r="H524" s="510">
        <v>9717</v>
      </c>
      <c r="I524" s="275"/>
      <c r="J524" s="510"/>
      <c r="K524" s="275"/>
      <c r="L524" s="510"/>
      <c r="M524" s="275"/>
      <c r="N524" s="510"/>
      <c r="O524" s="275"/>
      <c r="P524" s="510"/>
      <c r="Q524" s="275"/>
      <c r="R524" s="510"/>
      <c r="S524" s="275"/>
      <c r="T524" s="510"/>
      <c r="U524" s="275"/>
      <c r="V524" s="510"/>
      <c r="W524" s="275"/>
      <c r="X524" s="510"/>
      <c r="Y524" s="275"/>
      <c r="Z524" s="510"/>
      <c r="AA524" s="275"/>
      <c r="AB524" s="510"/>
      <c r="AC524" s="275"/>
      <c r="AD524" s="510"/>
      <c r="AE524" s="275"/>
      <c r="AF524" s="510"/>
      <c r="AG524" s="275"/>
      <c r="AH524" s="510"/>
      <c r="AI524" s="275"/>
      <c r="AJ524" s="510"/>
      <c r="AK524" s="275"/>
      <c r="AL524" s="510"/>
      <c r="AM524" s="275"/>
      <c r="AN524" s="510"/>
    </row>
    <row r="525" spans="1:40" s="183" customFormat="1" ht="15" customHeight="1">
      <c r="A525" s="408" t="s">
        <v>815</v>
      </c>
      <c r="B525" s="408" t="s">
        <v>588</v>
      </c>
      <c r="C525" s="409">
        <v>221643</v>
      </c>
      <c r="D525" s="409">
        <v>8</v>
      </c>
      <c r="E525" s="275">
        <v>2503</v>
      </c>
      <c r="F525" s="510">
        <v>2657</v>
      </c>
      <c r="G525" s="275">
        <v>9179</v>
      </c>
      <c r="H525" s="510">
        <v>9733</v>
      </c>
      <c r="I525" s="275"/>
      <c r="J525" s="510"/>
      <c r="K525" s="275"/>
      <c r="L525" s="510"/>
      <c r="M525" s="275"/>
      <c r="N525" s="510"/>
      <c r="O525" s="275"/>
      <c r="P525" s="510"/>
      <c r="Q525" s="275"/>
      <c r="R525" s="510"/>
      <c r="S525" s="275"/>
      <c r="T525" s="510"/>
      <c r="U525" s="275"/>
      <c r="V525" s="510"/>
      <c r="W525" s="275"/>
      <c r="X525" s="510"/>
      <c r="Y525" s="275"/>
      <c r="Z525" s="510"/>
      <c r="AA525" s="275"/>
      <c r="AB525" s="510"/>
      <c r="AC525" s="275"/>
      <c r="AD525" s="510"/>
      <c r="AE525" s="275"/>
      <c r="AF525" s="510"/>
      <c r="AG525" s="275"/>
      <c r="AH525" s="510"/>
      <c r="AI525" s="275"/>
      <c r="AJ525" s="510"/>
      <c r="AK525" s="275"/>
      <c r="AL525" s="510"/>
      <c r="AM525" s="275"/>
      <c r="AN525" s="510"/>
    </row>
    <row r="526" spans="1:40" s="183" customFormat="1" ht="15" customHeight="1">
      <c r="A526" s="408" t="s">
        <v>815</v>
      </c>
      <c r="B526" s="408" t="s">
        <v>589</v>
      </c>
      <c r="C526" s="409">
        <v>221485</v>
      </c>
      <c r="D526" s="409">
        <v>8</v>
      </c>
      <c r="E526" s="275">
        <v>2485</v>
      </c>
      <c r="F526" s="510">
        <v>2649</v>
      </c>
      <c r="G526" s="275">
        <v>9161</v>
      </c>
      <c r="H526" s="510">
        <v>9725</v>
      </c>
      <c r="I526" s="275"/>
      <c r="J526" s="510"/>
      <c r="K526" s="275"/>
      <c r="L526" s="510"/>
      <c r="M526" s="275"/>
      <c r="N526" s="510"/>
      <c r="O526" s="275"/>
      <c r="P526" s="510"/>
      <c r="Q526" s="275"/>
      <c r="R526" s="510"/>
      <c r="S526" s="275"/>
      <c r="T526" s="510"/>
      <c r="U526" s="275"/>
      <c r="V526" s="510"/>
      <c r="W526" s="275"/>
      <c r="X526" s="510"/>
      <c r="Y526" s="275"/>
      <c r="Z526" s="510"/>
      <c r="AA526" s="275"/>
      <c r="AB526" s="510"/>
      <c r="AC526" s="275"/>
      <c r="AD526" s="510"/>
      <c r="AE526" s="275"/>
      <c r="AF526" s="510"/>
      <c r="AG526" s="275"/>
      <c r="AH526" s="510"/>
      <c r="AI526" s="275"/>
      <c r="AJ526" s="510"/>
      <c r="AK526" s="275"/>
      <c r="AL526" s="510"/>
      <c r="AM526" s="275"/>
      <c r="AN526" s="510"/>
    </row>
    <row r="527" spans="1:40" s="183" customFormat="1" ht="15" customHeight="1">
      <c r="A527" s="408" t="s">
        <v>815</v>
      </c>
      <c r="B527" s="408" t="s">
        <v>590</v>
      </c>
      <c r="C527" s="409">
        <v>219879</v>
      </c>
      <c r="D527" s="409">
        <v>9</v>
      </c>
      <c r="E527" s="275">
        <v>2483</v>
      </c>
      <c r="F527" s="510">
        <v>2627</v>
      </c>
      <c r="G527" s="275">
        <v>9159</v>
      </c>
      <c r="H527" s="510">
        <v>9703</v>
      </c>
      <c r="I527" s="275"/>
      <c r="J527" s="510"/>
      <c r="K527" s="275"/>
      <c r="L527" s="510"/>
      <c r="M527" s="275"/>
      <c r="N527" s="510"/>
      <c r="O527" s="275"/>
      <c r="P527" s="510"/>
      <c r="Q527" s="275"/>
      <c r="R527" s="510"/>
      <c r="S527" s="275"/>
      <c r="T527" s="510"/>
      <c r="U527" s="275"/>
      <c r="V527" s="510"/>
      <c r="W527" s="275"/>
      <c r="X527" s="510"/>
      <c r="Y527" s="275"/>
      <c r="Z527" s="510"/>
      <c r="AA527" s="275"/>
      <c r="AB527" s="510"/>
      <c r="AC527" s="275"/>
      <c r="AD527" s="510"/>
      <c r="AE527" s="275"/>
      <c r="AF527" s="510"/>
      <c r="AG527" s="275"/>
      <c r="AH527" s="510"/>
      <c r="AI527" s="275"/>
      <c r="AJ527" s="510"/>
      <c r="AK527" s="275"/>
      <c r="AL527" s="510"/>
      <c r="AM527" s="275"/>
      <c r="AN527" s="510"/>
    </row>
    <row r="528" spans="1:40" s="183" customFormat="1" ht="15" customHeight="1">
      <c r="A528" s="408" t="s">
        <v>815</v>
      </c>
      <c r="B528" s="408" t="s">
        <v>591</v>
      </c>
      <c r="C528" s="409">
        <v>219888</v>
      </c>
      <c r="D528" s="409">
        <v>9</v>
      </c>
      <c r="E528" s="275">
        <v>2471</v>
      </c>
      <c r="F528" s="510">
        <v>2605</v>
      </c>
      <c r="G528" s="275">
        <v>9147</v>
      </c>
      <c r="H528" s="510">
        <v>9681</v>
      </c>
      <c r="I528" s="275"/>
      <c r="J528" s="510"/>
      <c r="K528" s="275"/>
      <c r="L528" s="510"/>
      <c r="M528" s="275"/>
      <c r="N528" s="510"/>
      <c r="O528" s="275"/>
      <c r="P528" s="510"/>
      <c r="Q528" s="275"/>
      <c r="R528" s="510"/>
      <c r="S528" s="275"/>
      <c r="T528" s="510"/>
      <c r="U528" s="275"/>
      <c r="V528" s="510"/>
      <c r="W528" s="275"/>
      <c r="X528" s="510"/>
      <c r="Y528" s="275"/>
      <c r="Z528" s="510"/>
      <c r="AA528" s="275"/>
      <c r="AB528" s="510"/>
      <c r="AC528" s="275"/>
      <c r="AD528" s="510"/>
      <c r="AE528" s="275"/>
      <c r="AF528" s="510"/>
      <c r="AG528" s="275"/>
      <c r="AH528" s="510"/>
      <c r="AI528" s="275"/>
      <c r="AJ528" s="510"/>
      <c r="AK528" s="275"/>
      <c r="AL528" s="510"/>
      <c r="AM528" s="275"/>
      <c r="AN528" s="510"/>
    </row>
    <row r="529" spans="1:40" s="183" customFormat="1" ht="15" customHeight="1">
      <c r="A529" s="408" t="s">
        <v>815</v>
      </c>
      <c r="B529" s="408" t="s">
        <v>592</v>
      </c>
      <c r="C529" s="409">
        <v>220400</v>
      </c>
      <c r="D529" s="409">
        <v>9</v>
      </c>
      <c r="E529" s="275">
        <v>2483</v>
      </c>
      <c r="F529" s="510">
        <v>2617</v>
      </c>
      <c r="G529" s="275">
        <v>9159</v>
      </c>
      <c r="H529" s="510">
        <v>9693</v>
      </c>
      <c r="I529" s="275"/>
      <c r="J529" s="510"/>
      <c r="K529" s="275"/>
      <c r="L529" s="510"/>
      <c r="M529" s="275"/>
      <c r="N529" s="510"/>
      <c r="O529" s="275"/>
      <c r="P529" s="510"/>
      <c r="Q529" s="275"/>
      <c r="R529" s="510"/>
      <c r="S529" s="275"/>
      <c r="T529" s="510"/>
      <c r="U529" s="275"/>
      <c r="V529" s="510"/>
      <c r="W529" s="275"/>
      <c r="X529" s="510"/>
      <c r="Y529" s="275"/>
      <c r="Z529" s="510"/>
      <c r="AA529" s="275"/>
      <c r="AB529" s="510"/>
      <c r="AC529" s="275"/>
      <c r="AD529" s="510"/>
      <c r="AE529" s="275"/>
      <c r="AF529" s="510"/>
      <c r="AG529" s="275"/>
      <c r="AH529" s="510"/>
      <c r="AI529" s="275"/>
      <c r="AJ529" s="510"/>
      <c r="AK529" s="275"/>
      <c r="AL529" s="510"/>
      <c r="AM529" s="275"/>
      <c r="AN529" s="510"/>
    </row>
    <row r="530" spans="1:40" s="183" customFormat="1" ht="15" customHeight="1">
      <c r="A530" s="408" t="s">
        <v>815</v>
      </c>
      <c r="B530" s="408" t="s">
        <v>593</v>
      </c>
      <c r="C530" s="409">
        <v>221096</v>
      </c>
      <c r="D530" s="409">
        <v>9</v>
      </c>
      <c r="E530" s="275">
        <v>2479</v>
      </c>
      <c r="F530" s="510">
        <v>2623</v>
      </c>
      <c r="G530" s="275">
        <v>9155</v>
      </c>
      <c r="H530" s="510">
        <v>9699</v>
      </c>
      <c r="I530" s="275"/>
      <c r="J530" s="510"/>
      <c r="K530" s="275"/>
      <c r="L530" s="510"/>
      <c r="M530" s="275"/>
      <c r="N530" s="510"/>
      <c r="O530" s="275"/>
      <c r="P530" s="510"/>
      <c r="Q530" s="275"/>
      <c r="R530" s="510"/>
      <c r="S530" s="275"/>
      <c r="T530" s="510"/>
      <c r="U530" s="275"/>
      <c r="V530" s="510"/>
      <c r="W530" s="275"/>
      <c r="X530" s="510"/>
      <c r="Y530" s="275"/>
      <c r="Z530" s="510"/>
      <c r="AA530" s="275"/>
      <c r="AB530" s="510"/>
      <c r="AC530" s="275"/>
      <c r="AD530" s="510"/>
      <c r="AE530" s="275"/>
      <c r="AF530" s="510"/>
      <c r="AG530" s="275"/>
      <c r="AH530" s="510"/>
      <c r="AI530" s="275"/>
      <c r="AJ530" s="510"/>
      <c r="AK530" s="275"/>
      <c r="AL530" s="510"/>
      <c r="AM530" s="275"/>
      <c r="AN530" s="510"/>
    </row>
    <row r="531" spans="1:40" s="183" customFormat="1" ht="15" customHeight="1">
      <c r="A531" s="408" t="s">
        <v>815</v>
      </c>
      <c r="B531" s="397" t="s">
        <v>258</v>
      </c>
      <c r="C531" s="409">
        <v>221184</v>
      </c>
      <c r="D531" s="409">
        <v>9</v>
      </c>
      <c r="E531" s="275">
        <v>2455</v>
      </c>
      <c r="F531" s="510">
        <v>2589</v>
      </c>
      <c r="G531" s="275">
        <v>9131</v>
      </c>
      <c r="H531" s="510">
        <v>9665</v>
      </c>
      <c r="I531" s="275"/>
      <c r="J531" s="510"/>
      <c r="K531" s="275"/>
      <c r="L531" s="510"/>
      <c r="M531" s="275"/>
      <c r="N531" s="510"/>
      <c r="O531" s="275"/>
      <c r="P531" s="510"/>
      <c r="Q531" s="275"/>
      <c r="R531" s="510"/>
      <c r="S531" s="275"/>
      <c r="T531" s="510"/>
      <c r="U531" s="275"/>
      <c r="V531" s="510"/>
      <c r="W531" s="275"/>
      <c r="X531" s="510"/>
      <c r="Y531" s="275"/>
      <c r="Z531" s="510"/>
      <c r="AA531" s="275"/>
      <c r="AB531" s="510"/>
      <c r="AC531" s="275"/>
      <c r="AD531" s="510"/>
      <c r="AE531" s="275"/>
      <c r="AF531" s="510"/>
      <c r="AG531" s="275"/>
      <c r="AH531" s="510"/>
      <c r="AI531" s="275"/>
      <c r="AJ531" s="510"/>
      <c r="AK531" s="275"/>
      <c r="AL531" s="510"/>
      <c r="AM531" s="275"/>
      <c r="AN531" s="510"/>
    </row>
    <row r="532" spans="1:40" s="183" customFormat="1" ht="15" customHeight="1">
      <c r="A532" s="408" t="s">
        <v>815</v>
      </c>
      <c r="B532" s="408" t="s">
        <v>259</v>
      </c>
      <c r="C532" s="409">
        <v>221908</v>
      </c>
      <c r="D532" s="409">
        <v>9</v>
      </c>
      <c r="E532" s="275">
        <v>2491</v>
      </c>
      <c r="F532" s="510">
        <v>2625</v>
      </c>
      <c r="G532" s="275">
        <v>9167</v>
      </c>
      <c r="H532" s="510">
        <v>9701</v>
      </c>
      <c r="I532" s="275"/>
      <c r="J532" s="510"/>
      <c r="K532" s="275"/>
      <c r="L532" s="510"/>
      <c r="M532" s="275"/>
      <c r="N532" s="510"/>
      <c r="O532" s="275"/>
      <c r="P532" s="510"/>
      <c r="Q532" s="275"/>
      <c r="R532" s="510"/>
      <c r="S532" s="275"/>
      <c r="T532" s="510"/>
      <c r="U532" s="275"/>
      <c r="V532" s="510"/>
      <c r="W532" s="275"/>
      <c r="X532" s="510"/>
      <c r="Y532" s="275"/>
      <c r="Z532" s="510"/>
      <c r="AA532" s="275"/>
      <c r="AB532" s="510"/>
      <c r="AC532" s="275"/>
      <c r="AD532" s="510"/>
      <c r="AE532" s="275"/>
      <c r="AF532" s="510"/>
      <c r="AG532" s="275"/>
      <c r="AH532" s="510"/>
      <c r="AI532" s="275"/>
      <c r="AJ532" s="510"/>
      <c r="AK532" s="275"/>
      <c r="AL532" s="510"/>
      <c r="AM532" s="275"/>
      <c r="AN532" s="510"/>
    </row>
    <row r="533" spans="1:40" s="183" customFormat="1" ht="15" customHeight="1">
      <c r="A533" s="408" t="s">
        <v>815</v>
      </c>
      <c r="B533" s="408" t="s">
        <v>260</v>
      </c>
      <c r="C533" s="409">
        <v>221397</v>
      </c>
      <c r="D533" s="409">
        <v>9</v>
      </c>
      <c r="E533" s="275">
        <v>2485</v>
      </c>
      <c r="F533" s="510">
        <v>2645</v>
      </c>
      <c r="G533" s="275">
        <v>9161</v>
      </c>
      <c r="H533" s="510">
        <v>9721</v>
      </c>
      <c r="I533" s="275"/>
      <c r="J533" s="510"/>
      <c r="K533" s="275"/>
      <c r="L533" s="510"/>
      <c r="M533" s="275"/>
      <c r="N533" s="510"/>
      <c r="O533" s="275"/>
      <c r="P533" s="510"/>
      <c r="Q533" s="275"/>
      <c r="R533" s="510"/>
      <c r="S533" s="275"/>
      <c r="T533" s="510"/>
      <c r="U533" s="275"/>
      <c r="V533" s="510"/>
      <c r="W533" s="275"/>
      <c r="X533" s="510"/>
      <c r="Y533" s="275"/>
      <c r="Z533" s="510"/>
      <c r="AA533" s="275"/>
      <c r="AB533" s="510"/>
      <c r="AC533" s="275"/>
      <c r="AD533" s="510"/>
      <c r="AE533" s="275"/>
      <c r="AF533" s="510"/>
      <c r="AG533" s="275"/>
      <c r="AH533" s="510"/>
      <c r="AI533" s="275"/>
      <c r="AJ533" s="510"/>
      <c r="AK533" s="275"/>
      <c r="AL533" s="510"/>
      <c r="AM533" s="275"/>
      <c r="AN533" s="510"/>
    </row>
    <row r="534" spans="1:40" s="183" customFormat="1" ht="15" customHeight="1">
      <c r="A534" s="408" t="s">
        <v>815</v>
      </c>
      <c r="B534" s="408" t="s">
        <v>193</v>
      </c>
      <c r="C534" s="409">
        <v>222053</v>
      </c>
      <c r="D534" s="409">
        <v>9</v>
      </c>
      <c r="E534" s="275">
        <v>2471</v>
      </c>
      <c r="F534" s="510">
        <v>2625</v>
      </c>
      <c r="G534" s="275">
        <v>9147</v>
      </c>
      <c r="H534" s="510">
        <v>9701</v>
      </c>
      <c r="I534" s="275"/>
      <c r="J534" s="510"/>
      <c r="K534" s="275"/>
      <c r="L534" s="510"/>
      <c r="M534" s="275"/>
      <c r="N534" s="510"/>
      <c r="O534" s="275"/>
      <c r="P534" s="510"/>
      <c r="Q534" s="275"/>
      <c r="R534" s="510"/>
      <c r="S534" s="275"/>
      <c r="T534" s="510"/>
      <c r="U534" s="275"/>
      <c r="V534" s="510"/>
      <c r="W534" s="275"/>
      <c r="X534" s="510"/>
      <c r="Y534" s="275"/>
      <c r="Z534" s="510"/>
      <c r="AA534" s="275"/>
      <c r="AB534" s="510"/>
      <c r="AC534" s="275"/>
      <c r="AD534" s="510"/>
      <c r="AE534" s="275"/>
      <c r="AF534" s="510"/>
      <c r="AG534" s="275"/>
      <c r="AH534" s="510"/>
      <c r="AI534" s="275"/>
      <c r="AJ534" s="510"/>
      <c r="AK534" s="275"/>
      <c r="AL534" s="510"/>
      <c r="AM534" s="275"/>
      <c r="AN534" s="510"/>
    </row>
    <row r="535" spans="1:40" s="183" customFormat="1" ht="15" customHeight="1">
      <c r="A535" s="408" t="s">
        <v>815</v>
      </c>
      <c r="B535" s="408" t="s">
        <v>194</v>
      </c>
      <c r="C535" s="409">
        <v>222062</v>
      </c>
      <c r="D535" s="409">
        <v>9</v>
      </c>
      <c r="E535" s="275">
        <v>2469</v>
      </c>
      <c r="F535" s="510">
        <v>2627</v>
      </c>
      <c r="G535" s="275">
        <v>9145</v>
      </c>
      <c r="H535" s="510">
        <v>9703</v>
      </c>
      <c r="I535" s="275"/>
      <c r="J535" s="510"/>
      <c r="K535" s="275"/>
      <c r="L535" s="510"/>
      <c r="M535" s="275"/>
      <c r="N535" s="510"/>
      <c r="O535" s="275"/>
      <c r="P535" s="510"/>
      <c r="Q535" s="275"/>
      <c r="R535" s="510"/>
      <c r="S535" s="275"/>
      <c r="T535" s="510"/>
      <c r="U535" s="275"/>
      <c r="V535" s="510"/>
      <c r="W535" s="275"/>
      <c r="X535" s="510"/>
      <c r="Y535" s="275"/>
      <c r="Z535" s="510"/>
      <c r="AA535" s="275"/>
      <c r="AB535" s="510"/>
      <c r="AC535" s="275"/>
      <c r="AD535" s="510"/>
      <c r="AE535" s="275"/>
      <c r="AF535" s="510"/>
      <c r="AG535" s="275"/>
      <c r="AH535" s="510"/>
      <c r="AI535" s="275"/>
      <c r="AJ535" s="510"/>
      <c r="AK535" s="275"/>
      <c r="AL535" s="510"/>
      <c r="AM535" s="275"/>
      <c r="AN535" s="510"/>
    </row>
    <row r="536" spans="1:40" s="183" customFormat="1" ht="15" customHeight="1">
      <c r="A536" s="408" t="s">
        <v>815</v>
      </c>
      <c r="B536" s="408" t="s">
        <v>195</v>
      </c>
      <c r="C536" s="409">
        <v>220057</v>
      </c>
      <c r="D536" s="409">
        <v>10</v>
      </c>
      <c r="E536" s="275">
        <v>2481</v>
      </c>
      <c r="F536" s="510">
        <v>2635</v>
      </c>
      <c r="G536" s="275">
        <v>9157</v>
      </c>
      <c r="H536" s="510">
        <v>9711</v>
      </c>
      <c r="I536" s="275"/>
      <c r="J536" s="510"/>
      <c r="K536" s="275"/>
      <c r="L536" s="510"/>
      <c r="M536" s="275"/>
      <c r="N536" s="510"/>
      <c r="O536" s="275"/>
      <c r="P536" s="510"/>
      <c r="Q536" s="275"/>
      <c r="R536" s="510"/>
      <c r="S536" s="275"/>
      <c r="T536" s="510"/>
      <c r="U536" s="275"/>
      <c r="V536" s="510"/>
      <c r="W536" s="275"/>
      <c r="X536" s="510"/>
      <c r="Y536" s="275"/>
      <c r="Z536" s="510"/>
      <c r="AA536" s="275"/>
      <c r="AB536" s="510"/>
      <c r="AC536" s="275"/>
      <c r="AD536" s="510"/>
      <c r="AE536" s="275"/>
      <c r="AF536" s="510"/>
      <c r="AG536" s="275"/>
      <c r="AH536" s="510"/>
      <c r="AI536" s="275"/>
      <c r="AJ536" s="510"/>
      <c r="AK536" s="275"/>
      <c r="AL536" s="510"/>
      <c r="AM536" s="275"/>
      <c r="AN536" s="510"/>
    </row>
    <row r="537" spans="1:40" s="183" customFormat="1" ht="15" customHeight="1">
      <c r="A537" s="408" t="s">
        <v>815</v>
      </c>
      <c r="B537" s="408" t="s">
        <v>196</v>
      </c>
      <c r="C537" s="409">
        <v>219596</v>
      </c>
      <c r="D537" s="409">
        <v>13</v>
      </c>
      <c r="E537" s="275">
        <v>2057</v>
      </c>
      <c r="F537" s="510">
        <v>2168</v>
      </c>
      <c r="G537" s="275"/>
      <c r="H537" s="510"/>
      <c r="I537" s="275"/>
      <c r="J537" s="510"/>
      <c r="K537" s="275"/>
      <c r="L537" s="510"/>
      <c r="M537" s="275"/>
      <c r="N537" s="510"/>
      <c r="O537" s="275"/>
      <c r="P537" s="510"/>
      <c r="Q537" s="275"/>
      <c r="R537" s="510"/>
      <c r="S537" s="275"/>
      <c r="T537" s="510"/>
      <c r="U537" s="275"/>
      <c r="V537" s="510"/>
      <c r="W537" s="275"/>
      <c r="X537" s="510"/>
      <c r="Y537" s="275"/>
      <c r="Z537" s="510"/>
      <c r="AA537" s="275"/>
      <c r="AB537" s="510"/>
      <c r="AC537" s="275"/>
      <c r="AD537" s="510"/>
      <c r="AE537" s="275"/>
      <c r="AF537" s="510"/>
      <c r="AG537" s="275"/>
      <c r="AH537" s="510"/>
      <c r="AI537" s="275"/>
      <c r="AJ537" s="510"/>
      <c r="AK537" s="275"/>
      <c r="AL537" s="510"/>
      <c r="AM537" s="275"/>
      <c r="AN537" s="510"/>
    </row>
    <row r="538" spans="1:40" s="183" customFormat="1" ht="15" customHeight="1">
      <c r="A538" s="408" t="s">
        <v>815</v>
      </c>
      <c r="B538" s="408" t="s">
        <v>197</v>
      </c>
      <c r="C538" s="409" t="s">
        <v>198</v>
      </c>
      <c r="D538" s="409">
        <v>13</v>
      </c>
      <c r="E538" s="275">
        <v>2057</v>
      </c>
      <c r="F538" s="510">
        <v>2168</v>
      </c>
      <c r="G538" s="275"/>
      <c r="H538" s="510"/>
      <c r="I538" s="275"/>
      <c r="J538" s="510"/>
      <c r="K538" s="275"/>
      <c r="L538" s="510"/>
      <c r="M538" s="275"/>
      <c r="N538" s="510"/>
      <c r="O538" s="275"/>
      <c r="P538" s="510"/>
      <c r="Q538" s="275"/>
      <c r="R538" s="510"/>
      <c r="S538" s="275"/>
      <c r="T538" s="510"/>
      <c r="U538" s="275"/>
      <c r="V538" s="510"/>
      <c r="W538" s="275"/>
      <c r="X538" s="510"/>
      <c r="Y538" s="275"/>
      <c r="Z538" s="510"/>
      <c r="AA538" s="275"/>
      <c r="AB538" s="510"/>
      <c r="AC538" s="275"/>
      <c r="AD538" s="510"/>
      <c r="AE538" s="275"/>
      <c r="AF538" s="510"/>
      <c r="AG538" s="275"/>
      <c r="AH538" s="510"/>
      <c r="AI538" s="275"/>
      <c r="AJ538" s="510"/>
      <c r="AK538" s="275"/>
      <c r="AL538" s="510"/>
      <c r="AM538" s="275"/>
      <c r="AN538" s="510"/>
    </row>
    <row r="539" spans="1:40" s="183" customFormat="1" ht="15" customHeight="1">
      <c r="A539" s="408" t="s">
        <v>815</v>
      </c>
      <c r="B539" s="408" t="s">
        <v>199</v>
      </c>
      <c r="C539" s="409">
        <v>219921</v>
      </c>
      <c r="D539" s="409">
        <v>13</v>
      </c>
      <c r="E539" s="275">
        <v>2057</v>
      </c>
      <c r="F539" s="510">
        <v>2168</v>
      </c>
      <c r="G539" s="275"/>
      <c r="H539" s="510"/>
      <c r="I539" s="275"/>
      <c r="J539" s="510"/>
      <c r="K539" s="275"/>
      <c r="L539" s="510"/>
      <c r="M539" s="275"/>
      <c r="N539" s="510"/>
      <c r="O539" s="275"/>
      <c r="P539" s="510"/>
      <c r="Q539" s="275"/>
      <c r="R539" s="510"/>
      <c r="S539" s="275"/>
      <c r="T539" s="510"/>
      <c r="U539" s="275"/>
      <c r="V539" s="510"/>
      <c r="W539" s="275"/>
      <c r="X539" s="510"/>
      <c r="Y539" s="275"/>
      <c r="Z539" s="510"/>
      <c r="AA539" s="275"/>
      <c r="AB539" s="510"/>
      <c r="AC539" s="275"/>
      <c r="AD539" s="510"/>
      <c r="AE539" s="275"/>
      <c r="AF539" s="510"/>
      <c r="AG539" s="275"/>
      <c r="AH539" s="510"/>
      <c r="AI539" s="275"/>
      <c r="AJ539" s="510"/>
      <c r="AK539" s="275"/>
      <c r="AL539" s="510"/>
      <c r="AM539" s="275"/>
      <c r="AN539" s="510"/>
    </row>
    <row r="540" spans="1:40" s="183" customFormat="1" ht="15" customHeight="1">
      <c r="A540" s="408" t="s">
        <v>815</v>
      </c>
      <c r="B540" s="408" t="s">
        <v>200</v>
      </c>
      <c r="C540" s="409">
        <v>221591</v>
      </c>
      <c r="D540" s="409">
        <v>13</v>
      </c>
      <c r="E540" s="275">
        <v>2057</v>
      </c>
      <c r="F540" s="510">
        <v>2168</v>
      </c>
      <c r="G540" s="275"/>
      <c r="H540" s="510"/>
      <c r="I540" s="275"/>
      <c r="J540" s="510"/>
      <c r="K540" s="275"/>
      <c r="L540" s="510"/>
      <c r="M540" s="275"/>
      <c r="N540" s="510"/>
      <c r="O540" s="275"/>
      <c r="P540" s="510"/>
      <c r="Q540" s="275"/>
      <c r="R540" s="510"/>
      <c r="S540" s="275"/>
      <c r="T540" s="510"/>
      <c r="U540" s="275"/>
      <c r="V540" s="510"/>
      <c r="W540" s="275"/>
      <c r="X540" s="510"/>
      <c r="Y540" s="275"/>
      <c r="Z540" s="510"/>
      <c r="AA540" s="275"/>
      <c r="AB540" s="510"/>
      <c r="AC540" s="275"/>
      <c r="AD540" s="510"/>
      <c r="AE540" s="275"/>
      <c r="AF540" s="510"/>
      <c r="AG540" s="275"/>
      <c r="AH540" s="510"/>
      <c r="AI540" s="275"/>
      <c r="AJ540" s="510"/>
      <c r="AK540" s="275"/>
      <c r="AL540" s="510"/>
      <c r="AM540" s="275"/>
      <c r="AN540" s="510"/>
    </row>
    <row r="541" spans="1:40" s="183" customFormat="1" ht="15" customHeight="1">
      <c r="A541" s="408" t="s">
        <v>815</v>
      </c>
      <c r="B541" s="408" t="s">
        <v>201</v>
      </c>
      <c r="C541" s="409">
        <v>221430</v>
      </c>
      <c r="D541" s="409">
        <v>13</v>
      </c>
      <c r="E541" s="275">
        <v>2057</v>
      </c>
      <c r="F541" s="510">
        <v>2168</v>
      </c>
      <c r="G541" s="275"/>
      <c r="H541" s="510"/>
      <c r="I541" s="275"/>
      <c r="J541" s="510"/>
      <c r="K541" s="275"/>
      <c r="L541" s="510"/>
      <c r="M541" s="275"/>
      <c r="N541" s="510"/>
      <c r="O541" s="275"/>
      <c r="P541" s="510"/>
      <c r="Q541" s="275"/>
      <c r="R541" s="510"/>
      <c r="S541" s="275"/>
      <c r="T541" s="510"/>
      <c r="U541" s="275"/>
      <c r="V541" s="510"/>
      <c r="W541" s="275"/>
      <c r="X541" s="510"/>
      <c r="Y541" s="275"/>
      <c r="Z541" s="510"/>
      <c r="AA541" s="275"/>
      <c r="AB541" s="510"/>
      <c r="AC541" s="275"/>
      <c r="AD541" s="510"/>
      <c r="AE541" s="275"/>
      <c r="AF541" s="510"/>
      <c r="AG541" s="275"/>
      <c r="AH541" s="510"/>
      <c r="AI541" s="275"/>
      <c r="AJ541" s="510"/>
      <c r="AK541" s="275"/>
      <c r="AL541" s="510"/>
      <c r="AM541" s="275"/>
      <c r="AN541" s="510"/>
    </row>
    <row r="542" spans="1:40" s="183" customFormat="1" ht="15" customHeight="1">
      <c r="A542" s="408" t="s">
        <v>815</v>
      </c>
      <c r="B542" s="408" t="s">
        <v>202</v>
      </c>
      <c r="C542" s="409">
        <v>219994</v>
      </c>
      <c r="D542" s="409">
        <v>13</v>
      </c>
      <c r="E542" s="275">
        <v>2057</v>
      </c>
      <c r="F542" s="510">
        <v>2168</v>
      </c>
      <c r="G542" s="275"/>
      <c r="H542" s="510"/>
      <c r="I542" s="275"/>
      <c r="J542" s="510"/>
      <c r="K542" s="275"/>
      <c r="L542" s="510"/>
      <c r="M542" s="275"/>
      <c r="N542" s="510"/>
      <c r="O542" s="275"/>
      <c r="P542" s="510"/>
      <c r="Q542" s="275"/>
      <c r="R542" s="510"/>
      <c r="S542" s="275"/>
      <c r="T542" s="510"/>
      <c r="U542" s="275"/>
      <c r="V542" s="510"/>
      <c r="W542" s="275"/>
      <c r="X542" s="510"/>
      <c r="Y542" s="275"/>
      <c r="Z542" s="510"/>
      <c r="AA542" s="275"/>
      <c r="AB542" s="510"/>
      <c r="AC542" s="275"/>
      <c r="AD542" s="510"/>
      <c r="AE542" s="275"/>
      <c r="AF542" s="510"/>
      <c r="AG542" s="275"/>
      <c r="AH542" s="510"/>
      <c r="AI542" s="275"/>
      <c r="AJ542" s="510"/>
      <c r="AK542" s="275"/>
      <c r="AL542" s="510"/>
      <c r="AM542" s="275"/>
      <c r="AN542" s="510"/>
    </row>
    <row r="543" spans="1:40" s="183" customFormat="1" ht="15" customHeight="1">
      <c r="A543" s="408" t="s">
        <v>815</v>
      </c>
      <c r="B543" s="408" t="s">
        <v>203</v>
      </c>
      <c r="C543" s="409">
        <v>220127</v>
      </c>
      <c r="D543" s="409">
        <v>13</v>
      </c>
      <c r="E543" s="275">
        <v>2057</v>
      </c>
      <c r="F543" s="510">
        <v>2168</v>
      </c>
      <c r="G543" s="275"/>
      <c r="H543" s="510"/>
      <c r="I543" s="275"/>
      <c r="J543" s="510"/>
      <c r="K543" s="275"/>
      <c r="L543" s="510"/>
      <c r="M543" s="275"/>
      <c r="N543" s="510"/>
      <c r="O543" s="275"/>
      <c r="P543" s="510"/>
      <c r="Q543" s="275"/>
      <c r="R543" s="510"/>
      <c r="S543" s="275"/>
      <c r="T543" s="510"/>
      <c r="U543" s="275"/>
      <c r="V543" s="510"/>
      <c r="W543" s="275"/>
      <c r="X543" s="510"/>
      <c r="Y543" s="275"/>
      <c r="Z543" s="510"/>
      <c r="AA543" s="275"/>
      <c r="AB543" s="510"/>
      <c r="AC543" s="275"/>
      <c r="AD543" s="510"/>
      <c r="AE543" s="275"/>
      <c r="AF543" s="510"/>
      <c r="AG543" s="275"/>
      <c r="AH543" s="510"/>
      <c r="AI543" s="275"/>
      <c r="AJ543" s="510"/>
      <c r="AK543" s="275"/>
      <c r="AL543" s="510"/>
      <c r="AM543" s="275"/>
      <c r="AN543" s="510"/>
    </row>
    <row r="544" spans="1:40" s="183" customFormat="1" ht="15" customHeight="1">
      <c r="A544" s="408" t="s">
        <v>815</v>
      </c>
      <c r="B544" s="408" t="s">
        <v>204</v>
      </c>
      <c r="C544" s="409">
        <v>220251</v>
      </c>
      <c r="D544" s="409">
        <v>13</v>
      </c>
      <c r="E544" s="275">
        <v>2057</v>
      </c>
      <c r="F544" s="510">
        <v>2168</v>
      </c>
      <c r="G544" s="275"/>
      <c r="H544" s="510"/>
      <c r="I544" s="275"/>
      <c r="J544" s="510"/>
      <c r="K544" s="275"/>
      <c r="L544" s="510"/>
      <c r="M544" s="275"/>
      <c r="N544" s="510"/>
      <c r="O544" s="275"/>
      <c r="P544" s="510"/>
      <c r="Q544" s="275"/>
      <c r="R544" s="510"/>
      <c r="S544" s="275"/>
      <c r="T544" s="510"/>
      <c r="U544" s="275"/>
      <c r="V544" s="510"/>
      <c r="W544" s="275"/>
      <c r="X544" s="510"/>
      <c r="Y544" s="275"/>
      <c r="Z544" s="510"/>
      <c r="AA544" s="275"/>
      <c r="AB544" s="510"/>
      <c r="AC544" s="275"/>
      <c r="AD544" s="510"/>
      <c r="AE544" s="275"/>
      <c r="AF544" s="510"/>
      <c r="AG544" s="275"/>
      <c r="AH544" s="510"/>
      <c r="AI544" s="275"/>
      <c r="AJ544" s="510"/>
      <c r="AK544" s="275"/>
      <c r="AL544" s="510"/>
      <c r="AM544" s="275"/>
      <c r="AN544" s="510"/>
    </row>
    <row r="545" spans="1:40" s="183" customFormat="1" ht="15" customHeight="1">
      <c r="A545" s="408" t="s">
        <v>815</v>
      </c>
      <c r="B545" s="408" t="s">
        <v>205</v>
      </c>
      <c r="C545" s="409">
        <v>220279</v>
      </c>
      <c r="D545" s="409">
        <v>13</v>
      </c>
      <c r="E545" s="275">
        <v>2057</v>
      </c>
      <c r="F545" s="510">
        <v>2168</v>
      </c>
      <c r="G545" s="275"/>
      <c r="H545" s="510"/>
      <c r="I545" s="275"/>
      <c r="J545" s="510"/>
      <c r="K545" s="275"/>
      <c r="L545" s="510"/>
      <c r="M545" s="275"/>
      <c r="N545" s="510"/>
      <c r="O545" s="275"/>
      <c r="P545" s="510"/>
      <c r="Q545" s="275"/>
      <c r="R545" s="510"/>
      <c r="S545" s="275"/>
      <c r="T545" s="510"/>
      <c r="U545" s="275"/>
      <c r="V545" s="510"/>
      <c r="W545" s="275"/>
      <c r="X545" s="510"/>
      <c r="Y545" s="275"/>
      <c r="Z545" s="510"/>
      <c r="AA545" s="275"/>
      <c r="AB545" s="510"/>
      <c r="AC545" s="275"/>
      <c r="AD545" s="510"/>
      <c r="AE545" s="275"/>
      <c r="AF545" s="510"/>
      <c r="AG545" s="275"/>
      <c r="AH545" s="510"/>
      <c r="AI545" s="275"/>
      <c r="AJ545" s="510"/>
      <c r="AK545" s="275"/>
      <c r="AL545" s="510"/>
      <c r="AM545" s="275"/>
      <c r="AN545" s="510"/>
    </row>
    <row r="546" spans="1:40" s="183" customFormat="1" ht="15" customHeight="1">
      <c r="A546" s="408" t="s">
        <v>815</v>
      </c>
      <c r="B546" s="408" t="s">
        <v>901</v>
      </c>
      <c r="C546" s="409">
        <v>220321</v>
      </c>
      <c r="D546" s="409">
        <v>13</v>
      </c>
      <c r="E546" s="275">
        <v>2057</v>
      </c>
      <c r="F546" s="510">
        <v>2168</v>
      </c>
      <c r="G546" s="275"/>
      <c r="H546" s="510"/>
      <c r="I546" s="275"/>
      <c r="J546" s="510"/>
      <c r="K546" s="275"/>
      <c r="L546" s="510"/>
      <c r="M546" s="275"/>
      <c r="N546" s="510"/>
      <c r="O546" s="275"/>
      <c r="P546" s="510"/>
      <c r="Q546" s="275"/>
      <c r="R546" s="510"/>
      <c r="S546" s="275"/>
      <c r="T546" s="510"/>
      <c r="U546" s="275"/>
      <c r="V546" s="510"/>
      <c r="W546" s="275"/>
      <c r="X546" s="510"/>
      <c r="Y546" s="275"/>
      <c r="Z546" s="510"/>
      <c r="AA546" s="275"/>
      <c r="AB546" s="510"/>
      <c r="AC546" s="275"/>
      <c r="AD546" s="510"/>
      <c r="AE546" s="275"/>
      <c r="AF546" s="510"/>
      <c r="AG546" s="275"/>
      <c r="AH546" s="510"/>
      <c r="AI546" s="275"/>
      <c r="AJ546" s="510"/>
      <c r="AK546" s="275"/>
      <c r="AL546" s="510"/>
      <c r="AM546" s="275"/>
      <c r="AN546" s="510"/>
    </row>
    <row r="547" spans="1:40" s="183" customFormat="1" ht="15" customHeight="1">
      <c r="A547" s="408" t="s">
        <v>815</v>
      </c>
      <c r="B547" s="408" t="s">
        <v>206</v>
      </c>
      <c r="C547" s="409">
        <v>220394</v>
      </c>
      <c r="D547" s="409">
        <v>13</v>
      </c>
      <c r="E547" s="275">
        <v>2057</v>
      </c>
      <c r="F547" s="510">
        <v>2168</v>
      </c>
      <c r="G547" s="275"/>
      <c r="H547" s="510"/>
      <c r="I547" s="275"/>
      <c r="J547" s="510"/>
      <c r="K547" s="275"/>
      <c r="L547" s="510"/>
      <c r="M547" s="275"/>
      <c r="N547" s="510"/>
      <c r="O547" s="275"/>
      <c r="P547" s="510"/>
      <c r="Q547" s="275"/>
      <c r="R547" s="510"/>
      <c r="S547" s="275"/>
      <c r="T547" s="510"/>
      <c r="U547" s="275"/>
      <c r="V547" s="510"/>
      <c r="W547" s="275"/>
      <c r="X547" s="510"/>
      <c r="Y547" s="275"/>
      <c r="Z547" s="510"/>
      <c r="AA547" s="275"/>
      <c r="AB547" s="510"/>
      <c r="AC547" s="275"/>
      <c r="AD547" s="510"/>
      <c r="AE547" s="275"/>
      <c r="AF547" s="510"/>
      <c r="AG547" s="275"/>
      <c r="AH547" s="510"/>
      <c r="AI547" s="275"/>
      <c r="AJ547" s="510"/>
      <c r="AK547" s="275"/>
      <c r="AL547" s="510"/>
      <c r="AM547" s="275"/>
      <c r="AN547" s="510"/>
    </row>
    <row r="548" spans="1:40" s="183" customFormat="1" ht="15" customHeight="1">
      <c r="A548" s="408" t="s">
        <v>815</v>
      </c>
      <c r="B548" s="408" t="s">
        <v>207</v>
      </c>
      <c r="C548" s="409">
        <v>221616</v>
      </c>
      <c r="D548" s="409">
        <v>13</v>
      </c>
      <c r="E548" s="275">
        <v>2057</v>
      </c>
      <c r="F548" s="510">
        <v>2168</v>
      </c>
      <c r="G548" s="275"/>
      <c r="H548" s="510"/>
      <c r="I548" s="275"/>
      <c r="J548" s="510"/>
      <c r="K548" s="275"/>
      <c r="L548" s="510"/>
      <c r="M548" s="275"/>
      <c r="N548" s="510"/>
      <c r="O548" s="275"/>
      <c r="P548" s="510"/>
      <c r="Q548" s="275"/>
      <c r="R548" s="510"/>
      <c r="S548" s="275"/>
      <c r="T548" s="510"/>
      <c r="U548" s="275"/>
      <c r="V548" s="510"/>
      <c r="W548" s="275"/>
      <c r="X548" s="510"/>
      <c r="Y548" s="275"/>
      <c r="Z548" s="510"/>
      <c r="AA548" s="275"/>
      <c r="AB548" s="510"/>
      <c r="AC548" s="275"/>
      <c r="AD548" s="510"/>
      <c r="AE548" s="275"/>
      <c r="AF548" s="510"/>
      <c r="AG548" s="275"/>
      <c r="AH548" s="510"/>
      <c r="AI548" s="275"/>
      <c r="AJ548" s="510"/>
      <c r="AK548" s="275"/>
      <c r="AL548" s="510"/>
      <c r="AM548" s="275"/>
      <c r="AN548" s="510"/>
    </row>
    <row r="549" spans="1:40" s="183" customFormat="1" ht="15" customHeight="1">
      <c r="A549" s="408" t="s">
        <v>815</v>
      </c>
      <c r="B549" s="408" t="s">
        <v>208</v>
      </c>
      <c r="C549" s="409">
        <v>221625</v>
      </c>
      <c r="D549" s="409">
        <v>13</v>
      </c>
      <c r="E549" s="275">
        <v>2057</v>
      </c>
      <c r="F549" s="510">
        <v>2168</v>
      </c>
      <c r="G549" s="275"/>
      <c r="H549" s="510"/>
      <c r="I549" s="275"/>
      <c r="J549" s="510"/>
      <c r="K549" s="275"/>
      <c r="L549" s="510"/>
      <c r="M549" s="275"/>
      <c r="N549" s="510"/>
      <c r="O549" s="275"/>
      <c r="P549" s="510"/>
      <c r="Q549" s="275"/>
      <c r="R549" s="510"/>
      <c r="S549" s="275"/>
      <c r="T549" s="510"/>
      <c r="U549" s="275"/>
      <c r="V549" s="510"/>
      <c r="W549" s="275"/>
      <c r="X549" s="510"/>
      <c r="Y549" s="275"/>
      <c r="Z549" s="510"/>
      <c r="AA549" s="275"/>
      <c r="AB549" s="510"/>
      <c r="AC549" s="275"/>
      <c r="AD549" s="510"/>
      <c r="AE549" s="275"/>
      <c r="AF549" s="510"/>
      <c r="AG549" s="275"/>
      <c r="AH549" s="510"/>
      <c r="AI549" s="275"/>
      <c r="AJ549" s="510"/>
      <c r="AK549" s="275"/>
      <c r="AL549" s="510"/>
      <c r="AM549" s="275"/>
      <c r="AN549" s="510"/>
    </row>
    <row r="550" spans="1:40" s="183" customFormat="1" ht="15" customHeight="1">
      <c r="A550" s="408" t="s">
        <v>815</v>
      </c>
      <c r="B550" s="408" t="s">
        <v>209</v>
      </c>
      <c r="C550" s="409">
        <v>220640</v>
      </c>
      <c r="D550" s="409">
        <v>13</v>
      </c>
      <c r="E550" s="275">
        <v>2057</v>
      </c>
      <c r="F550" s="510">
        <v>2168</v>
      </c>
      <c r="G550" s="275"/>
      <c r="H550" s="510"/>
      <c r="I550" s="275"/>
      <c r="J550" s="510"/>
      <c r="K550" s="275"/>
      <c r="L550" s="510"/>
      <c r="M550" s="275"/>
      <c r="N550" s="510"/>
      <c r="O550" s="275"/>
      <c r="P550" s="510"/>
      <c r="Q550" s="275"/>
      <c r="R550" s="510"/>
      <c r="S550" s="275"/>
      <c r="T550" s="510"/>
      <c r="U550" s="275"/>
      <c r="V550" s="510"/>
      <c r="W550" s="275"/>
      <c r="X550" s="510"/>
      <c r="Y550" s="275"/>
      <c r="Z550" s="510"/>
      <c r="AA550" s="275"/>
      <c r="AB550" s="510"/>
      <c r="AC550" s="275"/>
      <c r="AD550" s="510"/>
      <c r="AE550" s="275"/>
      <c r="AF550" s="510"/>
      <c r="AG550" s="275"/>
      <c r="AH550" s="510"/>
      <c r="AI550" s="275"/>
      <c r="AJ550" s="510"/>
      <c r="AK550" s="275"/>
      <c r="AL550" s="510"/>
      <c r="AM550" s="275"/>
      <c r="AN550" s="510"/>
    </row>
    <row r="551" spans="1:40" s="183" customFormat="1" ht="15" customHeight="1">
      <c r="A551" s="408" t="s">
        <v>815</v>
      </c>
      <c r="B551" s="408" t="s">
        <v>210</v>
      </c>
      <c r="C551" s="409">
        <v>220756</v>
      </c>
      <c r="D551" s="409">
        <v>13</v>
      </c>
      <c r="E551" s="275">
        <v>2057</v>
      </c>
      <c r="F551" s="510">
        <v>2168</v>
      </c>
      <c r="G551" s="275"/>
      <c r="H551" s="510"/>
      <c r="I551" s="275"/>
      <c r="J551" s="510"/>
      <c r="K551" s="275"/>
      <c r="L551" s="510"/>
      <c r="M551" s="275"/>
      <c r="N551" s="510"/>
      <c r="O551" s="275"/>
      <c r="P551" s="510"/>
      <c r="Q551" s="275"/>
      <c r="R551" s="510"/>
      <c r="S551" s="275"/>
      <c r="T551" s="510"/>
      <c r="U551" s="275"/>
      <c r="V551" s="510"/>
      <c r="W551" s="275"/>
      <c r="X551" s="510"/>
      <c r="Y551" s="275"/>
      <c r="Z551" s="510"/>
      <c r="AA551" s="275"/>
      <c r="AB551" s="510"/>
      <c r="AC551" s="275"/>
      <c r="AD551" s="510"/>
      <c r="AE551" s="275"/>
      <c r="AF551" s="510"/>
      <c r="AG551" s="275"/>
      <c r="AH551" s="510"/>
      <c r="AI551" s="275"/>
      <c r="AJ551" s="510"/>
      <c r="AK551" s="275"/>
      <c r="AL551" s="510"/>
      <c r="AM551" s="275"/>
      <c r="AN551" s="510"/>
    </row>
    <row r="552" spans="1:40" s="183" customFormat="1" ht="15" customHeight="1">
      <c r="A552" s="408" t="s">
        <v>815</v>
      </c>
      <c r="B552" s="408" t="s">
        <v>211</v>
      </c>
      <c r="C552" s="409">
        <v>221607</v>
      </c>
      <c r="D552" s="409">
        <v>13</v>
      </c>
      <c r="E552" s="275">
        <v>2057</v>
      </c>
      <c r="F552" s="510">
        <v>2168</v>
      </c>
      <c r="G552" s="275"/>
      <c r="H552" s="510"/>
      <c r="I552" s="275"/>
      <c r="J552" s="510"/>
      <c r="K552" s="275"/>
      <c r="L552" s="510"/>
      <c r="M552" s="275"/>
      <c r="N552" s="510"/>
      <c r="O552" s="275"/>
      <c r="P552" s="510"/>
      <c r="Q552" s="275"/>
      <c r="R552" s="510"/>
      <c r="S552" s="275"/>
      <c r="T552" s="510"/>
      <c r="U552" s="275"/>
      <c r="V552" s="510"/>
      <c r="W552" s="275"/>
      <c r="X552" s="510"/>
      <c r="Y552" s="275"/>
      <c r="Z552" s="510"/>
      <c r="AA552" s="275"/>
      <c r="AB552" s="510"/>
      <c r="AC552" s="275"/>
      <c r="AD552" s="510"/>
      <c r="AE552" s="275"/>
      <c r="AF552" s="510"/>
      <c r="AG552" s="275"/>
      <c r="AH552" s="510"/>
      <c r="AI552" s="275"/>
      <c r="AJ552" s="510"/>
      <c r="AK552" s="275"/>
      <c r="AL552" s="510"/>
      <c r="AM552" s="275"/>
      <c r="AN552" s="510"/>
    </row>
    <row r="553" spans="1:40" s="183" customFormat="1" ht="15" customHeight="1">
      <c r="A553" s="408" t="s">
        <v>815</v>
      </c>
      <c r="B553" s="397" t="s">
        <v>925</v>
      </c>
      <c r="C553" s="409">
        <v>220853</v>
      </c>
      <c r="D553" s="409">
        <v>13</v>
      </c>
      <c r="E553" s="275">
        <v>2057</v>
      </c>
      <c r="F553" s="510">
        <v>2168</v>
      </c>
      <c r="G553" s="275"/>
      <c r="H553" s="510"/>
      <c r="I553" s="275"/>
      <c r="J553" s="510"/>
      <c r="K553" s="275"/>
      <c r="L553" s="510"/>
      <c r="M553" s="275"/>
      <c r="N553" s="510"/>
      <c r="O553" s="275"/>
      <c r="P553" s="510"/>
      <c r="Q553" s="275"/>
      <c r="R553" s="510"/>
      <c r="S553" s="275"/>
      <c r="T553" s="510"/>
      <c r="U553" s="275"/>
      <c r="V553" s="510"/>
      <c r="W553" s="275"/>
      <c r="X553" s="510"/>
      <c r="Y553" s="275"/>
      <c r="Z553" s="510"/>
      <c r="AA553" s="275"/>
      <c r="AB553" s="510"/>
      <c r="AC553" s="275"/>
      <c r="AD553" s="510"/>
      <c r="AE553" s="275"/>
      <c r="AF553" s="510"/>
      <c r="AG553" s="275"/>
      <c r="AH553" s="510"/>
      <c r="AI553" s="275"/>
      <c r="AJ553" s="510"/>
      <c r="AK553" s="275"/>
      <c r="AL553" s="510"/>
      <c r="AM553" s="275"/>
      <c r="AN553" s="510"/>
    </row>
    <row r="554" spans="1:40" s="183" customFormat="1" ht="15" customHeight="1">
      <c r="A554" s="408" t="s">
        <v>815</v>
      </c>
      <c r="B554" s="408" t="s">
        <v>926</v>
      </c>
      <c r="C554" s="409">
        <v>221050</v>
      </c>
      <c r="D554" s="409">
        <v>13</v>
      </c>
      <c r="E554" s="275">
        <v>2057</v>
      </c>
      <c r="F554" s="510">
        <v>2168</v>
      </c>
      <c r="G554" s="275"/>
      <c r="H554" s="510"/>
      <c r="I554" s="275"/>
      <c r="J554" s="510"/>
      <c r="K554" s="275"/>
      <c r="L554" s="510"/>
      <c r="M554" s="275"/>
      <c r="N554" s="510"/>
      <c r="O554" s="275"/>
      <c r="P554" s="510"/>
      <c r="Q554" s="275"/>
      <c r="R554" s="510"/>
      <c r="S554" s="275"/>
      <c r="T554" s="510"/>
      <c r="U554" s="275"/>
      <c r="V554" s="510"/>
      <c r="W554" s="275"/>
      <c r="X554" s="510"/>
      <c r="Y554" s="275"/>
      <c r="Z554" s="510"/>
      <c r="AA554" s="275"/>
      <c r="AB554" s="510"/>
      <c r="AC554" s="275"/>
      <c r="AD554" s="510"/>
      <c r="AE554" s="275"/>
      <c r="AF554" s="510"/>
      <c r="AG554" s="275"/>
      <c r="AH554" s="510"/>
      <c r="AI554" s="275"/>
      <c r="AJ554" s="510"/>
      <c r="AK554" s="275"/>
      <c r="AL554" s="510"/>
      <c r="AM554" s="275"/>
      <c r="AN554" s="510"/>
    </row>
    <row r="555" spans="1:40" s="183" customFormat="1" ht="15" customHeight="1">
      <c r="A555" s="408" t="s">
        <v>815</v>
      </c>
      <c r="B555" s="408" t="s">
        <v>927</v>
      </c>
      <c r="C555" s="409">
        <v>221102</v>
      </c>
      <c r="D555" s="409">
        <v>13</v>
      </c>
      <c r="E555" s="275">
        <v>2057</v>
      </c>
      <c r="F555" s="510">
        <v>2168</v>
      </c>
      <c r="G555" s="275"/>
      <c r="H555" s="510"/>
      <c r="I555" s="275"/>
      <c r="J555" s="510"/>
      <c r="K555" s="275"/>
      <c r="L555" s="510"/>
      <c r="M555" s="275"/>
      <c r="N555" s="510"/>
      <c r="O555" s="275"/>
      <c r="P555" s="510"/>
      <c r="Q555" s="275"/>
      <c r="R555" s="510"/>
      <c r="S555" s="275"/>
      <c r="T555" s="510"/>
      <c r="U555" s="275"/>
      <c r="V555" s="510"/>
      <c r="W555" s="275"/>
      <c r="X555" s="510"/>
      <c r="Y555" s="275"/>
      <c r="Z555" s="510"/>
      <c r="AA555" s="275"/>
      <c r="AB555" s="510"/>
      <c r="AC555" s="275"/>
      <c r="AD555" s="510"/>
      <c r="AE555" s="275"/>
      <c r="AF555" s="510"/>
      <c r="AG555" s="275"/>
      <c r="AH555" s="510"/>
      <c r="AI555" s="275"/>
      <c r="AJ555" s="510"/>
      <c r="AK555" s="275"/>
      <c r="AL555" s="510"/>
      <c r="AM555" s="275"/>
      <c r="AN555" s="510"/>
    </row>
    <row r="556" spans="1:40" s="183" customFormat="1" ht="15" customHeight="1">
      <c r="A556" s="408" t="s">
        <v>815</v>
      </c>
      <c r="B556" s="408" t="s">
        <v>928</v>
      </c>
      <c r="C556" s="409">
        <v>248925</v>
      </c>
      <c r="D556" s="409">
        <v>13</v>
      </c>
      <c r="E556" s="275">
        <v>2057</v>
      </c>
      <c r="F556" s="510">
        <v>2168</v>
      </c>
      <c r="G556" s="275"/>
      <c r="H556" s="510"/>
      <c r="I556" s="275"/>
      <c r="J556" s="510"/>
      <c r="K556" s="275"/>
      <c r="L556" s="510"/>
      <c r="M556" s="275"/>
      <c r="N556" s="510"/>
      <c r="O556" s="275"/>
      <c r="P556" s="510"/>
      <c r="Q556" s="275"/>
      <c r="R556" s="510"/>
      <c r="S556" s="275"/>
      <c r="T556" s="510"/>
      <c r="U556" s="275"/>
      <c r="V556" s="510"/>
      <c r="W556" s="275"/>
      <c r="X556" s="510"/>
      <c r="Y556" s="275"/>
      <c r="Z556" s="510"/>
      <c r="AA556" s="275"/>
      <c r="AB556" s="510"/>
      <c r="AC556" s="275"/>
      <c r="AD556" s="510"/>
      <c r="AE556" s="275"/>
      <c r="AF556" s="510"/>
      <c r="AG556" s="275"/>
      <c r="AH556" s="510"/>
      <c r="AI556" s="275"/>
      <c r="AJ556" s="510"/>
      <c r="AK556" s="275"/>
      <c r="AL556" s="510"/>
      <c r="AM556" s="275"/>
      <c r="AN556" s="510"/>
    </row>
    <row r="557" spans="1:40" s="183" customFormat="1" ht="15" customHeight="1">
      <c r="A557" s="408" t="s">
        <v>815</v>
      </c>
      <c r="B557" s="408" t="s">
        <v>929</v>
      </c>
      <c r="C557" s="409">
        <v>221236</v>
      </c>
      <c r="D557" s="409">
        <v>13</v>
      </c>
      <c r="E557" s="275">
        <v>2057</v>
      </c>
      <c r="F557" s="510">
        <v>2168</v>
      </c>
      <c r="G557" s="275"/>
      <c r="H557" s="510"/>
      <c r="I557" s="275"/>
      <c r="J557" s="510"/>
      <c r="K557" s="275"/>
      <c r="L557" s="510"/>
      <c r="M557" s="275"/>
      <c r="N557" s="510"/>
      <c r="O557" s="275"/>
      <c r="P557" s="510"/>
      <c r="Q557" s="275"/>
      <c r="R557" s="510"/>
      <c r="S557" s="275"/>
      <c r="T557" s="510"/>
      <c r="U557" s="275"/>
      <c r="V557" s="510"/>
      <c r="W557" s="275"/>
      <c r="X557" s="510"/>
      <c r="Y557" s="275"/>
      <c r="Z557" s="510"/>
      <c r="AA557" s="275"/>
      <c r="AB557" s="510"/>
      <c r="AC557" s="275"/>
      <c r="AD557" s="510"/>
      <c r="AE557" s="275"/>
      <c r="AF557" s="510"/>
      <c r="AG557" s="275"/>
      <c r="AH557" s="510"/>
      <c r="AI557" s="275"/>
      <c r="AJ557" s="510"/>
      <c r="AK557" s="275"/>
      <c r="AL557" s="510"/>
      <c r="AM557" s="275"/>
      <c r="AN557" s="510"/>
    </row>
    <row r="558" spans="1:40" s="183" customFormat="1" ht="15" customHeight="1">
      <c r="A558" s="408" t="s">
        <v>815</v>
      </c>
      <c r="B558" s="408" t="s">
        <v>930</v>
      </c>
      <c r="C558" s="409">
        <v>221582</v>
      </c>
      <c r="D558" s="409">
        <v>13</v>
      </c>
      <c r="E558" s="275">
        <v>2057</v>
      </c>
      <c r="F558" s="510">
        <v>2168</v>
      </c>
      <c r="G558" s="275"/>
      <c r="H558" s="510"/>
      <c r="I558" s="275"/>
      <c r="J558" s="510"/>
      <c r="K558" s="275"/>
      <c r="L558" s="510"/>
      <c r="M558" s="275"/>
      <c r="N558" s="510"/>
      <c r="O558" s="275"/>
      <c r="P558" s="510"/>
      <c r="Q558" s="275"/>
      <c r="R558" s="510"/>
      <c r="S558" s="275"/>
      <c r="T558" s="510"/>
      <c r="U558" s="275"/>
      <c r="V558" s="510"/>
      <c r="W558" s="275"/>
      <c r="X558" s="510"/>
      <c r="Y558" s="275"/>
      <c r="Z558" s="510"/>
      <c r="AA558" s="275"/>
      <c r="AB558" s="510"/>
      <c r="AC558" s="275"/>
      <c r="AD558" s="510"/>
      <c r="AE558" s="275"/>
      <c r="AF558" s="510"/>
      <c r="AG558" s="275"/>
      <c r="AH558" s="510"/>
      <c r="AI558" s="275"/>
      <c r="AJ558" s="510"/>
      <c r="AK558" s="275"/>
      <c r="AL558" s="510"/>
      <c r="AM558" s="275"/>
      <c r="AN558" s="510"/>
    </row>
    <row r="559" spans="1:40" s="183" customFormat="1" ht="15" customHeight="1">
      <c r="A559" s="408" t="s">
        <v>815</v>
      </c>
      <c r="B559" s="408" t="s">
        <v>931</v>
      </c>
      <c r="C559" s="409">
        <v>221281</v>
      </c>
      <c r="D559" s="409">
        <v>13</v>
      </c>
      <c r="E559" s="275">
        <v>2057</v>
      </c>
      <c r="F559" s="510">
        <v>2168</v>
      </c>
      <c r="G559" s="275"/>
      <c r="H559" s="510"/>
      <c r="I559" s="275"/>
      <c r="J559" s="510"/>
      <c r="K559" s="275"/>
      <c r="L559" s="510"/>
      <c r="M559" s="275"/>
      <c r="N559" s="510"/>
      <c r="O559" s="275"/>
      <c r="P559" s="510"/>
      <c r="Q559" s="275"/>
      <c r="R559" s="510"/>
      <c r="S559" s="275"/>
      <c r="T559" s="510"/>
      <c r="U559" s="275"/>
      <c r="V559" s="510"/>
      <c r="W559" s="275"/>
      <c r="X559" s="510"/>
      <c r="Y559" s="275"/>
      <c r="Z559" s="510"/>
      <c r="AA559" s="275"/>
      <c r="AB559" s="510"/>
      <c r="AC559" s="275"/>
      <c r="AD559" s="510"/>
      <c r="AE559" s="275"/>
      <c r="AF559" s="510"/>
      <c r="AG559" s="275"/>
      <c r="AH559" s="510"/>
      <c r="AI559" s="275"/>
      <c r="AJ559" s="510"/>
      <c r="AK559" s="275"/>
      <c r="AL559" s="510"/>
      <c r="AM559" s="275"/>
      <c r="AN559" s="510"/>
    </row>
    <row r="560" spans="1:40" s="183" customFormat="1" ht="15" customHeight="1">
      <c r="A560" s="408" t="s">
        <v>815</v>
      </c>
      <c r="B560" s="408" t="s">
        <v>932</v>
      </c>
      <c r="C560" s="409">
        <v>221333</v>
      </c>
      <c r="D560" s="409">
        <v>13</v>
      </c>
      <c r="E560" s="275">
        <v>2057</v>
      </c>
      <c r="F560" s="510">
        <v>2168</v>
      </c>
      <c r="G560" s="275"/>
      <c r="H560" s="510"/>
      <c r="I560" s="275"/>
      <c r="J560" s="510"/>
      <c r="K560" s="275"/>
      <c r="L560" s="510"/>
      <c r="M560" s="275"/>
      <c r="N560" s="510"/>
      <c r="O560" s="275"/>
      <c r="P560" s="510"/>
      <c r="Q560" s="275"/>
      <c r="R560" s="510"/>
      <c r="S560" s="275"/>
      <c r="T560" s="510"/>
      <c r="U560" s="275"/>
      <c r="V560" s="510"/>
      <c r="W560" s="275"/>
      <c r="X560" s="510"/>
      <c r="Y560" s="275"/>
      <c r="Z560" s="510"/>
      <c r="AA560" s="275"/>
      <c r="AB560" s="510"/>
      <c r="AC560" s="275"/>
      <c r="AD560" s="510"/>
      <c r="AE560" s="275"/>
      <c r="AF560" s="510"/>
      <c r="AG560" s="275"/>
      <c r="AH560" s="510"/>
      <c r="AI560" s="275"/>
      <c r="AJ560" s="510"/>
      <c r="AK560" s="275"/>
      <c r="AL560" s="510"/>
      <c r="AM560" s="275"/>
      <c r="AN560" s="510"/>
    </row>
    <row r="561" spans="1:40" s="183" customFormat="1" ht="15" customHeight="1">
      <c r="A561" s="408" t="s">
        <v>815</v>
      </c>
      <c r="B561" s="408" t="s">
        <v>933</v>
      </c>
      <c r="C561" s="409">
        <v>221388</v>
      </c>
      <c r="D561" s="409">
        <v>13</v>
      </c>
      <c r="E561" s="275">
        <v>2057</v>
      </c>
      <c r="F561" s="510">
        <v>2168</v>
      </c>
      <c r="G561" s="275"/>
      <c r="H561" s="510"/>
      <c r="I561" s="275"/>
      <c r="J561" s="510"/>
      <c r="K561" s="275"/>
      <c r="L561" s="510"/>
      <c r="M561" s="275"/>
      <c r="N561" s="510"/>
      <c r="O561" s="275"/>
      <c r="P561" s="510"/>
      <c r="Q561" s="275"/>
      <c r="R561" s="510"/>
      <c r="S561" s="275"/>
      <c r="T561" s="510"/>
      <c r="U561" s="275"/>
      <c r="V561" s="510"/>
      <c r="W561" s="275"/>
      <c r="X561" s="510"/>
      <c r="Y561" s="275"/>
      <c r="Z561" s="510"/>
      <c r="AA561" s="275"/>
      <c r="AB561" s="510"/>
      <c r="AC561" s="275"/>
      <c r="AD561" s="510"/>
      <c r="AE561" s="275"/>
      <c r="AF561" s="510"/>
      <c r="AG561" s="275"/>
      <c r="AH561" s="510"/>
      <c r="AI561" s="275"/>
      <c r="AJ561" s="510"/>
      <c r="AK561" s="275"/>
      <c r="AL561" s="510"/>
      <c r="AM561" s="275"/>
      <c r="AN561" s="510"/>
    </row>
    <row r="562" spans="1:40" s="183" customFormat="1" ht="15" customHeight="1">
      <c r="A562" s="408" t="s">
        <v>815</v>
      </c>
      <c r="B562" s="408" t="s">
        <v>934</v>
      </c>
      <c r="C562" s="409">
        <v>221494</v>
      </c>
      <c r="D562" s="409">
        <v>13</v>
      </c>
      <c r="E562" s="275">
        <v>2057</v>
      </c>
      <c r="F562" s="510">
        <v>2168</v>
      </c>
      <c r="G562" s="275"/>
      <c r="H562" s="510"/>
      <c r="I562" s="275"/>
      <c r="J562" s="510"/>
      <c r="K562" s="275"/>
      <c r="L562" s="510"/>
      <c r="M562" s="275"/>
      <c r="N562" s="510"/>
      <c r="O562" s="275"/>
      <c r="P562" s="510"/>
      <c r="Q562" s="275"/>
      <c r="R562" s="510"/>
      <c r="S562" s="275"/>
      <c r="T562" s="510"/>
      <c r="U562" s="275"/>
      <c r="V562" s="510"/>
      <c r="W562" s="275"/>
      <c r="X562" s="510"/>
      <c r="Y562" s="275"/>
      <c r="Z562" s="510"/>
      <c r="AA562" s="275"/>
      <c r="AB562" s="510"/>
      <c r="AC562" s="275"/>
      <c r="AD562" s="510"/>
      <c r="AE562" s="275"/>
      <c r="AF562" s="510"/>
      <c r="AG562" s="275"/>
      <c r="AH562" s="510"/>
      <c r="AI562" s="275"/>
      <c r="AJ562" s="510"/>
      <c r="AK562" s="275"/>
      <c r="AL562" s="510"/>
      <c r="AM562" s="275"/>
      <c r="AN562" s="510"/>
    </row>
    <row r="563" spans="1:40" s="183" customFormat="1" ht="15" customHeight="1">
      <c r="A563" s="408" t="s">
        <v>815</v>
      </c>
      <c r="B563" s="408" t="s">
        <v>935</v>
      </c>
      <c r="C563" s="409">
        <v>221634</v>
      </c>
      <c r="D563" s="409">
        <v>13</v>
      </c>
      <c r="E563" s="275">
        <v>2057</v>
      </c>
      <c r="F563" s="510">
        <v>2168</v>
      </c>
      <c r="G563" s="275"/>
      <c r="H563" s="510"/>
      <c r="I563" s="275"/>
      <c r="J563" s="510"/>
      <c r="K563" s="275"/>
      <c r="L563" s="510"/>
      <c r="M563" s="275"/>
      <c r="N563" s="510"/>
      <c r="O563" s="275"/>
      <c r="P563" s="510"/>
      <c r="Q563" s="275"/>
      <c r="R563" s="510"/>
      <c r="S563" s="275"/>
      <c r="T563" s="510"/>
      <c r="U563" s="275"/>
      <c r="V563" s="510"/>
      <c r="W563" s="275"/>
      <c r="X563" s="510"/>
      <c r="Y563" s="275"/>
      <c r="Z563" s="510"/>
      <c r="AA563" s="275"/>
      <c r="AB563" s="510"/>
      <c r="AC563" s="275"/>
      <c r="AD563" s="510"/>
      <c r="AE563" s="275"/>
      <c r="AF563" s="510"/>
      <c r="AG563" s="275"/>
      <c r="AH563" s="510"/>
      <c r="AI563" s="275"/>
      <c r="AJ563" s="510"/>
      <c r="AK563" s="275"/>
      <c r="AL563" s="510"/>
      <c r="AM563" s="275"/>
      <c r="AN563" s="510"/>
    </row>
    <row r="564" spans="1:40" s="183" customFormat="1" ht="15" customHeight="1">
      <c r="A564" s="408" t="s">
        <v>815</v>
      </c>
      <c r="B564" s="397" t="s">
        <v>936</v>
      </c>
      <c r="C564" s="409">
        <v>221704</v>
      </c>
      <c r="D564" s="409">
        <v>15</v>
      </c>
      <c r="E564" s="275"/>
      <c r="F564" s="510"/>
      <c r="G564" s="275"/>
      <c r="H564" s="510"/>
      <c r="I564" s="275"/>
      <c r="J564" s="510"/>
      <c r="K564" s="275"/>
      <c r="L564" s="510"/>
      <c r="M564" s="275"/>
      <c r="N564" s="510"/>
      <c r="O564" s="275"/>
      <c r="P564" s="510"/>
      <c r="Q564" s="275">
        <v>18050</v>
      </c>
      <c r="R564" s="510">
        <v>18866</v>
      </c>
      <c r="S564" s="275">
        <v>35440</v>
      </c>
      <c r="T564" s="510">
        <v>36778</v>
      </c>
      <c r="U564" s="275">
        <v>15760</v>
      </c>
      <c r="V564" s="510">
        <v>16722</v>
      </c>
      <c r="W564" s="275">
        <v>36640</v>
      </c>
      <c r="X564" s="510">
        <v>38740</v>
      </c>
      <c r="Y564" s="275">
        <v>11940</v>
      </c>
      <c r="Z564" s="510">
        <v>13036</v>
      </c>
      <c r="AA564" s="275">
        <v>24690</v>
      </c>
      <c r="AB564" s="510">
        <v>26042</v>
      </c>
      <c r="AC564" s="275"/>
      <c r="AD564" s="510"/>
      <c r="AE564" s="275"/>
      <c r="AF564" s="510"/>
      <c r="AG564" s="275"/>
      <c r="AH564" s="510"/>
      <c r="AI564" s="275"/>
      <c r="AJ564" s="510"/>
      <c r="AK564" s="275">
        <v>13372</v>
      </c>
      <c r="AL564" s="510">
        <v>14590</v>
      </c>
      <c r="AM564" s="275">
        <v>37438</v>
      </c>
      <c r="AN564" s="510">
        <v>38658</v>
      </c>
    </row>
    <row r="565" spans="1:41" s="183" customFormat="1" ht="15" customHeight="1">
      <c r="A565" s="179" t="s">
        <v>816</v>
      </c>
      <c r="B565" s="179" t="s">
        <v>136</v>
      </c>
      <c r="C565" s="432">
        <v>225511</v>
      </c>
      <c r="D565" s="182">
        <v>1</v>
      </c>
      <c r="E565" s="275">
        <v>6762</v>
      </c>
      <c r="F565" s="510">
        <v>7706</v>
      </c>
      <c r="G565" s="275">
        <v>15012</v>
      </c>
      <c r="H565" s="510">
        <v>16046</v>
      </c>
      <c r="I565" s="275">
        <v>9646</v>
      </c>
      <c r="J565" s="510">
        <v>8622</v>
      </c>
      <c r="K565" s="275">
        <v>16246</v>
      </c>
      <c r="L565" s="510">
        <v>15182</v>
      </c>
      <c r="M565" s="275">
        <v>15941</v>
      </c>
      <c r="N565" s="510">
        <v>14724.4</v>
      </c>
      <c r="O565" s="275">
        <v>22391</v>
      </c>
      <c r="P565" s="510">
        <v>22164.4</v>
      </c>
      <c r="Q565" s="275"/>
      <c r="R565" s="510">
        <v>0</v>
      </c>
      <c r="S565" s="275"/>
      <c r="T565" s="510">
        <v>0</v>
      </c>
      <c r="U565" s="275"/>
      <c r="V565" s="510"/>
      <c r="W565" s="275"/>
      <c r="X565" s="510"/>
      <c r="Y565" s="275">
        <v>12134</v>
      </c>
      <c r="Z565" s="510">
        <v>13258</v>
      </c>
      <c r="AA565" s="275">
        <v>20660</v>
      </c>
      <c r="AB565" s="510">
        <v>20608</v>
      </c>
      <c r="AC565" s="275">
        <v>10739</v>
      </c>
      <c r="AD565" s="510">
        <v>18732</v>
      </c>
      <c r="AE565" s="275">
        <v>19229</v>
      </c>
      <c r="AF565" s="510">
        <v>26082</v>
      </c>
      <c r="AG565" s="275"/>
      <c r="AH565" s="510"/>
      <c r="AI565" s="275"/>
      <c r="AJ565" s="510"/>
      <c r="AK565" s="275"/>
      <c r="AL565" s="510"/>
      <c r="AM565" s="275"/>
      <c r="AN565" s="510"/>
      <c r="AO565" s="276"/>
    </row>
    <row r="566" spans="1:41" s="183" customFormat="1" ht="15" customHeight="1">
      <c r="A566" s="179" t="s">
        <v>816</v>
      </c>
      <c r="B566" s="328" t="s">
        <v>138</v>
      </c>
      <c r="C566" s="329">
        <v>228778</v>
      </c>
      <c r="D566" s="200">
        <v>1</v>
      </c>
      <c r="E566" s="275">
        <v>7986</v>
      </c>
      <c r="F566" s="510">
        <v>8060</v>
      </c>
      <c r="G566" s="275">
        <v>16236</v>
      </c>
      <c r="H566" s="510">
        <v>17816</v>
      </c>
      <c r="I566" s="275">
        <v>7706</v>
      </c>
      <c r="J566" s="510">
        <v>6448</v>
      </c>
      <c r="K566" s="275">
        <v>15792</v>
      </c>
      <c r="L566" s="510">
        <v>12774</v>
      </c>
      <c r="M566" s="275">
        <v>20022</v>
      </c>
      <c r="N566" s="510">
        <v>19184.02</v>
      </c>
      <c r="O566" s="275">
        <v>33492</v>
      </c>
      <c r="P566" s="510">
        <v>34520.02</v>
      </c>
      <c r="Q566" s="275"/>
      <c r="R566" s="510"/>
      <c r="S566" s="275"/>
      <c r="T566" s="510"/>
      <c r="U566" s="275"/>
      <c r="V566" s="510"/>
      <c r="W566" s="275"/>
      <c r="X566" s="510"/>
      <c r="Y566" s="275">
        <v>9422</v>
      </c>
      <c r="Z566" s="510">
        <v>10576.02</v>
      </c>
      <c r="AA566" s="275">
        <v>23340</v>
      </c>
      <c r="AB566" s="510">
        <v>28736.02</v>
      </c>
      <c r="AC566" s="275"/>
      <c r="AD566" s="510"/>
      <c r="AE566" s="275"/>
      <c r="AF566" s="510"/>
      <c r="AG566" s="275"/>
      <c r="AH566" s="510"/>
      <c r="AI566" s="275"/>
      <c r="AJ566" s="510"/>
      <c r="AK566" s="275"/>
      <c r="AL566" s="510"/>
      <c r="AM566" s="275"/>
      <c r="AN566" s="510"/>
      <c r="AO566" s="276"/>
    </row>
    <row r="567" spans="1:41" s="183" customFormat="1" ht="15" customHeight="1">
      <c r="A567" s="179" t="s">
        <v>816</v>
      </c>
      <c r="B567" s="179" t="s">
        <v>135</v>
      </c>
      <c r="C567" s="432">
        <v>229115</v>
      </c>
      <c r="D567" s="182">
        <v>1</v>
      </c>
      <c r="E567" s="275">
        <v>6760</v>
      </c>
      <c r="F567" s="510">
        <v>7083</v>
      </c>
      <c r="G567" s="275">
        <v>15010</v>
      </c>
      <c r="H567" s="510">
        <v>15423</v>
      </c>
      <c r="I567" s="275">
        <v>6490</v>
      </c>
      <c r="J567" s="510">
        <v>5901</v>
      </c>
      <c r="K567" s="275">
        <v>13861</v>
      </c>
      <c r="L567" s="510">
        <v>13754</v>
      </c>
      <c r="M567" s="275">
        <v>9561</v>
      </c>
      <c r="N567" s="510">
        <v>11210</v>
      </c>
      <c r="O567" s="275">
        <v>14521</v>
      </c>
      <c r="P567" s="510">
        <v>18650</v>
      </c>
      <c r="Q567" s="275"/>
      <c r="R567" s="510"/>
      <c r="S567" s="275"/>
      <c r="T567" s="510"/>
      <c r="U567" s="275"/>
      <c r="V567" s="510"/>
      <c r="W567" s="275"/>
      <c r="X567" s="510"/>
      <c r="Y567" s="275"/>
      <c r="Z567" s="510"/>
      <c r="AA567" s="275"/>
      <c r="AB567" s="510"/>
      <c r="AC567" s="275"/>
      <c r="AD567" s="510"/>
      <c r="AE567" s="275"/>
      <c r="AF567" s="510"/>
      <c r="AG567" s="275"/>
      <c r="AH567" s="510"/>
      <c r="AI567" s="275"/>
      <c r="AJ567" s="510"/>
      <c r="AK567" s="275"/>
      <c r="AL567" s="510"/>
      <c r="AM567" s="275"/>
      <c r="AN567" s="510"/>
      <c r="AO567" s="276"/>
    </row>
    <row r="568" spans="1:41" s="183" customFormat="1" ht="15" customHeight="1">
      <c r="A568" s="179" t="s">
        <v>816</v>
      </c>
      <c r="B568" s="179" t="s">
        <v>134</v>
      </c>
      <c r="C568" s="432">
        <v>228723</v>
      </c>
      <c r="D568" s="182">
        <v>1</v>
      </c>
      <c r="E568" s="275">
        <v>7008</v>
      </c>
      <c r="F568" s="510">
        <v>7326</v>
      </c>
      <c r="G568" s="275">
        <v>15258</v>
      </c>
      <c r="H568" s="510">
        <v>15666</v>
      </c>
      <c r="I568" s="275">
        <v>6565</v>
      </c>
      <c r="J568" s="510">
        <v>6229</v>
      </c>
      <c r="K568" s="275">
        <v>13789</v>
      </c>
      <c r="L568" s="510">
        <v>11789</v>
      </c>
      <c r="M568" s="275"/>
      <c r="N568" s="510"/>
      <c r="O568" s="275"/>
      <c r="P568" s="510"/>
      <c r="Q568" s="275"/>
      <c r="R568" s="510"/>
      <c r="S568" s="275"/>
      <c r="T568" s="510"/>
      <c r="U568" s="275"/>
      <c r="V568" s="510"/>
      <c r="W568" s="275"/>
      <c r="X568" s="510"/>
      <c r="Y568" s="275"/>
      <c r="Z568" s="510"/>
      <c r="AA568" s="275"/>
      <c r="AB568" s="510"/>
      <c r="AC568" s="275"/>
      <c r="AD568" s="510"/>
      <c r="AE568" s="275"/>
      <c r="AF568" s="510"/>
      <c r="AG568" s="275"/>
      <c r="AH568" s="510"/>
      <c r="AI568" s="275"/>
      <c r="AJ568" s="510"/>
      <c r="AK568" s="275">
        <v>12166</v>
      </c>
      <c r="AL568" s="510">
        <v>12482</v>
      </c>
      <c r="AM568" s="275">
        <v>22966</v>
      </c>
      <c r="AN568" s="510">
        <v>23282</v>
      </c>
      <c r="AO568" s="276"/>
    </row>
    <row r="569" spans="1:41" s="183" customFormat="1" ht="15" customHeight="1">
      <c r="A569" s="179" t="s">
        <v>816</v>
      </c>
      <c r="B569" s="179" t="s">
        <v>137</v>
      </c>
      <c r="C569" s="432">
        <v>227216</v>
      </c>
      <c r="D569" s="182">
        <v>1</v>
      </c>
      <c r="E569" s="275">
        <v>6464</v>
      </c>
      <c r="F569" s="510">
        <v>6680</v>
      </c>
      <c r="G569" s="275">
        <v>14714</v>
      </c>
      <c r="H569" s="510">
        <v>15020</v>
      </c>
      <c r="I569" s="275">
        <v>6432</v>
      </c>
      <c r="J569" s="510">
        <v>5580</v>
      </c>
      <c r="K569" s="275">
        <v>13020</v>
      </c>
      <c r="L569" s="510">
        <v>11140</v>
      </c>
      <c r="M569" s="275"/>
      <c r="N569" s="510"/>
      <c r="O569" s="275"/>
      <c r="P569" s="510"/>
      <c r="Q569" s="275"/>
      <c r="R569" s="510"/>
      <c r="S569" s="275"/>
      <c r="T569" s="510"/>
      <c r="U569" s="275"/>
      <c r="V569" s="510"/>
      <c r="W569" s="275"/>
      <c r="X569" s="510"/>
      <c r="Y569" s="275"/>
      <c r="Z569" s="510"/>
      <c r="AA569" s="275"/>
      <c r="AB569" s="510"/>
      <c r="AC569" s="275"/>
      <c r="AD569" s="510"/>
      <c r="AE569" s="275"/>
      <c r="AF569" s="510"/>
      <c r="AG569" s="275"/>
      <c r="AH569" s="510"/>
      <c r="AI569" s="275"/>
      <c r="AJ569" s="510"/>
      <c r="AK569" s="275"/>
      <c r="AL569" s="510"/>
      <c r="AM569" s="275"/>
      <c r="AN569" s="510"/>
      <c r="AO569" s="276"/>
    </row>
    <row r="570" spans="1:41" s="183" customFormat="1" ht="15" customHeight="1">
      <c r="A570" s="179" t="s">
        <v>816</v>
      </c>
      <c r="B570" s="452" t="s">
        <v>141</v>
      </c>
      <c r="C570" s="329">
        <v>228787</v>
      </c>
      <c r="D570" s="200">
        <v>1</v>
      </c>
      <c r="E570" s="275">
        <v>7330</v>
      </c>
      <c r="F570" s="510">
        <v>8554</v>
      </c>
      <c r="G570" s="275">
        <v>18746</v>
      </c>
      <c r="H570" s="510">
        <v>17854</v>
      </c>
      <c r="I570" s="275">
        <v>7067</v>
      </c>
      <c r="J570" s="510">
        <v>7504</v>
      </c>
      <c r="K570" s="275">
        <v>13667</v>
      </c>
      <c r="L570" s="510">
        <v>13704</v>
      </c>
      <c r="M570" s="275"/>
      <c r="N570" s="510"/>
      <c r="O570" s="275"/>
      <c r="P570" s="510"/>
      <c r="Q570" s="275"/>
      <c r="R570" s="510"/>
      <c r="S570" s="275"/>
      <c r="T570" s="510"/>
      <c r="U570" s="275"/>
      <c r="V570" s="510"/>
      <c r="W570" s="275"/>
      <c r="X570" s="510"/>
      <c r="Y570" s="275"/>
      <c r="Z570" s="510"/>
      <c r="AA570" s="275"/>
      <c r="AB570" s="510"/>
      <c r="AC570" s="275"/>
      <c r="AD570" s="510"/>
      <c r="AE570" s="275"/>
      <c r="AF570" s="510"/>
      <c r="AG570" s="275"/>
      <c r="AH570" s="510"/>
      <c r="AI570" s="275"/>
      <c r="AJ570" s="510"/>
      <c r="AK570" s="275"/>
      <c r="AL570" s="510"/>
      <c r="AM570" s="275"/>
      <c r="AN570" s="510"/>
      <c r="AO570" s="276"/>
    </row>
    <row r="571" spans="1:41" s="183" customFormat="1" ht="15" customHeight="1">
      <c r="A571" s="179" t="s">
        <v>816</v>
      </c>
      <c r="B571" s="179" t="s">
        <v>139</v>
      </c>
      <c r="C571" s="432">
        <v>229179</v>
      </c>
      <c r="D571" s="182">
        <v>2</v>
      </c>
      <c r="E571" s="275">
        <v>5100</v>
      </c>
      <c r="F571" s="510">
        <v>5832</v>
      </c>
      <c r="G571" s="275">
        <v>13350</v>
      </c>
      <c r="H571" s="510">
        <v>14082</v>
      </c>
      <c r="I571" s="275">
        <v>5650</v>
      </c>
      <c r="J571" s="510">
        <v>5328</v>
      </c>
      <c r="K571" s="275">
        <v>12934</v>
      </c>
      <c r="L571" s="510">
        <v>12030</v>
      </c>
      <c r="M571" s="275"/>
      <c r="N571" s="510"/>
      <c r="O571" s="275"/>
      <c r="P571" s="510"/>
      <c r="Q571" s="275"/>
      <c r="R571" s="510"/>
      <c r="S571" s="275"/>
      <c r="T571" s="510"/>
      <c r="U571" s="275"/>
      <c r="V571" s="510"/>
      <c r="W571" s="275"/>
      <c r="X571" s="510"/>
      <c r="Y571" s="275"/>
      <c r="Z571" s="510"/>
      <c r="AA571" s="275"/>
      <c r="AB571" s="510"/>
      <c r="AC571" s="275"/>
      <c r="AD571" s="510"/>
      <c r="AE571" s="275"/>
      <c r="AF571" s="510"/>
      <c r="AG571" s="275"/>
      <c r="AH571" s="510"/>
      <c r="AI571" s="275"/>
      <c r="AJ571" s="510"/>
      <c r="AK571" s="275"/>
      <c r="AL571" s="510"/>
      <c r="AM571" s="275"/>
      <c r="AN571" s="510"/>
      <c r="AO571" s="276"/>
    </row>
    <row r="572" spans="1:41" s="183" customFormat="1" ht="15" customHeight="1">
      <c r="A572" s="179" t="s">
        <v>816</v>
      </c>
      <c r="B572" s="328" t="s">
        <v>140</v>
      </c>
      <c r="C572" s="329">
        <v>228769</v>
      </c>
      <c r="D572" s="200">
        <v>2</v>
      </c>
      <c r="E572" s="275">
        <v>6384</v>
      </c>
      <c r="F572" s="510">
        <v>7040</v>
      </c>
      <c r="G572" s="275">
        <v>14650</v>
      </c>
      <c r="H572" s="510">
        <v>15290</v>
      </c>
      <c r="I572" s="275">
        <v>6439</v>
      </c>
      <c r="J572" s="510">
        <v>5980</v>
      </c>
      <c r="K572" s="275">
        <v>13464</v>
      </c>
      <c r="L572" s="510">
        <v>11478</v>
      </c>
      <c r="M572" s="275"/>
      <c r="N572" s="510"/>
      <c r="O572" s="275"/>
      <c r="P572" s="510"/>
      <c r="Q572" s="275"/>
      <c r="R572" s="510"/>
      <c r="S572" s="275"/>
      <c r="T572" s="510"/>
      <c r="U572" s="275"/>
      <c r="V572" s="510"/>
      <c r="W572" s="275"/>
      <c r="X572" s="510"/>
      <c r="Y572" s="275"/>
      <c r="Z572" s="510"/>
      <c r="AA572" s="275"/>
      <c r="AB572" s="510"/>
      <c r="AC572" s="275"/>
      <c r="AD572" s="510"/>
      <c r="AE572" s="275"/>
      <c r="AF572" s="510"/>
      <c r="AG572" s="275"/>
      <c r="AH572" s="510"/>
      <c r="AI572" s="275"/>
      <c r="AJ572" s="510"/>
      <c r="AK572" s="275"/>
      <c r="AL572" s="510"/>
      <c r="AM572" s="275"/>
      <c r="AN572" s="510"/>
      <c r="AO572" s="276"/>
    </row>
    <row r="573" spans="1:41" s="183" customFormat="1" ht="15" customHeight="1">
      <c r="A573" s="179" t="s">
        <v>816</v>
      </c>
      <c r="B573" s="179" t="s">
        <v>153</v>
      </c>
      <c r="C573" s="432">
        <v>229063</v>
      </c>
      <c r="D573" s="182">
        <v>3</v>
      </c>
      <c r="E573" s="275">
        <v>4468</v>
      </c>
      <c r="F573" s="510">
        <v>5428</v>
      </c>
      <c r="G573" s="275">
        <v>12718</v>
      </c>
      <c r="H573" s="510">
        <v>13768</v>
      </c>
      <c r="I573" s="275">
        <v>7138</v>
      </c>
      <c r="J573" s="510">
        <v>5948</v>
      </c>
      <c r="K573" s="275">
        <v>15927</v>
      </c>
      <c r="L573" s="510">
        <v>13268</v>
      </c>
      <c r="M573" s="275">
        <v>11228</v>
      </c>
      <c r="N573" s="510">
        <v>12556</v>
      </c>
      <c r="O573" s="275">
        <v>14978</v>
      </c>
      <c r="P573" s="510">
        <v>16306</v>
      </c>
      <c r="Q573" s="275"/>
      <c r="R573" s="510"/>
      <c r="S573" s="275"/>
      <c r="T573" s="510"/>
      <c r="U573" s="275"/>
      <c r="V573" s="510"/>
      <c r="W573" s="275"/>
      <c r="X573" s="510"/>
      <c r="Y573" s="275">
        <v>7078</v>
      </c>
      <c r="Z573" s="510">
        <v>8038</v>
      </c>
      <c r="AA573" s="275">
        <v>12758</v>
      </c>
      <c r="AB573" s="510">
        <v>13678</v>
      </c>
      <c r="AC573" s="275"/>
      <c r="AD573" s="510"/>
      <c r="AE573" s="275"/>
      <c r="AF573" s="510"/>
      <c r="AG573" s="275"/>
      <c r="AH573" s="510"/>
      <c r="AI573" s="275"/>
      <c r="AJ573" s="510"/>
      <c r="AK573" s="275"/>
      <c r="AL573" s="510"/>
      <c r="AM573" s="275"/>
      <c r="AN573" s="510"/>
      <c r="AO573" s="276"/>
    </row>
    <row r="574" spans="1:41" s="183" customFormat="1" ht="15" customHeight="1">
      <c r="A574" s="179" t="s">
        <v>816</v>
      </c>
      <c r="B574" s="179" t="s">
        <v>142</v>
      </c>
      <c r="C574" s="432">
        <v>222831</v>
      </c>
      <c r="D574" s="182">
        <v>3</v>
      </c>
      <c r="E574" s="275">
        <v>4636</v>
      </c>
      <c r="F574" s="510">
        <v>4661</v>
      </c>
      <c r="G574" s="275">
        <v>12886</v>
      </c>
      <c r="H574" s="510">
        <v>12911</v>
      </c>
      <c r="I574" s="275">
        <v>4301</v>
      </c>
      <c r="J574" s="510">
        <v>3916</v>
      </c>
      <c r="K574" s="275">
        <v>10901</v>
      </c>
      <c r="L574" s="510">
        <v>9416</v>
      </c>
      <c r="M574" s="275"/>
      <c r="N574" s="510"/>
      <c r="O574" s="275"/>
      <c r="P574" s="510"/>
      <c r="Q574" s="275"/>
      <c r="R574" s="510"/>
      <c r="S574" s="275"/>
      <c r="T574" s="510"/>
      <c r="U574" s="275"/>
      <c r="V574" s="510"/>
      <c r="W574" s="275"/>
      <c r="X574" s="510"/>
      <c r="Y574" s="275"/>
      <c r="Z574" s="510"/>
      <c r="AA574" s="275"/>
      <c r="AB574" s="510"/>
      <c r="AC574" s="275"/>
      <c r="AD574" s="510"/>
      <c r="AE574" s="275"/>
      <c r="AF574" s="510"/>
      <c r="AG574" s="275"/>
      <c r="AH574" s="510"/>
      <c r="AI574" s="275"/>
      <c r="AJ574" s="510"/>
      <c r="AK574" s="275"/>
      <c r="AL574" s="510"/>
      <c r="AM574" s="275"/>
      <c r="AN574" s="510"/>
      <c r="AO574" s="276"/>
    </row>
    <row r="575" spans="1:41" s="183" customFormat="1" ht="15" customHeight="1">
      <c r="A575" s="179" t="s">
        <v>816</v>
      </c>
      <c r="B575" s="179" t="s">
        <v>143</v>
      </c>
      <c r="C575" s="432">
        <v>226091</v>
      </c>
      <c r="D575" s="182">
        <v>3</v>
      </c>
      <c r="E575" s="275">
        <v>4914</v>
      </c>
      <c r="F575" s="510">
        <v>5560</v>
      </c>
      <c r="G575" s="275">
        <v>13164</v>
      </c>
      <c r="H575" s="510">
        <v>13900</v>
      </c>
      <c r="I575" s="275">
        <v>5106</v>
      </c>
      <c r="J575" s="510">
        <v>6880</v>
      </c>
      <c r="K575" s="275">
        <v>11730</v>
      </c>
      <c r="L575" s="510">
        <v>15220</v>
      </c>
      <c r="M575" s="275"/>
      <c r="N575" s="510"/>
      <c r="O575" s="275"/>
      <c r="P575" s="510"/>
      <c r="Q575" s="275"/>
      <c r="R575" s="510"/>
      <c r="S575" s="275"/>
      <c r="T575" s="510"/>
      <c r="U575" s="275"/>
      <c r="V575" s="510"/>
      <c r="W575" s="275"/>
      <c r="X575" s="510"/>
      <c r="Y575" s="275"/>
      <c r="Z575" s="510"/>
      <c r="AA575" s="275"/>
      <c r="AB575" s="510"/>
      <c r="AC575" s="275"/>
      <c r="AD575" s="510"/>
      <c r="AE575" s="275"/>
      <c r="AF575" s="510"/>
      <c r="AG575" s="275"/>
      <c r="AH575" s="510"/>
      <c r="AI575" s="275"/>
      <c r="AJ575" s="510"/>
      <c r="AK575" s="275"/>
      <c r="AL575" s="510"/>
      <c r="AM575" s="275"/>
      <c r="AN575" s="510"/>
      <c r="AO575" s="276"/>
    </row>
    <row r="576" spans="1:41" s="183" customFormat="1" ht="15" customHeight="1">
      <c r="A576" s="179" t="s">
        <v>816</v>
      </c>
      <c r="B576" s="328" t="s">
        <v>144</v>
      </c>
      <c r="C576" s="329">
        <v>226833</v>
      </c>
      <c r="D576" s="200">
        <v>3</v>
      </c>
      <c r="E576" s="275">
        <v>4740</v>
      </c>
      <c r="F576" s="510">
        <v>5632</v>
      </c>
      <c r="G576" s="275">
        <v>14990</v>
      </c>
      <c r="H576" s="510">
        <v>13972</v>
      </c>
      <c r="I576" s="275">
        <v>4582</v>
      </c>
      <c r="J576" s="510">
        <v>4474</v>
      </c>
      <c r="K576" s="275">
        <v>11182</v>
      </c>
      <c r="L576" s="510">
        <v>10034</v>
      </c>
      <c r="M576" s="275"/>
      <c r="N576" s="510"/>
      <c r="O576" s="275"/>
      <c r="P576" s="510"/>
      <c r="Q576" s="275"/>
      <c r="R576" s="510"/>
      <c r="S576" s="275"/>
      <c r="T576" s="510"/>
      <c r="U576" s="275"/>
      <c r="V576" s="510"/>
      <c r="W576" s="275"/>
      <c r="X576" s="510"/>
      <c r="Y576" s="275"/>
      <c r="Z576" s="510"/>
      <c r="AA576" s="275"/>
      <c r="AB576" s="510"/>
      <c r="AC576" s="275"/>
      <c r="AD576" s="510"/>
      <c r="AE576" s="275"/>
      <c r="AF576" s="510"/>
      <c r="AG576" s="275"/>
      <c r="AH576" s="510"/>
      <c r="AI576" s="275"/>
      <c r="AJ576" s="510"/>
      <c r="AK576" s="275"/>
      <c r="AL576" s="510"/>
      <c r="AM576" s="275"/>
      <c r="AN576" s="510"/>
      <c r="AO576" s="276"/>
    </row>
    <row r="577" spans="1:41" s="183" customFormat="1" ht="15" customHeight="1">
      <c r="A577" s="179" t="s">
        <v>816</v>
      </c>
      <c r="B577" s="179" t="s">
        <v>145</v>
      </c>
      <c r="C577" s="432">
        <v>227526</v>
      </c>
      <c r="D577" s="182">
        <v>3</v>
      </c>
      <c r="E577" s="275">
        <v>5614</v>
      </c>
      <c r="F577" s="510">
        <v>6118</v>
      </c>
      <c r="G577" s="275">
        <v>13864</v>
      </c>
      <c r="H577" s="510">
        <v>14458</v>
      </c>
      <c r="I577" s="275">
        <v>5374</v>
      </c>
      <c r="J577" s="510">
        <v>4414</v>
      </c>
      <c r="K577" s="275">
        <v>12022</v>
      </c>
      <c r="L577" s="510">
        <v>9454</v>
      </c>
      <c r="M577" s="275"/>
      <c r="N577" s="510"/>
      <c r="O577" s="275"/>
      <c r="P577" s="510"/>
      <c r="Q577" s="275"/>
      <c r="R577" s="510"/>
      <c r="S577" s="275"/>
      <c r="T577" s="510"/>
      <c r="U577" s="275"/>
      <c r="V577" s="510"/>
      <c r="W577" s="275"/>
      <c r="X577" s="510"/>
      <c r="Y577" s="275"/>
      <c r="Z577" s="510"/>
      <c r="AA577" s="275"/>
      <c r="AB577" s="510"/>
      <c r="AC577" s="275"/>
      <c r="AD577" s="510"/>
      <c r="AE577" s="275"/>
      <c r="AF577" s="510"/>
      <c r="AG577" s="275"/>
      <c r="AH577" s="510"/>
      <c r="AI577" s="275"/>
      <c r="AJ577" s="510"/>
      <c r="AK577" s="275"/>
      <c r="AL577" s="510"/>
      <c r="AM577" s="275"/>
      <c r="AN577" s="510"/>
      <c r="AO577" s="276"/>
    </row>
    <row r="578" spans="1:41" s="183" customFormat="1" ht="15" customHeight="1">
      <c r="A578" s="179" t="s">
        <v>816</v>
      </c>
      <c r="B578" s="179" t="s">
        <v>146</v>
      </c>
      <c r="C578" s="432">
        <v>227881</v>
      </c>
      <c r="D578" s="182">
        <v>3</v>
      </c>
      <c r="E578" s="275">
        <v>5362</v>
      </c>
      <c r="F578" s="510">
        <v>5566</v>
      </c>
      <c r="G578" s="275">
        <v>13612</v>
      </c>
      <c r="H578" s="510">
        <v>13906</v>
      </c>
      <c r="I578" s="275">
        <v>5417</v>
      </c>
      <c r="J578" s="510">
        <v>5026</v>
      </c>
      <c r="K578" s="275">
        <v>12017</v>
      </c>
      <c r="L578" s="510">
        <v>10586</v>
      </c>
      <c r="M578" s="275"/>
      <c r="N578" s="510"/>
      <c r="O578" s="275"/>
      <c r="P578" s="510"/>
      <c r="Q578" s="275"/>
      <c r="R578" s="510"/>
      <c r="S578" s="275"/>
      <c r="T578" s="510"/>
      <c r="U578" s="275"/>
      <c r="V578" s="510"/>
      <c r="W578" s="275"/>
      <c r="X578" s="510"/>
      <c r="Y578" s="275"/>
      <c r="Z578" s="510"/>
      <c r="AA578" s="275"/>
      <c r="AB578" s="510"/>
      <c r="AC578" s="275"/>
      <c r="AD578" s="510"/>
      <c r="AE578" s="275"/>
      <c r="AF578" s="510"/>
      <c r="AG578" s="275"/>
      <c r="AH578" s="510"/>
      <c r="AI578" s="275"/>
      <c r="AJ578" s="510"/>
      <c r="AK578" s="275"/>
      <c r="AL578" s="510"/>
      <c r="AM578" s="275"/>
      <c r="AN578" s="510"/>
      <c r="AO578" s="276"/>
    </row>
    <row r="579" spans="1:41" s="183" customFormat="1" ht="15" customHeight="1">
      <c r="A579" s="179" t="s">
        <v>816</v>
      </c>
      <c r="B579" s="179" t="s">
        <v>147</v>
      </c>
      <c r="C579" s="432">
        <v>228431</v>
      </c>
      <c r="D579" s="182">
        <v>3</v>
      </c>
      <c r="E579" s="275">
        <v>5232</v>
      </c>
      <c r="F579" s="510">
        <v>5412</v>
      </c>
      <c r="G579" s="275">
        <v>12618</v>
      </c>
      <c r="H579" s="510">
        <v>13662</v>
      </c>
      <c r="I579" s="275">
        <v>4930</v>
      </c>
      <c r="J579" s="510">
        <v>4372</v>
      </c>
      <c r="K579" s="275">
        <v>11702</v>
      </c>
      <c r="L579" s="510">
        <v>9872</v>
      </c>
      <c r="M579" s="275"/>
      <c r="N579" s="510"/>
      <c r="O579" s="275"/>
      <c r="P579" s="510"/>
      <c r="Q579" s="275"/>
      <c r="R579" s="510"/>
      <c r="S579" s="275"/>
      <c r="T579" s="510"/>
      <c r="U579" s="275"/>
      <c r="V579" s="510"/>
      <c r="W579" s="275"/>
      <c r="X579" s="510"/>
      <c r="Y579" s="275"/>
      <c r="Z579" s="510"/>
      <c r="AA579" s="275"/>
      <c r="AB579" s="510"/>
      <c r="AC579" s="275"/>
      <c r="AD579" s="510"/>
      <c r="AE579" s="275"/>
      <c r="AF579" s="510"/>
      <c r="AG579" s="275"/>
      <c r="AH579" s="510"/>
      <c r="AI579" s="275"/>
      <c r="AJ579" s="510"/>
      <c r="AK579" s="275"/>
      <c r="AL579" s="510"/>
      <c r="AM579" s="275"/>
      <c r="AN579" s="510"/>
      <c r="AO579" s="276"/>
    </row>
    <row r="580" spans="1:41" s="183" customFormat="1" ht="15" customHeight="1">
      <c r="A580" s="179" t="s">
        <v>816</v>
      </c>
      <c r="B580" s="328" t="s">
        <v>148</v>
      </c>
      <c r="C580" s="329">
        <v>228501</v>
      </c>
      <c r="D580" s="200">
        <v>3</v>
      </c>
      <c r="E580" s="275">
        <v>4368</v>
      </c>
      <c r="F580" s="510">
        <v>4746</v>
      </c>
      <c r="G580" s="275">
        <v>12618</v>
      </c>
      <c r="H580" s="510">
        <v>13026</v>
      </c>
      <c r="I580" s="275">
        <v>3538</v>
      </c>
      <c r="J580" s="510">
        <v>3382</v>
      </c>
      <c r="K580" s="275">
        <v>10589</v>
      </c>
      <c r="L580" s="510">
        <v>8902</v>
      </c>
      <c r="M580" s="275"/>
      <c r="N580" s="510"/>
      <c r="O580" s="275"/>
      <c r="P580" s="510"/>
      <c r="Q580" s="275"/>
      <c r="R580" s="510"/>
      <c r="S580" s="275"/>
      <c r="T580" s="510"/>
      <c r="U580" s="275"/>
      <c r="V580" s="510"/>
      <c r="W580" s="275"/>
      <c r="X580" s="510"/>
      <c r="Y580" s="275"/>
      <c r="Z580" s="510"/>
      <c r="AA580" s="275"/>
      <c r="AB580" s="510"/>
      <c r="AC580" s="275"/>
      <c r="AD580" s="510"/>
      <c r="AE580" s="275"/>
      <c r="AF580" s="510"/>
      <c r="AG580" s="275"/>
      <c r="AH580" s="510"/>
      <c r="AI580" s="275"/>
      <c r="AJ580" s="510"/>
      <c r="AK580" s="275"/>
      <c r="AL580" s="510"/>
      <c r="AM580" s="275"/>
      <c r="AN580" s="510"/>
      <c r="AO580" s="276"/>
    </row>
    <row r="581" spans="1:41" s="183" customFormat="1" ht="15" customHeight="1">
      <c r="A581" s="179" t="s">
        <v>816</v>
      </c>
      <c r="B581" s="179" t="s">
        <v>149</v>
      </c>
      <c r="C581" s="432">
        <v>228529</v>
      </c>
      <c r="D581" s="182">
        <v>3</v>
      </c>
      <c r="E581" s="275">
        <v>4692</v>
      </c>
      <c r="F581" s="510">
        <v>5094</v>
      </c>
      <c r="G581" s="275">
        <v>12942</v>
      </c>
      <c r="H581" s="510">
        <v>13434</v>
      </c>
      <c r="I581" s="275">
        <v>3394</v>
      </c>
      <c r="J581" s="510">
        <v>3746</v>
      </c>
      <c r="K581" s="275">
        <v>8694</v>
      </c>
      <c r="L581" s="510">
        <v>9106</v>
      </c>
      <c r="M581" s="275"/>
      <c r="N581" s="510"/>
      <c r="O581" s="275"/>
      <c r="P581" s="510"/>
      <c r="Q581" s="275"/>
      <c r="R581" s="510"/>
      <c r="S581" s="275"/>
      <c r="T581" s="510"/>
      <c r="U581" s="275"/>
      <c r="V581" s="510"/>
      <c r="W581" s="275"/>
      <c r="X581" s="510"/>
      <c r="Y581" s="275"/>
      <c r="Z581" s="510"/>
      <c r="AA581" s="275"/>
      <c r="AB581" s="510"/>
      <c r="AC581" s="275"/>
      <c r="AD581" s="510"/>
      <c r="AE581" s="275"/>
      <c r="AF581" s="510"/>
      <c r="AG581" s="275"/>
      <c r="AH581" s="510"/>
      <c r="AI581" s="275"/>
      <c r="AJ581" s="510"/>
      <c r="AK581" s="275"/>
      <c r="AL581" s="510"/>
      <c r="AM581" s="275"/>
      <c r="AN581" s="510"/>
      <c r="AO581" s="276"/>
    </row>
    <row r="582" spans="1:41" s="183" customFormat="1" ht="15" customHeight="1">
      <c r="A582" s="179" t="s">
        <v>816</v>
      </c>
      <c r="B582" s="179" t="s">
        <v>150</v>
      </c>
      <c r="C582" s="432">
        <v>224554</v>
      </c>
      <c r="D582" s="182">
        <v>3</v>
      </c>
      <c r="E582" s="275">
        <v>4616</v>
      </c>
      <c r="F582" s="510">
        <v>5190</v>
      </c>
      <c r="G582" s="275">
        <v>12866</v>
      </c>
      <c r="H582" s="510">
        <v>13440</v>
      </c>
      <c r="I582" s="275">
        <v>4752</v>
      </c>
      <c r="J582" s="510">
        <v>4300</v>
      </c>
      <c r="K582" s="275">
        <v>11328</v>
      </c>
      <c r="L582" s="510">
        <v>9800</v>
      </c>
      <c r="M582" s="275"/>
      <c r="N582" s="510"/>
      <c r="O582" s="275"/>
      <c r="P582" s="510"/>
      <c r="Q582" s="275"/>
      <c r="R582" s="510"/>
      <c r="S582" s="275"/>
      <c r="T582" s="510"/>
      <c r="U582" s="275"/>
      <c r="V582" s="510"/>
      <c r="W582" s="275"/>
      <c r="X582" s="510"/>
      <c r="Y582" s="275"/>
      <c r="Z582" s="510"/>
      <c r="AA582" s="275"/>
      <c r="AB582" s="510"/>
      <c r="AC582" s="275"/>
      <c r="AD582" s="510"/>
      <c r="AE582" s="275"/>
      <c r="AF582" s="510"/>
      <c r="AG582" s="275"/>
      <c r="AH582" s="510"/>
      <c r="AI582" s="275"/>
      <c r="AJ582" s="510"/>
      <c r="AK582" s="275"/>
      <c r="AL582" s="510"/>
      <c r="AM582" s="275"/>
      <c r="AN582" s="510"/>
      <c r="AO582" s="276"/>
    </row>
    <row r="583" spans="1:41" s="183" customFormat="1" ht="15" customHeight="1">
      <c r="A583" s="179" t="s">
        <v>816</v>
      </c>
      <c r="B583" s="179" t="s">
        <v>151</v>
      </c>
      <c r="C583" s="432">
        <v>224147</v>
      </c>
      <c r="D583" s="182">
        <v>3</v>
      </c>
      <c r="E583" s="275">
        <v>5016</v>
      </c>
      <c r="F583" s="510">
        <v>5640</v>
      </c>
      <c r="G583" s="275">
        <v>13266</v>
      </c>
      <c r="H583" s="510">
        <v>13980</v>
      </c>
      <c r="I583" s="275">
        <v>4519</v>
      </c>
      <c r="J583" s="510">
        <v>4306</v>
      </c>
      <c r="K583" s="275">
        <v>11119</v>
      </c>
      <c r="L583" s="510">
        <v>9866</v>
      </c>
      <c r="M583" s="275"/>
      <c r="N583" s="510"/>
      <c r="O583" s="275"/>
      <c r="P583" s="510"/>
      <c r="Q583" s="275"/>
      <c r="R583" s="510"/>
      <c r="S583" s="275"/>
      <c r="T583" s="510"/>
      <c r="U583" s="275"/>
      <c r="V583" s="510"/>
      <c r="W583" s="275"/>
      <c r="X583" s="510"/>
      <c r="Y583" s="275"/>
      <c r="Z583" s="510"/>
      <c r="AA583" s="275"/>
      <c r="AB583" s="510"/>
      <c r="AC583" s="275"/>
      <c r="AD583" s="510"/>
      <c r="AE583" s="275"/>
      <c r="AF583" s="510"/>
      <c r="AG583" s="275"/>
      <c r="AH583" s="510"/>
      <c r="AI583" s="275"/>
      <c r="AJ583" s="510"/>
      <c r="AK583" s="275"/>
      <c r="AL583" s="510"/>
      <c r="AM583" s="275"/>
      <c r="AN583" s="510"/>
      <c r="AO583" s="276"/>
    </row>
    <row r="584" spans="1:41" s="183" customFormat="1" ht="15" customHeight="1">
      <c r="A584" s="179" t="s">
        <v>816</v>
      </c>
      <c r="B584" s="179" t="s">
        <v>152</v>
      </c>
      <c r="C584" s="432">
        <v>228705</v>
      </c>
      <c r="D584" s="182">
        <v>3</v>
      </c>
      <c r="E584" s="275">
        <v>4626</v>
      </c>
      <c r="F584" s="510">
        <v>4878</v>
      </c>
      <c r="G584" s="275">
        <v>12876</v>
      </c>
      <c r="H584" s="510">
        <v>13218</v>
      </c>
      <c r="I584" s="275">
        <v>3893</v>
      </c>
      <c r="J584" s="510">
        <v>3834</v>
      </c>
      <c r="K584" s="275">
        <v>10493</v>
      </c>
      <c r="L584" s="510">
        <v>9394</v>
      </c>
      <c r="M584" s="275"/>
      <c r="N584" s="510"/>
      <c r="O584" s="275"/>
      <c r="P584" s="510"/>
      <c r="Q584" s="275"/>
      <c r="R584" s="510"/>
      <c r="S584" s="275"/>
      <c r="T584" s="510"/>
      <c r="U584" s="275"/>
      <c r="V584" s="510"/>
      <c r="W584" s="275"/>
      <c r="X584" s="510"/>
      <c r="Y584" s="275"/>
      <c r="Z584" s="510"/>
      <c r="AA584" s="275"/>
      <c r="AB584" s="510"/>
      <c r="AC584" s="275"/>
      <c r="AD584" s="510"/>
      <c r="AE584" s="275"/>
      <c r="AF584" s="510"/>
      <c r="AG584" s="275"/>
      <c r="AH584" s="510"/>
      <c r="AI584" s="275"/>
      <c r="AJ584" s="510"/>
      <c r="AK584" s="275"/>
      <c r="AL584" s="510"/>
      <c r="AM584" s="275"/>
      <c r="AN584" s="510"/>
      <c r="AO584" s="276"/>
    </row>
    <row r="585" spans="1:41" s="183" customFormat="1" ht="15" customHeight="1">
      <c r="A585" s="179" t="s">
        <v>816</v>
      </c>
      <c r="B585" s="179" t="s">
        <v>154</v>
      </c>
      <c r="C585" s="432">
        <v>228459</v>
      </c>
      <c r="D585" s="182">
        <v>3</v>
      </c>
      <c r="E585" s="275">
        <v>5780</v>
      </c>
      <c r="F585" s="510">
        <v>6518</v>
      </c>
      <c r="G585" s="275">
        <v>14030</v>
      </c>
      <c r="H585" s="510">
        <v>14760</v>
      </c>
      <c r="I585" s="275">
        <v>5959</v>
      </c>
      <c r="J585" s="510">
        <v>5518</v>
      </c>
      <c r="K585" s="275">
        <v>12034</v>
      </c>
      <c r="L585" s="510">
        <v>11078</v>
      </c>
      <c r="M585" s="275"/>
      <c r="N585" s="540"/>
      <c r="O585" s="275"/>
      <c r="P585" s="540"/>
      <c r="Q585" s="275"/>
      <c r="R585" s="510"/>
      <c r="S585" s="275"/>
      <c r="T585" s="510"/>
      <c r="U585" s="275"/>
      <c r="V585" s="510"/>
      <c r="W585" s="275"/>
      <c r="X585" s="510"/>
      <c r="Y585" s="275"/>
      <c r="Z585" s="510"/>
      <c r="AA585" s="275"/>
      <c r="AB585" s="510"/>
      <c r="AC585" s="275"/>
      <c r="AD585" s="510"/>
      <c r="AE585" s="275"/>
      <c r="AF585" s="510"/>
      <c r="AG585" s="275"/>
      <c r="AH585" s="510"/>
      <c r="AI585" s="275"/>
      <c r="AJ585" s="510"/>
      <c r="AK585" s="275"/>
      <c r="AL585" s="510"/>
      <c r="AM585" s="275"/>
      <c r="AN585" s="510"/>
      <c r="AO585" s="276"/>
    </row>
    <row r="586" spans="1:41" s="183" customFormat="1" ht="15" customHeight="1">
      <c r="A586" s="179" t="s">
        <v>816</v>
      </c>
      <c r="B586" s="179" t="s">
        <v>155</v>
      </c>
      <c r="C586" s="432">
        <v>225414</v>
      </c>
      <c r="D586" s="182">
        <v>3</v>
      </c>
      <c r="E586" s="275">
        <v>4884</v>
      </c>
      <c r="F586" s="510">
        <v>5194</v>
      </c>
      <c r="G586" s="275">
        <v>13134</v>
      </c>
      <c r="H586" s="510">
        <v>13954</v>
      </c>
      <c r="I586" s="275">
        <v>6046</v>
      </c>
      <c r="J586" s="510">
        <v>5418</v>
      </c>
      <c r="K586" s="275">
        <v>12646</v>
      </c>
      <c r="L586" s="510">
        <v>11318</v>
      </c>
      <c r="M586" s="275"/>
      <c r="N586" s="540"/>
      <c r="O586" s="275"/>
      <c r="P586" s="540"/>
      <c r="Q586" s="275"/>
      <c r="R586" s="510"/>
      <c r="S586" s="275"/>
      <c r="T586" s="510"/>
      <c r="U586" s="275"/>
      <c r="V586" s="510"/>
      <c r="W586" s="275"/>
      <c r="X586" s="510"/>
      <c r="Y586" s="275"/>
      <c r="Z586" s="510"/>
      <c r="AA586" s="275"/>
      <c r="AB586" s="510"/>
      <c r="AC586" s="275"/>
      <c r="AD586" s="510"/>
      <c r="AE586" s="275"/>
      <c r="AF586" s="510"/>
      <c r="AG586" s="275"/>
      <c r="AH586" s="510"/>
      <c r="AI586" s="275"/>
      <c r="AJ586" s="510"/>
      <c r="AK586" s="275"/>
      <c r="AL586" s="510"/>
      <c r="AM586" s="275"/>
      <c r="AN586" s="510"/>
      <c r="AO586" s="276"/>
    </row>
    <row r="587" spans="1:41" s="183" customFormat="1" ht="15" customHeight="1">
      <c r="A587" s="179" t="s">
        <v>816</v>
      </c>
      <c r="B587" s="328" t="s">
        <v>156</v>
      </c>
      <c r="C587" s="329">
        <v>228796</v>
      </c>
      <c r="D587" s="200">
        <v>3</v>
      </c>
      <c r="E587" s="275">
        <v>5416</v>
      </c>
      <c r="F587" s="510">
        <v>5610</v>
      </c>
      <c r="G587" s="275">
        <v>13666</v>
      </c>
      <c r="H587" s="510">
        <v>13950</v>
      </c>
      <c r="I587" s="275">
        <v>5237</v>
      </c>
      <c r="J587" s="510">
        <v>4620</v>
      </c>
      <c r="K587" s="275">
        <v>11832</v>
      </c>
      <c r="L587" s="510">
        <v>10180</v>
      </c>
      <c r="M587" s="275"/>
      <c r="N587" s="510"/>
      <c r="O587" s="275"/>
      <c r="P587" s="510"/>
      <c r="Q587" s="275"/>
      <c r="R587" s="510"/>
      <c r="S587" s="275"/>
      <c r="T587" s="510"/>
      <c r="U587" s="275"/>
      <c r="V587" s="510"/>
      <c r="W587" s="275"/>
      <c r="X587" s="510"/>
      <c r="Y587" s="275"/>
      <c r="Z587" s="510"/>
      <c r="AA587" s="275"/>
      <c r="AB587" s="510"/>
      <c r="AC587" s="275"/>
      <c r="AD587" s="510"/>
      <c r="AE587" s="275"/>
      <c r="AF587" s="510"/>
      <c r="AG587" s="275"/>
      <c r="AH587" s="510"/>
      <c r="AI587" s="275"/>
      <c r="AJ587" s="510"/>
      <c r="AK587" s="275"/>
      <c r="AL587" s="510"/>
      <c r="AM587" s="275"/>
      <c r="AN587" s="510"/>
      <c r="AO587" s="276"/>
    </row>
    <row r="588" spans="1:41" s="183" customFormat="1" ht="15" customHeight="1">
      <c r="A588" s="179" t="s">
        <v>816</v>
      </c>
      <c r="B588" s="328" t="s">
        <v>157</v>
      </c>
      <c r="C588" s="432">
        <v>229027</v>
      </c>
      <c r="D588" s="182">
        <v>3</v>
      </c>
      <c r="E588" s="275">
        <v>6666</v>
      </c>
      <c r="F588" s="510">
        <v>6848</v>
      </c>
      <c r="G588" s="275">
        <v>14916</v>
      </c>
      <c r="H588" s="510">
        <v>15188</v>
      </c>
      <c r="I588" s="275">
        <v>6339</v>
      </c>
      <c r="J588" s="510">
        <v>4919</v>
      </c>
      <c r="K588" s="275">
        <v>14837</v>
      </c>
      <c r="L588" s="510">
        <v>14927</v>
      </c>
      <c r="M588" s="275"/>
      <c r="N588" s="510"/>
      <c r="O588" s="275"/>
      <c r="P588" s="510"/>
      <c r="Q588" s="275"/>
      <c r="R588" s="510"/>
      <c r="S588" s="275"/>
      <c r="T588" s="510"/>
      <c r="U588" s="275"/>
      <c r="V588" s="510"/>
      <c r="W588" s="275"/>
      <c r="X588" s="510"/>
      <c r="Y588" s="275"/>
      <c r="Z588" s="510"/>
      <c r="AA588" s="275"/>
      <c r="AB588" s="510"/>
      <c r="AC588" s="275"/>
      <c r="AD588" s="510"/>
      <c r="AE588" s="275"/>
      <c r="AF588" s="510"/>
      <c r="AG588" s="275"/>
      <c r="AH588" s="510"/>
      <c r="AI588" s="275"/>
      <c r="AJ588" s="510"/>
      <c r="AK588" s="275"/>
      <c r="AL588" s="510"/>
      <c r="AM588" s="275"/>
      <c r="AN588" s="510"/>
      <c r="AO588" s="276"/>
    </row>
    <row r="589" spans="1:41" s="183" customFormat="1" ht="15" customHeight="1">
      <c r="A589" s="179" t="s">
        <v>816</v>
      </c>
      <c r="B589" s="328" t="s">
        <v>158</v>
      </c>
      <c r="C589" s="329">
        <v>228802</v>
      </c>
      <c r="D589" s="200">
        <v>3</v>
      </c>
      <c r="E589" s="275">
        <v>5110</v>
      </c>
      <c r="F589" s="510">
        <v>5382</v>
      </c>
      <c r="G589" s="275">
        <v>13360</v>
      </c>
      <c r="H589" s="510">
        <v>13632</v>
      </c>
      <c r="I589" s="275">
        <v>4174</v>
      </c>
      <c r="J589" s="510">
        <v>4072</v>
      </c>
      <c r="K589" s="275">
        <v>10774</v>
      </c>
      <c r="L589" s="510">
        <v>9572</v>
      </c>
      <c r="M589" s="275"/>
      <c r="N589" s="510"/>
      <c r="O589" s="275"/>
      <c r="P589" s="510"/>
      <c r="Q589" s="275"/>
      <c r="R589" s="510"/>
      <c r="S589" s="275"/>
      <c r="T589" s="510"/>
      <c r="U589" s="275"/>
      <c r="V589" s="510"/>
      <c r="W589" s="275"/>
      <c r="X589" s="510"/>
      <c r="Y589" s="275"/>
      <c r="Z589" s="510"/>
      <c r="AA589" s="275"/>
      <c r="AB589" s="510"/>
      <c r="AC589" s="275"/>
      <c r="AD589" s="510"/>
      <c r="AE589" s="275"/>
      <c r="AF589" s="510"/>
      <c r="AG589" s="275"/>
      <c r="AH589" s="510"/>
      <c r="AI589" s="275"/>
      <c r="AJ589" s="510"/>
      <c r="AK589" s="275"/>
      <c r="AL589" s="510"/>
      <c r="AM589" s="275"/>
      <c r="AN589" s="510"/>
      <c r="AO589" s="276"/>
    </row>
    <row r="590" spans="1:41" s="183" customFormat="1" ht="15" customHeight="1">
      <c r="A590" s="179" t="s">
        <v>816</v>
      </c>
      <c r="B590" s="179" t="s">
        <v>159</v>
      </c>
      <c r="C590" s="432">
        <v>227368</v>
      </c>
      <c r="D590" s="182">
        <v>3</v>
      </c>
      <c r="E590" s="275">
        <v>4314</v>
      </c>
      <c r="F590" s="510">
        <v>4613</v>
      </c>
      <c r="G590" s="275">
        <v>12564</v>
      </c>
      <c r="H590" s="510">
        <v>5513</v>
      </c>
      <c r="I590" s="275">
        <v>3674</v>
      </c>
      <c r="J590" s="510">
        <v>3794</v>
      </c>
      <c r="K590" s="275">
        <v>10891</v>
      </c>
      <c r="L590" s="510">
        <v>9294</v>
      </c>
      <c r="M590" s="275"/>
      <c r="N590" s="510"/>
      <c r="O590" s="275"/>
      <c r="P590" s="510"/>
      <c r="Q590" s="275"/>
      <c r="R590" s="510"/>
      <c r="S590" s="275"/>
      <c r="T590" s="510"/>
      <c r="U590" s="275"/>
      <c r="V590" s="510"/>
      <c r="W590" s="275"/>
      <c r="X590" s="510"/>
      <c r="Y590" s="275"/>
      <c r="Z590" s="510"/>
      <c r="AA590" s="275"/>
      <c r="AB590" s="510"/>
      <c r="AC590" s="275"/>
      <c r="AD590" s="510"/>
      <c r="AE590" s="275"/>
      <c r="AF590" s="510"/>
      <c r="AG590" s="275"/>
      <c r="AH590" s="510"/>
      <c r="AI590" s="275"/>
      <c r="AJ590" s="510"/>
      <c r="AK590" s="275"/>
      <c r="AL590" s="510"/>
      <c r="AM590" s="275"/>
      <c r="AN590" s="510"/>
      <c r="AO590" s="276"/>
    </row>
    <row r="591" spans="1:41" s="183" customFormat="1" ht="15" customHeight="1">
      <c r="A591" s="179" t="s">
        <v>816</v>
      </c>
      <c r="B591" s="179" t="s">
        <v>160</v>
      </c>
      <c r="C591" s="418">
        <v>229814</v>
      </c>
      <c r="D591" s="182">
        <v>3</v>
      </c>
      <c r="E591" s="275">
        <v>4514</v>
      </c>
      <c r="F591" s="510">
        <v>4794</v>
      </c>
      <c r="G591" s="275">
        <v>12764</v>
      </c>
      <c r="H591" s="510">
        <v>12430</v>
      </c>
      <c r="I591" s="275">
        <v>4579</v>
      </c>
      <c r="J591" s="510">
        <v>3732</v>
      </c>
      <c r="K591" s="275">
        <v>10699</v>
      </c>
      <c r="L591" s="510">
        <v>9558</v>
      </c>
      <c r="M591" s="275"/>
      <c r="N591" s="510"/>
      <c r="O591" s="275"/>
      <c r="P591" s="510"/>
      <c r="Q591" s="275"/>
      <c r="R591" s="510"/>
      <c r="S591" s="275"/>
      <c r="T591" s="510"/>
      <c r="U591" s="275"/>
      <c r="V591" s="510"/>
      <c r="W591" s="275"/>
      <c r="X591" s="510"/>
      <c r="Y591" s="275"/>
      <c r="Z591" s="510"/>
      <c r="AA591" s="275"/>
      <c r="AB591" s="510"/>
      <c r="AC591" s="275"/>
      <c r="AD591" s="510"/>
      <c r="AE591" s="275"/>
      <c r="AF591" s="510"/>
      <c r="AG591" s="275"/>
      <c r="AH591" s="510"/>
      <c r="AI591" s="275"/>
      <c r="AJ591" s="510"/>
      <c r="AK591" s="275"/>
      <c r="AL591" s="510"/>
      <c r="AM591" s="275"/>
      <c r="AN591" s="510"/>
      <c r="AO591" s="276"/>
    </row>
    <row r="592" spans="1:41" s="183" customFormat="1" ht="15" customHeight="1">
      <c r="A592" s="179" t="s">
        <v>816</v>
      </c>
      <c r="B592" s="179" t="s">
        <v>161</v>
      </c>
      <c r="C592" s="432">
        <v>224545</v>
      </c>
      <c r="D592" s="182">
        <v>4</v>
      </c>
      <c r="E592" s="275">
        <v>3312</v>
      </c>
      <c r="F592" s="510">
        <v>3721</v>
      </c>
      <c r="G592" s="275">
        <v>11562</v>
      </c>
      <c r="H592" s="510">
        <v>12061</v>
      </c>
      <c r="I592" s="275">
        <v>3074</v>
      </c>
      <c r="J592" s="510">
        <v>2886</v>
      </c>
      <c r="K592" s="275">
        <v>9674</v>
      </c>
      <c r="L592" s="510">
        <v>8446</v>
      </c>
      <c r="M592" s="275"/>
      <c r="N592" s="510"/>
      <c r="O592" s="275"/>
      <c r="P592" s="510"/>
      <c r="Q592" s="275"/>
      <c r="R592" s="510"/>
      <c r="S592" s="275"/>
      <c r="T592" s="510"/>
      <c r="U592" s="275"/>
      <c r="V592" s="510"/>
      <c r="W592" s="275"/>
      <c r="X592" s="510"/>
      <c r="Y592" s="275"/>
      <c r="Z592" s="510"/>
      <c r="AA592" s="275"/>
      <c r="AB592" s="510"/>
      <c r="AC592" s="275"/>
      <c r="AD592" s="510"/>
      <c r="AE592" s="275"/>
      <c r="AF592" s="510"/>
      <c r="AG592" s="275"/>
      <c r="AH592" s="510"/>
      <c r="AI592" s="275"/>
      <c r="AJ592" s="510"/>
      <c r="AK592" s="275"/>
      <c r="AL592" s="510"/>
      <c r="AM592" s="275"/>
      <c r="AN592" s="510"/>
      <c r="AO592" s="276"/>
    </row>
    <row r="593" spans="1:41" s="183" customFormat="1" ht="15" customHeight="1">
      <c r="A593" s="179" t="s">
        <v>816</v>
      </c>
      <c r="B593" s="328" t="s">
        <v>162</v>
      </c>
      <c r="C593" s="329">
        <v>226152</v>
      </c>
      <c r="D593" s="200">
        <v>4</v>
      </c>
      <c r="E593" s="275">
        <v>4678</v>
      </c>
      <c r="F593" s="510">
        <v>5038</v>
      </c>
      <c r="G593" s="275">
        <v>12928</v>
      </c>
      <c r="H593" s="510">
        <v>13378</v>
      </c>
      <c r="I593" s="275">
        <v>4396</v>
      </c>
      <c r="J593" s="510">
        <v>3863</v>
      </c>
      <c r="K593" s="275">
        <v>10996</v>
      </c>
      <c r="L593" s="510">
        <v>9423</v>
      </c>
      <c r="M593" s="275"/>
      <c r="N593" s="510"/>
      <c r="O593" s="275"/>
      <c r="P593" s="510"/>
      <c r="Q593" s="275"/>
      <c r="R593" s="510"/>
      <c r="S593" s="275"/>
      <c r="T593" s="510"/>
      <c r="U593" s="275"/>
      <c r="V593" s="510"/>
      <c r="W593" s="275"/>
      <c r="X593" s="510"/>
      <c r="Y593" s="275"/>
      <c r="Z593" s="510"/>
      <c r="AA593" s="275"/>
      <c r="AB593" s="510"/>
      <c r="AC593" s="275"/>
      <c r="AD593" s="510"/>
      <c r="AE593" s="275"/>
      <c r="AF593" s="510"/>
      <c r="AG593" s="275"/>
      <c r="AH593" s="510"/>
      <c r="AI593" s="275"/>
      <c r="AJ593" s="510"/>
      <c r="AK593" s="275"/>
      <c r="AL593" s="510"/>
      <c r="AM593" s="275"/>
      <c r="AN593" s="510"/>
      <c r="AO593" s="276"/>
    </row>
    <row r="594" spans="1:41" s="183" customFormat="1" ht="15" customHeight="1">
      <c r="A594" s="179" t="s">
        <v>816</v>
      </c>
      <c r="B594" s="179" t="s">
        <v>163</v>
      </c>
      <c r="C594" s="418">
        <v>227377</v>
      </c>
      <c r="D594" s="182">
        <v>4</v>
      </c>
      <c r="E594" s="275">
        <v>4598</v>
      </c>
      <c r="F594" s="510">
        <v>4665</v>
      </c>
      <c r="G594" s="275">
        <v>15580</v>
      </c>
      <c r="H594" s="510">
        <v>13005</v>
      </c>
      <c r="I594" s="275">
        <v>3637</v>
      </c>
      <c r="J594" s="510">
        <v>3855</v>
      </c>
      <c r="K594" s="275">
        <v>10986</v>
      </c>
      <c r="L594" s="510">
        <v>9415</v>
      </c>
      <c r="M594" s="275"/>
      <c r="N594" s="510"/>
      <c r="O594" s="275"/>
      <c r="P594" s="510"/>
      <c r="Q594" s="275"/>
      <c r="R594" s="510"/>
      <c r="S594" s="275"/>
      <c r="T594" s="510"/>
      <c r="U594" s="275"/>
      <c r="V594" s="510"/>
      <c r="W594" s="275"/>
      <c r="X594" s="510"/>
      <c r="Y594" s="275"/>
      <c r="Z594" s="510"/>
      <c r="AA594" s="275"/>
      <c r="AB594" s="510"/>
      <c r="AC594" s="275"/>
      <c r="AD594" s="510"/>
      <c r="AE594" s="275"/>
      <c r="AF594" s="510"/>
      <c r="AG594" s="275"/>
      <c r="AH594" s="510"/>
      <c r="AI594" s="275"/>
      <c r="AJ594" s="510"/>
      <c r="AK594" s="275"/>
      <c r="AL594" s="510"/>
      <c r="AM594" s="275"/>
      <c r="AN594" s="510"/>
      <c r="AO594" s="276"/>
    </row>
    <row r="595" spans="1:41" s="183" customFormat="1" ht="15" customHeight="1">
      <c r="A595" s="179" t="s">
        <v>816</v>
      </c>
      <c r="B595" s="328" t="s">
        <v>164</v>
      </c>
      <c r="C595" s="329">
        <v>229018</v>
      </c>
      <c r="D595" s="200">
        <v>4</v>
      </c>
      <c r="E595" s="275">
        <v>4670</v>
      </c>
      <c r="F595" s="510">
        <v>4650</v>
      </c>
      <c r="G595" s="275">
        <v>12920</v>
      </c>
      <c r="H595" s="510">
        <v>12720</v>
      </c>
      <c r="I595" s="275">
        <v>3870</v>
      </c>
      <c r="J595" s="510">
        <v>3500</v>
      </c>
      <c r="K595" s="275">
        <v>10470</v>
      </c>
      <c r="L595" s="510">
        <v>7650</v>
      </c>
      <c r="M595" s="275"/>
      <c r="N595" s="510"/>
      <c r="O595" s="275"/>
      <c r="P595" s="510"/>
      <c r="Q595" s="275"/>
      <c r="R595" s="510"/>
      <c r="S595" s="275"/>
      <c r="T595" s="510"/>
      <c r="U595" s="275"/>
      <c r="V595" s="510"/>
      <c r="W595" s="275"/>
      <c r="X595" s="510"/>
      <c r="Y595" s="275"/>
      <c r="Z595" s="510"/>
      <c r="AA595" s="275"/>
      <c r="AB595" s="510"/>
      <c r="AC595" s="275"/>
      <c r="AD595" s="510"/>
      <c r="AE595" s="275"/>
      <c r="AF595" s="510"/>
      <c r="AG595" s="275"/>
      <c r="AH595" s="510"/>
      <c r="AI595" s="275"/>
      <c r="AJ595" s="510"/>
      <c r="AK595" s="275"/>
      <c r="AL595" s="510"/>
      <c r="AM595" s="275"/>
      <c r="AN595" s="510"/>
      <c r="AO595" s="276"/>
    </row>
    <row r="596" spans="1:41" s="183" customFormat="1" ht="15" customHeight="1">
      <c r="A596" s="179" t="s">
        <v>816</v>
      </c>
      <c r="B596" s="179" t="s">
        <v>165</v>
      </c>
      <c r="C596" s="432" t="s">
        <v>166</v>
      </c>
      <c r="D596" s="182">
        <v>5</v>
      </c>
      <c r="E596" s="275">
        <v>4368</v>
      </c>
      <c r="F596" s="510">
        <v>4746</v>
      </c>
      <c r="G596" s="275">
        <v>12618</v>
      </c>
      <c r="H596" s="510">
        <v>13026</v>
      </c>
      <c r="I596" s="275">
        <v>3538</v>
      </c>
      <c r="J596" s="510">
        <v>3382</v>
      </c>
      <c r="K596" s="275">
        <v>10589</v>
      </c>
      <c r="L596" s="510">
        <v>8902</v>
      </c>
      <c r="M596" s="275"/>
      <c r="N596" s="510"/>
      <c r="O596" s="275"/>
      <c r="P596" s="510"/>
      <c r="Q596" s="275"/>
      <c r="R596" s="510"/>
      <c r="S596" s="275"/>
      <c r="T596" s="510"/>
      <c r="U596" s="275"/>
      <c r="V596" s="510"/>
      <c r="W596" s="275"/>
      <c r="X596" s="510"/>
      <c r="Y596" s="275"/>
      <c r="Z596" s="510"/>
      <c r="AA596" s="275"/>
      <c r="AB596" s="510"/>
      <c r="AC596" s="275"/>
      <c r="AD596" s="510"/>
      <c r="AE596" s="275"/>
      <c r="AF596" s="510"/>
      <c r="AG596" s="275"/>
      <c r="AH596" s="510"/>
      <c r="AI596" s="275"/>
      <c r="AJ596" s="510"/>
      <c r="AK596" s="275"/>
      <c r="AL596" s="510"/>
      <c r="AM596" s="275"/>
      <c r="AN596" s="510"/>
      <c r="AO596" s="276"/>
    </row>
    <row r="597" spans="1:41" s="183" customFormat="1" ht="15" customHeight="1">
      <c r="A597" s="179" t="s">
        <v>816</v>
      </c>
      <c r="B597" s="328" t="s">
        <v>167</v>
      </c>
      <c r="C597" s="329">
        <v>225432</v>
      </c>
      <c r="D597" s="200">
        <v>5</v>
      </c>
      <c r="E597" s="275">
        <v>4484</v>
      </c>
      <c r="F597" s="510">
        <v>4934</v>
      </c>
      <c r="G597" s="275">
        <v>12734</v>
      </c>
      <c r="H597" s="510">
        <v>13184</v>
      </c>
      <c r="I597" s="275">
        <v>5302</v>
      </c>
      <c r="J597" s="510">
        <v>4184</v>
      </c>
      <c r="K597" s="275">
        <v>9377</v>
      </c>
      <c r="L597" s="510">
        <v>8984</v>
      </c>
      <c r="M597" s="275"/>
      <c r="N597" s="510"/>
      <c r="O597" s="275"/>
      <c r="P597" s="510"/>
      <c r="Q597" s="275"/>
      <c r="R597" s="510"/>
      <c r="S597" s="275"/>
      <c r="T597" s="510"/>
      <c r="U597" s="275"/>
      <c r="V597" s="510"/>
      <c r="W597" s="275"/>
      <c r="X597" s="510"/>
      <c r="Y597" s="275"/>
      <c r="Z597" s="510"/>
      <c r="AA597" s="275"/>
      <c r="AB597" s="510"/>
      <c r="AC597" s="275"/>
      <c r="AD597" s="510"/>
      <c r="AE597" s="275"/>
      <c r="AF597" s="510"/>
      <c r="AG597" s="275"/>
      <c r="AH597" s="510"/>
      <c r="AI597" s="275"/>
      <c r="AJ597" s="510"/>
      <c r="AK597" s="275"/>
      <c r="AL597" s="510"/>
      <c r="AM597" s="275"/>
      <c r="AN597" s="510"/>
      <c r="AO597" s="276"/>
    </row>
    <row r="598" spans="1:41" s="183" customFormat="1" ht="15" customHeight="1">
      <c r="A598" s="179" t="s">
        <v>816</v>
      </c>
      <c r="B598" s="328" t="s">
        <v>168</v>
      </c>
      <c r="C598" s="432">
        <v>225502</v>
      </c>
      <c r="D598" s="182">
        <v>5</v>
      </c>
      <c r="E598" s="275">
        <v>4790</v>
      </c>
      <c r="F598" s="510">
        <v>5085</v>
      </c>
      <c r="G598" s="275">
        <v>13040</v>
      </c>
      <c r="H598" s="510">
        <v>13425</v>
      </c>
      <c r="I598" s="275">
        <v>5232</v>
      </c>
      <c r="J598" s="510">
        <v>4750</v>
      </c>
      <c r="K598" s="275">
        <v>10632</v>
      </c>
      <c r="L598" s="510">
        <v>9310</v>
      </c>
      <c r="M598" s="275"/>
      <c r="N598" s="510"/>
      <c r="O598" s="275"/>
      <c r="P598" s="510"/>
      <c r="Q598" s="275"/>
      <c r="R598" s="510"/>
      <c r="S598" s="275"/>
      <c r="T598" s="510"/>
      <c r="U598" s="275"/>
      <c r="V598" s="510"/>
      <c r="W598" s="275"/>
      <c r="X598" s="510"/>
      <c r="Y598" s="275"/>
      <c r="Z598" s="510"/>
      <c r="AA598" s="275"/>
      <c r="AB598" s="510"/>
      <c r="AC598" s="275"/>
      <c r="AD598" s="510"/>
      <c r="AE598" s="275"/>
      <c r="AF598" s="510"/>
      <c r="AG598" s="275"/>
      <c r="AH598" s="510"/>
      <c r="AI598" s="275"/>
      <c r="AJ598" s="510"/>
      <c r="AK598" s="275"/>
      <c r="AL598" s="510"/>
      <c r="AM598" s="275"/>
      <c r="AN598" s="510"/>
      <c r="AO598" s="276"/>
    </row>
    <row r="599" spans="1:41" s="183" customFormat="1" ht="15" customHeight="1">
      <c r="A599" s="179" t="s">
        <v>816</v>
      </c>
      <c r="B599" s="185" t="s">
        <v>169</v>
      </c>
      <c r="C599" s="419">
        <v>228714</v>
      </c>
      <c r="D599" s="433">
        <v>6</v>
      </c>
      <c r="E599" s="275">
        <v>5188</v>
      </c>
      <c r="F599" s="510">
        <v>5645</v>
      </c>
      <c r="G599" s="275">
        <v>13902</v>
      </c>
      <c r="H599" s="510">
        <v>13985</v>
      </c>
      <c r="I599" s="275">
        <v>7440</v>
      </c>
      <c r="J599" s="510">
        <v>6567</v>
      </c>
      <c r="K599" s="275">
        <v>11880</v>
      </c>
      <c r="L599" s="510">
        <v>12423</v>
      </c>
      <c r="M599" s="275"/>
      <c r="N599" s="510"/>
      <c r="O599" s="275"/>
      <c r="P599" s="510"/>
      <c r="Q599" s="275"/>
      <c r="R599" s="510"/>
      <c r="S599" s="275"/>
      <c r="T599" s="510"/>
      <c r="U599" s="275"/>
      <c r="V599" s="510"/>
      <c r="W599" s="275"/>
      <c r="X599" s="510"/>
      <c r="Y599" s="275"/>
      <c r="Z599" s="510"/>
      <c r="AA599" s="275"/>
      <c r="AB599" s="510"/>
      <c r="AC599" s="275"/>
      <c r="AD599" s="510"/>
      <c r="AE599" s="275"/>
      <c r="AF599" s="510"/>
      <c r="AG599" s="275"/>
      <c r="AH599" s="510"/>
      <c r="AI599" s="275"/>
      <c r="AJ599" s="510"/>
      <c r="AK599" s="275"/>
      <c r="AL599" s="510"/>
      <c r="AM599" s="275"/>
      <c r="AN599" s="510"/>
      <c r="AO599" s="276"/>
    </row>
    <row r="600" spans="1:41" s="183" customFormat="1" ht="15" customHeight="1">
      <c r="A600" s="179" t="s">
        <v>816</v>
      </c>
      <c r="B600" s="179" t="s">
        <v>170</v>
      </c>
      <c r="C600" s="418">
        <v>222576</v>
      </c>
      <c r="D600" s="182">
        <v>8</v>
      </c>
      <c r="E600" s="275">
        <v>1520</v>
      </c>
      <c r="F600" s="510">
        <v>1614</v>
      </c>
      <c r="G600" s="275">
        <v>2978</v>
      </c>
      <c r="H600" s="510">
        <v>2094</v>
      </c>
      <c r="I600" s="275"/>
      <c r="J600" s="510"/>
      <c r="K600" s="275"/>
      <c r="L600" s="510"/>
      <c r="M600" s="275"/>
      <c r="N600" s="510"/>
      <c r="O600" s="275"/>
      <c r="P600" s="510"/>
      <c r="Q600" s="275"/>
      <c r="R600" s="510"/>
      <c r="S600" s="275"/>
      <c r="T600" s="510"/>
      <c r="U600" s="275"/>
      <c r="V600" s="510"/>
      <c r="W600" s="275"/>
      <c r="X600" s="510"/>
      <c r="Y600" s="275"/>
      <c r="Z600" s="510"/>
      <c r="AA600" s="275"/>
      <c r="AB600" s="510"/>
      <c r="AC600" s="275"/>
      <c r="AD600" s="510"/>
      <c r="AE600" s="275"/>
      <c r="AF600" s="510"/>
      <c r="AG600" s="275"/>
      <c r="AH600" s="510"/>
      <c r="AI600" s="275"/>
      <c r="AJ600" s="510"/>
      <c r="AK600" s="275"/>
      <c r="AL600" s="510"/>
      <c r="AM600" s="275"/>
      <c r="AN600" s="510"/>
      <c r="AO600" s="276"/>
    </row>
    <row r="601" spans="1:41" s="183" customFormat="1" ht="15" customHeight="1">
      <c r="A601" s="179" t="s">
        <v>816</v>
      </c>
      <c r="B601" s="179" t="s">
        <v>171</v>
      </c>
      <c r="C601" s="418">
        <v>222992</v>
      </c>
      <c r="D601" s="182">
        <v>8</v>
      </c>
      <c r="E601" s="275">
        <v>1606</v>
      </c>
      <c r="F601" s="510">
        <v>1624</v>
      </c>
      <c r="G601" s="275">
        <v>3586</v>
      </c>
      <c r="H601" s="510">
        <v>3994</v>
      </c>
      <c r="I601" s="275"/>
      <c r="J601" s="510"/>
      <c r="K601" s="275"/>
      <c r="L601" s="510"/>
      <c r="M601" s="275"/>
      <c r="N601" s="510"/>
      <c r="O601" s="275"/>
      <c r="P601" s="510"/>
      <c r="Q601" s="275"/>
      <c r="R601" s="510"/>
      <c r="S601" s="275"/>
      <c r="T601" s="510"/>
      <c r="U601" s="275"/>
      <c r="V601" s="510"/>
      <c r="W601" s="275"/>
      <c r="X601" s="510"/>
      <c r="Y601" s="275"/>
      <c r="Z601" s="510"/>
      <c r="AA601" s="275"/>
      <c r="AB601" s="510"/>
      <c r="AC601" s="275"/>
      <c r="AD601" s="510"/>
      <c r="AE601" s="275"/>
      <c r="AF601" s="510"/>
      <c r="AG601" s="275"/>
      <c r="AH601" s="510"/>
      <c r="AI601" s="275"/>
      <c r="AJ601" s="510"/>
      <c r="AK601" s="275"/>
      <c r="AL601" s="510"/>
      <c r="AM601" s="275"/>
      <c r="AN601" s="510"/>
      <c r="AO601" s="276"/>
    </row>
    <row r="602" spans="1:41" s="183" customFormat="1" ht="15" customHeight="1">
      <c r="A602" s="179" t="s">
        <v>816</v>
      </c>
      <c r="B602" s="179" t="s">
        <v>172</v>
      </c>
      <c r="C602" s="418">
        <v>223427</v>
      </c>
      <c r="D602" s="182">
        <v>8</v>
      </c>
      <c r="E602" s="275">
        <v>2490</v>
      </c>
      <c r="F602" s="510">
        <v>1890</v>
      </c>
      <c r="G602" s="275">
        <v>2790</v>
      </c>
      <c r="H602" s="510">
        <v>2760</v>
      </c>
      <c r="I602" s="275"/>
      <c r="J602" s="510"/>
      <c r="K602" s="275"/>
      <c r="L602" s="510"/>
      <c r="M602" s="275"/>
      <c r="N602" s="510"/>
      <c r="O602" s="275"/>
      <c r="P602" s="510"/>
      <c r="Q602" s="275"/>
      <c r="R602" s="510"/>
      <c r="S602" s="275"/>
      <c r="T602" s="510"/>
      <c r="U602" s="275"/>
      <c r="V602" s="510"/>
      <c r="W602" s="275"/>
      <c r="X602" s="510"/>
      <c r="Y602" s="275"/>
      <c r="Z602" s="510"/>
      <c r="AA602" s="275"/>
      <c r="AB602" s="510"/>
      <c r="AC602" s="275"/>
      <c r="AD602" s="510"/>
      <c r="AE602" s="275"/>
      <c r="AF602" s="510"/>
      <c r="AG602" s="275"/>
      <c r="AH602" s="510"/>
      <c r="AI602" s="275"/>
      <c r="AJ602" s="510"/>
      <c r="AK602" s="275"/>
      <c r="AL602" s="510"/>
      <c r="AM602" s="275"/>
      <c r="AN602" s="510"/>
      <c r="AO602" s="276"/>
    </row>
    <row r="603" spans="1:41" s="183" customFormat="1" ht="15" customHeight="1">
      <c r="A603" s="179" t="s">
        <v>816</v>
      </c>
      <c r="B603" s="179" t="s">
        <v>173</v>
      </c>
      <c r="C603" s="418">
        <v>223524</v>
      </c>
      <c r="D603" s="182">
        <v>8</v>
      </c>
      <c r="E603" s="275">
        <v>1080</v>
      </c>
      <c r="F603" s="510">
        <v>1170</v>
      </c>
      <c r="G603" s="275">
        <v>3180</v>
      </c>
      <c r="H603" s="510">
        <v>2160</v>
      </c>
      <c r="I603" s="275"/>
      <c r="J603" s="510"/>
      <c r="K603" s="275"/>
      <c r="L603" s="510"/>
      <c r="M603" s="275"/>
      <c r="N603" s="510"/>
      <c r="O603" s="275"/>
      <c r="P603" s="510"/>
      <c r="Q603" s="275"/>
      <c r="R603" s="510"/>
      <c r="S603" s="275"/>
      <c r="T603" s="510"/>
      <c r="U603" s="275"/>
      <c r="V603" s="510"/>
      <c r="W603" s="275"/>
      <c r="X603" s="510"/>
      <c r="Y603" s="275"/>
      <c r="Z603" s="510"/>
      <c r="AA603" s="275"/>
      <c r="AB603" s="510"/>
      <c r="AC603" s="275"/>
      <c r="AD603" s="510"/>
      <c r="AE603" s="275"/>
      <c r="AF603" s="510"/>
      <c r="AG603" s="275"/>
      <c r="AH603" s="510"/>
      <c r="AI603" s="275"/>
      <c r="AJ603" s="510"/>
      <c r="AK603" s="275"/>
      <c r="AL603" s="510"/>
      <c r="AM603" s="275"/>
      <c r="AN603" s="510"/>
      <c r="AO603" s="276"/>
    </row>
    <row r="604" spans="1:41" s="183" customFormat="1" ht="15" customHeight="1">
      <c r="A604" s="179" t="s">
        <v>816</v>
      </c>
      <c r="B604" s="179" t="s">
        <v>174</v>
      </c>
      <c r="C604" s="418">
        <v>223816</v>
      </c>
      <c r="D604" s="182">
        <v>8</v>
      </c>
      <c r="E604" s="275">
        <v>1420</v>
      </c>
      <c r="F604" s="510">
        <v>1590</v>
      </c>
      <c r="G604" s="275">
        <v>1770</v>
      </c>
      <c r="H604" s="510">
        <v>1890</v>
      </c>
      <c r="I604" s="275"/>
      <c r="J604" s="510"/>
      <c r="K604" s="275"/>
      <c r="L604" s="510"/>
      <c r="M604" s="275"/>
      <c r="N604" s="510"/>
      <c r="O604" s="275"/>
      <c r="P604" s="510"/>
      <c r="Q604" s="275"/>
      <c r="R604" s="510"/>
      <c r="S604" s="275"/>
      <c r="T604" s="510"/>
      <c r="U604" s="275"/>
      <c r="V604" s="510"/>
      <c r="W604" s="275"/>
      <c r="X604" s="510"/>
      <c r="Y604" s="275"/>
      <c r="Z604" s="510"/>
      <c r="AA604" s="275"/>
      <c r="AB604" s="510"/>
      <c r="AC604" s="275"/>
      <c r="AD604" s="510"/>
      <c r="AE604" s="275"/>
      <c r="AF604" s="510"/>
      <c r="AG604" s="275"/>
      <c r="AH604" s="510"/>
      <c r="AI604" s="275"/>
      <c r="AJ604" s="510"/>
      <c r="AK604" s="275"/>
      <c r="AL604" s="510"/>
      <c r="AM604" s="275"/>
      <c r="AN604" s="510"/>
      <c r="AO604" s="276"/>
    </row>
    <row r="605" spans="1:41" s="183" customFormat="1" ht="15" customHeight="1">
      <c r="A605" s="179" t="s">
        <v>816</v>
      </c>
      <c r="B605" s="179" t="s">
        <v>175</v>
      </c>
      <c r="C605" s="418">
        <v>247834</v>
      </c>
      <c r="D605" s="433">
        <v>8</v>
      </c>
      <c r="E605" s="275">
        <v>1144</v>
      </c>
      <c r="F605" s="510">
        <v>1116</v>
      </c>
      <c r="G605" s="275">
        <v>1384</v>
      </c>
      <c r="H605" s="510">
        <v>1412</v>
      </c>
      <c r="I605" s="275"/>
      <c r="J605" s="510"/>
      <c r="K605" s="275"/>
      <c r="L605" s="510"/>
      <c r="M605" s="275"/>
      <c r="N605" s="510"/>
      <c r="O605" s="275"/>
      <c r="P605" s="510"/>
      <c r="Q605" s="275"/>
      <c r="R605" s="510"/>
      <c r="S605" s="275"/>
      <c r="T605" s="510"/>
      <c r="U605" s="275"/>
      <c r="V605" s="510"/>
      <c r="W605" s="275"/>
      <c r="X605" s="510"/>
      <c r="Y605" s="275"/>
      <c r="Z605" s="510"/>
      <c r="AA605" s="275"/>
      <c r="AB605" s="510"/>
      <c r="AC605" s="275"/>
      <c r="AD605" s="510"/>
      <c r="AE605" s="275"/>
      <c r="AF605" s="510"/>
      <c r="AG605" s="275"/>
      <c r="AH605" s="510"/>
      <c r="AI605" s="275"/>
      <c r="AJ605" s="510"/>
      <c r="AK605" s="275"/>
      <c r="AL605" s="510"/>
      <c r="AM605" s="275"/>
      <c r="AN605" s="510"/>
      <c r="AO605" s="276"/>
    </row>
    <row r="606" spans="1:41" s="183" customFormat="1" ht="15" customHeight="1">
      <c r="A606" s="179" t="s">
        <v>816</v>
      </c>
      <c r="B606" s="179" t="s">
        <v>176</v>
      </c>
      <c r="C606" s="418">
        <v>224350</v>
      </c>
      <c r="D606" s="182">
        <v>8</v>
      </c>
      <c r="E606" s="275">
        <v>1880</v>
      </c>
      <c r="F606" s="510">
        <v>1914</v>
      </c>
      <c r="G606" s="275">
        <v>5990</v>
      </c>
      <c r="H606" s="510">
        <v>4914</v>
      </c>
      <c r="I606" s="275"/>
      <c r="J606" s="510"/>
      <c r="K606" s="275"/>
      <c r="L606" s="510"/>
      <c r="M606" s="275"/>
      <c r="N606" s="510"/>
      <c r="O606" s="275"/>
      <c r="P606" s="510"/>
      <c r="Q606" s="275"/>
      <c r="R606" s="510"/>
      <c r="S606" s="275"/>
      <c r="T606" s="510"/>
      <c r="U606" s="275"/>
      <c r="V606" s="510"/>
      <c r="W606" s="275"/>
      <c r="X606" s="510"/>
      <c r="Y606" s="275"/>
      <c r="Z606" s="510"/>
      <c r="AA606" s="275"/>
      <c r="AB606" s="510"/>
      <c r="AC606" s="275"/>
      <c r="AD606" s="510"/>
      <c r="AE606" s="275"/>
      <c r="AF606" s="510"/>
      <c r="AG606" s="275"/>
      <c r="AH606" s="510"/>
      <c r="AI606" s="275"/>
      <c r="AJ606" s="510"/>
      <c r="AK606" s="275"/>
      <c r="AL606" s="510"/>
      <c r="AM606" s="275"/>
      <c r="AN606" s="510"/>
      <c r="AO606" s="276"/>
    </row>
    <row r="607" spans="1:41" s="183" customFormat="1" ht="15" customHeight="1">
      <c r="A607" s="179" t="s">
        <v>816</v>
      </c>
      <c r="B607" s="179" t="s">
        <v>177</v>
      </c>
      <c r="C607" s="418">
        <v>224572</v>
      </c>
      <c r="D607" s="182">
        <v>8</v>
      </c>
      <c r="E607" s="275">
        <v>1080</v>
      </c>
      <c r="F607" s="510">
        <v>1170</v>
      </c>
      <c r="G607" s="275">
        <v>3180</v>
      </c>
      <c r="H607" s="510">
        <v>2160</v>
      </c>
      <c r="I607" s="275"/>
      <c r="J607" s="510"/>
      <c r="K607" s="275"/>
      <c r="L607" s="510"/>
      <c r="M607" s="275"/>
      <c r="N607" s="510"/>
      <c r="O607" s="275"/>
      <c r="P607" s="510"/>
      <c r="Q607" s="275"/>
      <c r="R607" s="510"/>
      <c r="S607" s="275"/>
      <c r="T607" s="510"/>
      <c r="U607" s="275"/>
      <c r="V607" s="510"/>
      <c r="W607" s="275"/>
      <c r="X607" s="510"/>
      <c r="Y607" s="275"/>
      <c r="Z607" s="510"/>
      <c r="AA607" s="275"/>
      <c r="AB607" s="510"/>
      <c r="AC607" s="275"/>
      <c r="AD607" s="510"/>
      <c r="AE607" s="275"/>
      <c r="AF607" s="510"/>
      <c r="AG607" s="275"/>
      <c r="AH607" s="510"/>
      <c r="AI607" s="275"/>
      <c r="AJ607" s="510"/>
      <c r="AK607" s="275"/>
      <c r="AL607" s="510"/>
      <c r="AM607" s="275"/>
      <c r="AN607" s="510"/>
      <c r="AO607" s="276"/>
    </row>
    <row r="608" spans="1:41" s="183" customFormat="1" ht="15" customHeight="1">
      <c r="A608" s="179" t="s">
        <v>816</v>
      </c>
      <c r="B608" s="179" t="s">
        <v>178</v>
      </c>
      <c r="C608" s="418">
        <v>224642</v>
      </c>
      <c r="D608" s="182">
        <v>8</v>
      </c>
      <c r="E608" s="275">
        <v>1724</v>
      </c>
      <c r="F608" s="510">
        <v>1700</v>
      </c>
      <c r="G608" s="275">
        <v>2442</v>
      </c>
      <c r="H608" s="510">
        <v>1700</v>
      </c>
      <c r="I608" s="275"/>
      <c r="J608" s="510"/>
      <c r="K608" s="275"/>
      <c r="L608" s="510"/>
      <c r="M608" s="275"/>
      <c r="N608" s="510"/>
      <c r="O608" s="275"/>
      <c r="P608" s="510"/>
      <c r="Q608" s="275"/>
      <c r="R608" s="510"/>
      <c r="S608" s="275"/>
      <c r="T608" s="510"/>
      <c r="U608" s="275"/>
      <c r="V608" s="510"/>
      <c r="W608" s="275"/>
      <c r="X608" s="510"/>
      <c r="Y608" s="275"/>
      <c r="Z608" s="510"/>
      <c r="AA608" s="275"/>
      <c r="AB608" s="510"/>
      <c r="AC608" s="275"/>
      <c r="AD608" s="510"/>
      <c r="AE608" s="275"/>
      <c r="AF608" s="510"/>
      <c r="AG608" s="275"/>
      <c r="AH608" s="510"/>
      <c r="AI608" s="275"/>
      <c r="AJ608" s="510"/>
      <c r="AK608" s="275"/>
      <c r="AL608" s="510"/>
      <c r="AM608" s="275"/>
      <c r="AN608" s="510"/>
      <c r="AO608" s="276"/>
    </row>
    <row r="609" spans="1:41" s="183" customFormat="1" ht="15" customHeight="1">
      <c r="A609" s="179" t="s">
        <v>816</v>
      </c>
      <c r="B609" s="179" t="s">
        <v>179</v>
      </c>
      <c r="C609" s="418">
        <v>225423</v>
      </c>
      <c r="D609" s="182">
        <v>8</v>
      </c>
      <c r="E609" s="275">
        <v>1248</v>
      </c>
      <c r="F609" s="510">
        <v>1290</v>
      </c>
      <c r="G609" s="275">
        <v>2472</v>
      </c>
      <c r="H609" s="510">
        <v>2586</v>
      </c>
      <c r="I609" s="275"/>
      <c r="J609" s="510"/>
      <c r="K609" s="275"/>
      <c r="L609" s="510"/>
      <c r="M609" s="275"/>
      <c r="N609" s="510"/>
      <c r="O609" s="275"/>
      <c r="P609" s="510"/>
      <c r="Q609" s="275"/>
      <c r="R609" s="510"/>
      <c r="S609" s="275"/>
      <c r="T609" s="510"/>
      <c r="U609" s="275"/>
      <c r="V609" s="510"/>
      <c r="W609" s="275"/>
      <c r="X609" s="510"/>
      <c r="Y609" s="275"/>
      <c r="Z609" s="510"/>
      <c r="AA609" s="275"/>
      <c r="AB609" s="510"/>
      <c r="AC609" s="275"/>
      <c r="AD609" s="510"/>
      <c r="AE609" s="275"/>
      <c r="AF609" s="510"/>
      <c r="AG609" s="275"/>
      <c r="AH609" s="510"/>
      <c r="AI609" s="275"/>
      <c r="AJ609" s="510"/>
      <c r="AK609" s="275"/>
      <c r="AL609" s="510"/>
      <c r="AM609" s="275"/>
      <c r="AN609" s="510"/>
      <c r="AO609" s="276"/>
    </row>
    <row r="610" spans="1:41" s="183" customFormat="1" ht="15" customHeight="1">
      <c r="A610" s="179" t="s">
        <v>816</v>
      </c>
      <c r="B610" s="328" t="s">
        <v>180</v>
      </c>
      <c r="C610" s="329">
        <v>226134</v>
      </c>
      <c r="D610" s="200">
        <v>8</v>
      </c>
      <c r="E610" s="275">
        <v>1762</v>
      </c>
      <c r="F610" s="510">
        <v>1716</v>
      </c>
      <c r="G610" s="275">
        <v>3816</v>
      </c>
      <c r="H610" s="510">
        <v>2766</v>
      </c>
      <c r="I610" s="275"/>
      <c r="J610" s="510"/>
      <c r="K610" s="275"/>
      <c r="L610" s="510"/>
      <c r="M610" s="275"/>
      <c r="N610" s="510"/>
      <c r="O610" s="275"/>
      <c r="P610" s="510"/>
      <c r="Q610" s="275"/>
      <c r="R610" s="510"/>
      <c r="S610" s="275"/>
      <c r="T610" s="510"/>
      <c r="U610" s="275"/>
      <c r="V610" s="510"/>
      <c r="W610" s="275"/>
      <c r="X610" s="510"/>
      <c r="Y610" s="275"/>
      <c r="Z610" s="510"/>
      <c r="AA610" s="275"/>
      <c r="AB610" s="510"/>
      <c r="AC610" s="275"/>
      <c r="AD610" s="510"/>
      <c r="AE610" s="275"/>
      <c r="AF610" s="510"/>
      <c r="AG610" s="275"/>
      <c r="AH610" s="510"/>
      <c r="AI610" s="275"/>
      <c r="AJ610" s="510"/>
      <c r="AK610" s="275"/>
      <c r="AL610" s="510"/>
      <c r="AM610" s="275"/>
      <c r="AN610" s="510"/>
      <c r="AO610" s="276"/>
    </row>
    <row r="611" spans="1:41" s="183" customFormat="1" ht="15" customHeight="1">
      <c r="A611" s="179" t="s">
        <v>816</v>
      </c>
      <c r="B611" s="328" t="s">
        <v>181</v>
      </c>
      <c r="C611" s="329">
        <v>226578</v>
      </c>
      <c r="D611" s="200">
        <v>8</v>
      </c>
      <c r="E611" s="275">
        <v>1990</v>
      </c>
      <c r="F611" s="510">
        <v>1950</v>
      </c>
      <c r="G611" s="275">
        <v>2260</v>
      </c>
      <c r="H611" s="510">
        <v>2310</v>
      </c>
      <c r="I611" s="275"/>
      <c r="J611" s="510"/>
      <c r="K611" s="275"/>
      <c r="L611" s="510"/>
      <c r="M611" s="275"/>
      <c r="N611" s="510"/>
      <c r="O611" s="275"/>
      <c r="P611" s="510"/>
      <c r="Q611" s="275"/>
      <c r="R611" s="510"/>
      <c r="S611" s="275"/>
      <c r="T611" s="510"/>
      <c r="U611" s="275"/>
      <c r="V611" s="510"/>
      <c r="W611" s="275"/>
      <c r="X611" s="510"/>
      <c r="Y611" s="275"/>
      <c r="Z611" s="510"/>
      <c r="AA611" s="275"/>
      <c r="AB611" s="510"/>
      <c r="AC611" s="275"/>
      <c r="AD611" s="510"/>
      <c r="AE611" s="275"/>
      <c r="AF611" s="510"/>
      <c r="AG611" s="275"/>
      <c r="AH611" s="510"/>
      <c r="AI611" s="275"/>
      <c r="AJ611" s="510"/>
      <c r="AK611" s="275"/>
      <c r="AL611" s="510"/>
      <c r="AM611" s="275"/>
      <c r="AN611" s="510"/>
      <c r="AO611" s="276"/>
    </row>
    <row r="612" spans="1:41" s="183" customFormat="1" ht="15" customHeight="1">
      <c r="A612" s="179" t="s">
        <v>816</v>
      </c>
      <c r="B612" s="444" t="s">
        <v>698</v>
      </c>
      <c r="C612" s="435">
        <v>227146</v>
      </c>
      <c r="D612" s="436">
        <v>8</v>
      </c>
      <c r="E612" s="275">
        <v>1360</v>
      </c>
      <c r="F612" s="510">
        <v>1360</v>
      </c>
      <c r="G612" s="275">
        <v>2450</v>
      </c>
      <c r="H612" s="510">
        <v>2110</v>
      </c>
      <c r="I612" s="275"/>
      <c r="J612" s="510"/>
      <c r="K612" s="275"/>
      <c r="L612" s="510"/>
      <c r="M612" s="275"/>
      <c r="N612" s="510"/>
      <c r="O612" s="275"/>
      <c r="P612" s="510"/>
      <c r="Q612" s="275"/>
      <c r="R612" s="510"/>
      <c r="S612" s="275"/>
      <c r="T612" s="510"/>
      <c r="U612" s="275"/>
      <c r="V612" s="510"/>
      <c r="W612" s="275"/>
      <c r="X612" s="510"/>
      <c r="Y612" s="275"/>
      <c r="Z612" s="510"/>
      <c r="AA612" s="275"/>
      <c r="AB612" s="510"/>
      <c r="AC612" s="275"/>
      <c r="AD612" s="510"/>
      <c r="AE612" s="275"/>
      <c r="AF612" s="510"/>
      <c r="AG612" s="275"/>
      <c r="AH612" s="510"/>
      <c r="AI612" s="275"/>
      <c r="AJ612" s="510"/>
      <c r="AK612" s="275"/>
      <c r="AL612" s="510"/>
      <c r="AM612" s="275"/>
      <c r="AN612" s="510"/>
      <c r="AO612" s="276"/>
    </row>
    <row r="613" spans="1:41" s="183" customFormat="1" ht="15" customHeight="1">
      <c r="A613" s="179" t="s">
        <v>816</v>
      </c>
      <c r="B613" s="179" t="s">
        <v>182</v>
      </c>
      <c r="C613" s="418">
        <v>227182</v>
      </c>
      <c r="D613" s="182">
        <v>8</v>
      </c>
      <c r="E613" s="275">
        <v>1344</v>
      </c>
      <c r="F613" s="510">
        <v>1120</v>
      </c>
      <c r="G613" s="275">
        <v>2440</v>
      </c>
      <c r="H613" s="510">
        <v>2440</v>
      </c>
      <c r="I613" s="275"/>
      <c r="J613" s="510"/>
      <c r="K613" s="275"/>
      <c r="L613" s="510"/>
      <c r="M613" s="275"/>
      <c r="N613" s="510"/>
      <c r="O613" s="275"/>
      <c r="P613" s="510"/>
      <c r="Q613" s="275"/>
      <c r="R613" s="510"/>
      <c r="S613" s="275"/>
      <c r="T613" s="510"/>
      <c r="U613" s="275"/>
      <c r="V613" s="510"/>
      <c r="W613" s="275"/>
      <c r="X613" s="510"/>
      <c r="Y613" s="275"/>
      <c r="Z613" s="510"/>
      <c r="AA613" s="275"/>
      <c r="AB613" s="510"/>
      <c r="AC613" s="275"/>
      <c r="AD613" s="510"/>
      <c r="AE613" s="275"/>
      <c r="AF613" s="510"/>
      <c r="AG613" s="275"/>
      <c r="AH613" s="510"/>
      <c r="AI613" s="275"/>
      <c r="AJ613" s="510"/>
      <c r="AK613" s="275"/>
      <c r="AL613" s="510"/>
      <c r="AM613" s="275"/>
      <c r="AN613" s="510"/>
      <c r="AO613" s="276"/>
    </row>
    <row r="614" spans="1:41" s="183" customFormat="1" ht="15" customHeight="1">
      <c r="A614" s="179" t="s">
        <v>816</v>
      </c>
      <c r="B614" s="179" t="s">
        <v>183</v>
      </c>
      <c r="C614" s="418">
        <v>227191</v>
      </c>
      <c r="D614" s="182">
        <v>8</v>
      </c>
      <c r="E614" s="275">
        <v>1080</v>
      </c>
      <c r="F614" s="510">
        <v>1170</v>
      </c>
      <c r="G614" s="275">
        <v>3180</v>
      </c>
      <c r="H614" s="510">
        <v>2160</v>
      </c>
      <c r="I614" s="275"/>
      <c r="J614" s="510"/>
      <c r="K614" s="275"/>
      <c r="L614" s="510"/>
      <c r="M614" s="275"/>
      <c r="N614" s="510"/>
      <c r="O614" s="275"/>
      <c r="P614" s="510"/>
      <c r="Q614" s="275"/>
      <c r="R614" s="510"/>
      <c r="S614" s="275"/>
      <c r="T614" s="510"/>
      <c r="U614" s="275"/>
      <c r="V614" s="510"/>
      <c r="W614" s="275"/>
      <c r="X614" s="510"/>
      <c r="Y614" s="275"/>
      <c r="Z614" s="510"/>
      <c r="AA614" s="275"/>
      <c r="AB614" s="510"/>
      <c r="AC614" s="275"/>
      <c r="AD614" s="510"/>
      <c r="AE614" s="275"/>
      <c r="AF614" s="510"/>
      <c r="AG614" s="275"/>
      <c r="AH614" s="510"/>
      <c r="AI614" s="275"/>
      <c r="AJ614" s="510"/>
      <c r="AK614" s="275"/>
      <c r="AL614" s="510"/>
      <c r="AM614" s="275"/>
      <c r="AN614" s="510"/>
      <c r="AO614" s="276"/>
    </row>
    <row r="615" spans="1:41" s="183" customFormat="1" ht="15" customHeight="1">
      <c r="A615" s="179" t="s">
        <v>816</v>
      </c>
      <c r="B615" s="328" t="s">
        <v>184</v>
      </c>
      <c r="C615" s="418">
        <v>420398</v>
      </c>
      <c r="D615" s="433">
        <v>8</v>
      </c>
      <c r="E615" s="275">
        <v>1576</v>
      </c>
      <c r="F615" s="510">
        <v>1638</v>
      </c>
      <c r="G615" s="275">
        <v>2836</v>
      </c>
      <c r="H615" s="510">
        <v>2838</v>
      </c>
      <c r="I615" s="275"/>
      <c r="J615" s="510"/>
      <c r="K615" s="275"/>
      <c r="L615" s="510"/>
      <c r="M615" s="275"/>
      <c r="N615" s="510"/>
      <c r="O615" s="275"/>
      <c r="P615" s="510"/>
      <c r="Q615" s="275"/>
      <c r="R615" s="510"/>
      <c r="S615" s="275"/>
      <c r="T615" s="510"/>
      <c r="U615" s="275"/>
      <c r="V615" s="510"/>
      <c r="W615" s="275"/>
      <c r="X615" s="510"/>
      <c r="Y615" s="275"/>
      <c r="Z615" s="510"/>
      <c r="AA615" s="275"/>
      <c r="AB615" s="510"/>
      <c r="AC615" s="275"/>
      <c r="AD615" s="510"/>
      <c r="AE615" s="275"/>
      <c r="AF615" s="510"/>
      <c r="AG615" s="275"/>
      <c r="AH615" s="510"/>
      <c r="AI615" s="275"/>
      <c r="AJ615" s="510"/>
      <c r="AK615" s="275"/>
      <c r="AL615" s="510"/>
      <c r="AM615" s="275"/>
      <c r="AN615" s="510"/>
      <c r="AO615" s="276"/>
    </row>
    <row r="616" spans="1:41" s="183" customFormat="1" ht="15" customHeight="1">
      <c r="A616" s="179" t="s">
        <v>816</v>
      </c>
      <c r="B616" s="328" t="s">
        <v>185</v>
      </c>
      <c r="C616" s="418">
        <v>246354</v>
      </c>
      <c r="D616" s="433">
        <v>8</v>
      </c>
      <c r="E616" s="275">
        <v>1576</v>
      </c>
      <c r="F616" s="510">
        <v>1638</v>
      </c>
      <c r="G616" s="275">
        <v>2836</v>
      </c>
      <c r="H616" s="510">
        <v>2838</v>
      </c>
      <c r="I616" s="275"/>
      <c r="J616" s="510"/>
      <c r="K616" s="275"/>
      <c r="L616" s="510"/>
      <c r="M616" s="275"/>
      <c r="N616" s="510"/>
      <c r="O616" s="275"/>
      <c r="P616" s="510"/>
      <c r="Q616" s="275"/>
      <c r="R616" s="510"/>
      <c r="S616" s="275"/>
      <c r="T616" s="510"/>
      <c r="U616" s="275"/>
      <c r="V616" s="510"/>
      <c r="W616" s="275"/>
      <c r="X616" s="510"/>
      <c r="Y616" s="275"/>
      <c r="Z616" s="510"/>
      <c r="AA616" s="275"/>
      <c r="AB616" s="510"/>
      <c r="AC616" s="275"/>
      <c r="AD616" s="510"/>
      <c r="AE616" s="275"/>
      <c r="AF616" s="510"/>
      <c r="AG616" s="275"/>
      <c r="AH616" s="510"/>
      <c r="AI616" s="275"/>
      <c r="AJ616" s="510"/>
      <c r="AK616" s="275"/>
      <c r="AL616" s="510"/>
      <c r="AM616" s="275"/>
      <c r="AN616" s="510"/>
      <c r="AO616" s="276"/>
    </row>
    <row r="617" spans="1:41" s="183" customFormat="1" ht="15" customHeight="1">
      <c r="A617" s="179" t="s">
        <v>816</v>
      </c>
      <c r="B617" s="179" t="s">
        <v>186</v>
      </c>
      <c r="C617" s="418">
        <v>227766</v>
      </c>
      <c r="D617" s="182">
        <v>8</v>
      </c>
      <c r="E617" s="275">
        <v>1080</v>
      </c>
      <c r="F617" s="510">
        <v>1170</v>
      </c>
      <c r="G617" s="275">
        <v>3180</v>
      </c>
      <c r="H617" s="510">
        <v>2160</v>
      </c>
      <c r="I617" s="275"/>
      <c r="J617" s="510"/>
      <c r="K617" s="275"/>
      <c r="L617" s="510"/>
      <c r="M617" s="275"/>
      <c r="N617" s="510"/>
      <c r="O617" s="275"/>
      <c r="P617" s="510"/>
      <c r="Q617" s="275"/>
      <c r="R617" s="510"/>
      <c r="S617" s="275"/>
      <c r="T617" s="510"/>
      <c r="U617" s="275"/>
      <c r="V617" s="510"/>
      <c r="W617" s="275"/>
      <c r="X617" s="510"/>
      <c r="Y617" s="275"/>
      <c r="Z617" s="510"/>
      <c r="AA617" s="275"/>
      <c r="AB617" s="510"/>
      <c r="AC617" s="275"/>
      <c r="AD617" s="510"/>
      <c r="AE617" s="275"/>
      <c r="AF617" s="510"/>
      <c r="AG617" s="275"/>
      <c r="AH617" s="510"/>
      <c r="AI617" s="275"/>
      <c r="AJ617" s="510"/>
      <c r="AK617" s="275"/>
      <c r="AL617" s="510"/>
      <c r="AM617" s="275"/>
      <c r="AN617" s="510"/>
      <c r="AO617" s="276"/>
    </row>
    <row r="618" spans="1:41" s="183" customFormat="1" ht="15" customHeight="1">
      <c r="A618" s="179" t="s">
        <v>816</v>
      </c>
      <c r="B618" s="179" t="s">
        <v>187</v>
      </c>
      <c r="C618" s="418">
        <v>227924</v>
      </c>
      <c r="D618" s="182">
        <v>8</v>
      </c>
      <c r="E618" s="275">
        <v>1576</v>
      </c>
      <c r="F618" s="510">
        <v>1638</v>
      </c>
      <c r="G618" s="275">
        <v>2836</v>
      </c>
      <c r="H618" s="510">
        <v>2838</v>
      </c>
      <c r="I618" s="275"/>
      <c r="J618" s="510"/>
      <c r="K618" s="275"/>
      <c r="L618" s="510"/>
      <c r="M618" s="275"/>
      <c r="N618" s="510"/>
      <c r="O618" s="275"/>
      <c r="P618" s="510"/>
      <c r="Q618" s="275"/>
      <c r="R618" s="510"/>
      <c r="S618" s="275"/>
      <c r="T618" s="510"/>
      <c r="U618" s="275"/>
      <c r="V618" s="510"/>
      <c r="W618" s="275"/>
      <c r="X618" s="510"/>
      <c r="Y618" s="275"/>
      <c r="Z618" s="510"/>
      <c r="AA618" s="275"/>
      <c r="AB618" s="510"/>
      <c r="AC618" s="275"/>
      <c r="AD618" s="510"/>
      <c r="AE618" s="275"/>
      <c r="AF618" s="510"/>
      <c r="AG618" s="275"/>
      <c r="AH618" s="510"/>
      <c r="AI618" s="275"/>
      <c r="AJ618" s="510"/>
      <c r="AK618" s="275"/>
      <c r="AL618" s="510"/>
      <c r="AM618" s="275"/>
      <c r="AN618" s="510"/>
      <c r="AO618" s="276"/>
    </row>
    <row r="619" spans="1:41" s="183" customFormat="1" ht="15" customHeight="1">
      <c r="A619" s="179" t="s">
        <v>816</v>
      </c>
      <c r="B619" s="179" t="s">
        <v>188</v>
      </c>
      <c r="C619" s="418">
        <v>227979</v>
      </c>
      <c r="D619" s="182">
        <v>8</v>
      </c>
      <c r="E619" s="275">
        <v>1220</v>
      </c>
      <c r="F619" s="510">
        <v>1220</v>
      </c>
      <c r="G619" s="275">
        <v>2570</v>
      </c>
      <c r="H619" s="510">
        <v>1970</v>
      </c>
      <c r="I619" s="275"/>
      <c r="J619" s="510"/>
      <c r="K619" s="275"/>
      <c r="L619" s="510"/>
      <c r="M619" s="275"/>
      <c r="N619" s="510"/>
      <c r="O619" s="275"/>
      <c r="P619" s="510"/>
      <c r="Q619" s="275"/>
      <c r="R619" s="510"/>
      <c r="S619" s="275"/>
      <c r="T619" s="510"/>
      <c r="U619" s="275"/>
      <c r="V619" s="510"/>
      <c r="W619" s="275"/>
      <c r="X619" s="510"/>
      <c r="Y619" s="275"/>
      <c r="Z619" s="510"/>
      <c r="AA619" s="275"/>
      <c r="AB619" s="510"/>
      <c r="AC619" s="275"/>
      <c r="AD619" s="510"/>
      <c r="AE619" s="275"/>
      <c r="AF619" s="510"/>
      <c r="AG619" s="275"/>
      <c r="AH619" s="510"/>
      <c r="AI619" s="275"/>
      <c r="AJ619" s="510"/>
      <c r="AK619" s="275"/>
      <c r="AL619" s="510"/>
      <c r="AM619" s="275"/>
      <c r="AN619" s="510"/>
      <c r="AO619" s="276"/>
    </row>
    <row r="620" spans="1:41" s="183" customFormat="1" ht="15" customHeight="1">
      <c r="A620" s="179" t="s">
        <v>816</v>
      </c>
      <c r="B620" s="179" t="s">
        <v>675</v>
      </c>
      <c r="C620" s="418">
        <v>228158</v>
      </c>
      <c r="D620" s="182">
        <v>8</v>
      </c>
      <c r="E620" s="275">
        <v>2606</v>
      </c>
      <c r="F620" s="510">
        <v>1892</v>
      </c>
      <c r="G620" s="275">
        <v>2852</v>
      </c>
      <c r="H620" s="510">
        <v>2552</v>
      </c>
      <c r="I620" s="275"/>
      <c r="J620" s="510"/>
      <c r="K620" s="275"/>
      <c r="L620" s="510"/>
      <c r="M620" s="275"/>
      <c r="N620" s="510"/>
      <c r="O620" s="275"/>
      <c r="P620" s="510"/>
      <c r="Q620" s="275"/>
      <c r="R620" s="510"/>
      <c r="S620" s="275"/>
      <c r="T620" s="510"/>
      <c r="U620" s="275"/>
      <c r="V620" s="510"/>
      <c r="W620" s="275"/>
      <c r="X620" s="510"/>
      <c r="Y620" s="275"/>
      <c r="Z620" s="510"/>
      <c r="AA620" s="275"/>
      <c r="AB620" s="510"/>
      <c r="AC620" s="275"/>
      <c r="AD620" s="510"/>
      <c r="AE620" s="275"/>
      <c r="AF620" s="510"/>
      <c r="AG620" s="275"/>
      <c r="AH620" s="510"/>
      <c r="AI620" s="275"/>
      <c r="AJ620" s="510"/>
      <c r="AK620" s="275"/>
      <c r="AL620" s="510"/>
      <c r="AM620" s="275"/>
      <c r="AN620" s="510"/>
      <c r="AO620" s="276"/>
    </row>
    <row r="621" spans="1:41" s="183" customFormat="1" ht="15" customHeight="1">
      <c r="A621" s="179" t="s">
        <v>816</v>
      </c>
      <c r="B621" s="434" t="s">
        <v>676</v>
      </c>
      <c r="C621" s="418">
        <v>409315</v>
      </c>
      <c r="D621" s="433">
        <v>8</v>
      </c>
      <c r="E621" s="275">
        <v>2022</v>
      </c>
      <c r="F621" s="510">
        <v>2022</v>
      </c>
      <c r="G621" s="275">
        <v>2535</v>
      </c>
      <c r="H621" s="510">
        <v>2535</v>
      </c>
      <c r="I621" s="275"/>
      <c r="J621" s="510"/>
      <c r="K621" s="275"/>
      <c r="L621" s="510"/>
      <c r="M621" s="275"/>
      <c r="N621" s="510"/>
      <c r="O621" s="275"/>
      <c r="P621" s="510"/>
      <c r="Q621" s="275"/>
      <c r="R621" s="510"/>
      <c r="S621" s="275"/>
      <c r="T621" s="510"/>
      <c r="U621" s="275"/>
      <c r="V621" s="510"/>
      <c r="W621" s="275"/>
      <c r="X621" s="510"/>
      <c r="Y621" s="275"/>
      <c r="Z621" s="510"/>
      <c r="AA621" s="275"/>
      <c r="AB621" s="510"/>
      <c r="AC621" s="275"/>
      <c r="AD621" s="510"/>
      <c r="AE621" s="275"/>
      <c r="AF621" s="510"/>
      <c r="AG621" s="275"/>
      <c r="AH621" s="510"/>
      <c r="AI621" s="275"/>
      <c r="AJ621" s="510"/>
      <c r="AK621" s="275"/>
      <c r="AL621" s="510"/>
      <c r="AM621" s="275"/>
      <c r="AN621" s="510"/>
      <c r="AO621" s="276"/>
    </row>
    <row r="622" spans="1:41" s="183" customFormat="1" ht="15" customHeight="1">
      <c r="A622" s="179" t="s">
        <v>816</v>
      </c>
      <c r="B622" s="179" t="s">
        <v>677</v>
      </c>
      <c r="C622" s="418">
        <v>227854</v>
      </c>
      <c r="D622" s="182">
        <v>8</v>
      </c>
      <c r="E622" s="275">
        <v>1576</v>
      </c>
      <c r="F622" s="510">
        <v>1638</v>
      </c>
      <c r="G622" s="275">
        <v>2836</v>
      </c>
      <c r="H622" s="510">
        <v>2838</v>
      </c>
      <c r="I622" s="275"/>
      <c r="J622" s="510"/>
      <c r="K622" s="275"/>
      <c r="L622" s="510"/>
      <c r="M622" s="275"/>
      <c r="N622" s="510"/>
      <c r="O622" s="275"/>
      <c r="P622" s="510"/>
      <c r="Q622" s="275"/>
      <c r="R622" s="510"/>
      <c r="S622" s="275"/>
      <c r="T622" s="510"/>
      <c r="U622" s="275"/>
      <c r="V622" s="510"/>
      <c r="W622" s="275"/>
      <c r="X622" s="510"/>
      <c r="Y622" s="275"/>
      <c r="Z622" s="510"/>
      <c r="AA622" s="275"/>
      <c r="AB622" s="510"/>
      <c r="AC622" s="275"/>
      <c r="AD622" s="510"/>
      <c r="AE622" s="275"/>
      <c r="AF622" s="510"/>
      <c r="AG622" s="275"/>
      <c r="AH622" s="510"/>
      <c r="AI622" s="275"/>
      <c r="AJ622" s="510"/>
      <c r="AK622" s="275"/>
      <c r="AL622" s="510"/>
      <c r="AM622" s="275"/>
      <c r="AN622" s="510"/>
      <c r="AO622" s="276"/>
    </row>
    <row r="623" spans="1:41" s="183" customFormat="1" ht="15" customHeight="1">
      <c r="A623" s="179" t="s">
        <v>816</v>
      </c>
      <c r="B623" s="179" t="s">
        <v>678</v>
      </c>
      <c r="C623" s="418">
        <v>228547</v>
      </c>
      <c r="D623" s="182">
        <v>8</v>
      </c>
      <c r="E623" s="275">
        <v>1500</v>
      </c>
      <c r="F623" s="510">
        <v>1500</v>
      </c>
      <c r="G623" s="275">
        <v>4455</v>
      </c>
      <c r="H623" s="510">
        <v>4500</v>
      </c>
      <c r="I623" s="275"/>
      <c r="J623" s="510"/>
      <c r="K623" s="275"/>
      <c r="L623" s="510"/>
      <c r="M623" s="275"/>
      <c r="N623" s="510"/>
      <c r="O623" s="275"/>
      <c r="P623" s="510"/>
      <c r="Q623" s="275"/>
      <c r="R623" s="510"/>
      <c r="S623" s="275"/>
      <c r="T623" s="510"/>
      <c r="U623" s="275"/>
      <c r="V623" s="510"/>
      <c r="W623" s="275"/>
      <c r="X623" s="510"/>
      <c r="Y623" s="275"/>
      <c r="Z623" s="510"/>
      <c r="AA623" s="275"/>
      <c r="AB623" s="510"/>
      <c r="AC623" s="275"/>
      <c r="AD623" s="510"/>
      <c r="AE623" s="275"/>
      <c r="AF623" s="510"/>
      <c r="AG623" s="275"/>
      <c r="AH623" s="510"/>
      <c r="AI623" s="275"/>
      <c r="AJ623" s="510"/>
      <c r="AK623" s="275"/>
      <c r="AL623" s="510"/>
      <c r="AM623" s="275"/>
      <c r="AN623" s="510"/>
      <c r="AO623" s="276"/>
    </row>
    <row r="624" spans="1:41" s="183" customFormat="1" ht="15" customHeight="1">
      <c r="A624" s="179" t="s">
        <v>816</v>
      </c>
      <c r="B624" s="179" t="s">
        <v>679</v>
      </c>
      <c r="C624" s="418">
        <v>229072</v>
      </c>
      <c r="D624" s="182">
        <v>8</v>
      </c>
      <c r="E624" s="275">
        <v>3910</v>
      </c>
      <c r="F624" s="510">
        <v>4180</v>
      </c>
      <c r="G624" s="275">
        <v>3910</v>
      </c>
      <c r="H624" s="510">
        <v>4180</v>
      </c>
      <c r="I624" s="275"/>
      <c r="J624" s="510"/>
      <c r="K624" s="275"/>
      <c r="L624" s="510"/>
      <c r="M624" s="275"/>
      <c r="N624" s="510"/>
      <c r="O624" s="275"/>
      <c r="P624" s="510"/>
      <c r="Q624" s="275"/>
      <c r="R624" s="510"/>
      <c r="S624" s="275"/>
      <c r="T624" s="510"/>
      <c r="U624" s="275"/>
      <c r="V624" s="510"/>
      <c r="W624" s="275"/>
      <c r="X624" s="510"/>
      <c r="Y624" s="275"/>
      <c r="Z624" s="510"/>
      <c r="AA624" s="275"/>
      <c r="AB624" s="510"/>
      <c r="AC624" s="275"/>
      <c r="AD624" s="510"/>
      <c r="AE624" s="275"/>
      <c r="AF624" s="510"/>
      <c r="AG624" s="275"/>
      <c r="AH624" s="510"/>
      <c r="AI624" s="275"/>
      <c r="AJ624" s="510"/>
      <c r="AK624" s="275"/>
      <c r="AL624" s="510"/>
      <c r="AM624" s="275"/>
      <c r="AN624" s="510"/>
      <c r="AO624" s="276"/>
    </row>
    <row r="625" spans="1:41" s="183" customFormat="1" ht="15" customHeight="1">
      <c r="A625" s="179" t="s">
        <v>816</v>
      </c>
      <c r="B625" s="179" t="s">
        <v>680</v>
      </c>
      <c r="C625" s="418">
        <v>229355</v>
      </c>
      <c r="D625" s="182">
        <v>8</v>
      </c>
      <c r="E625" s="275">
        <v>1572</v>
      </c>
      <c r="F625" s="510">
        <v>1592</v>
      </c>
      <c r="G625" s="275">
        <v>3340</v>
      </c>
      <c r="H625" s="510">
        <v>2552</v>
      </c>
      <c r="I625" s="275"/>
      <c r="J625" s="510"/>
      <c r="K625" s="275"/>
      <c r="L625" s="510"/>
      <c r="M625" s="275"/>
      <c r="N625" s="510"/>
      <c r="O625" s="275"/>
      <c r="P625" s="510"/>
      <c r="Q625" s="275"/>
      <c r="R625" s="510"/>
      <c r="S625" s="275"/>
      <c r="T625" s="510"/>
      <c r="U625" s="275"/>
      <c r="V625" s="510"/>
      <c r="W625" s="275"/>
      <c r="X625" s="510"/>
      <c r="Y625" s="275"/>
      <c r="Z625" s="510"/>
      <c r="AA625" s="275"/>
      <c r="AB625" s="510"/>
      <c r="AC625" s="275"/>
      <c r="AD625" s="510"/>
      <c r="AE625" s="275"/>
      <c r="AF625" s="510"/>
      <c r="AG625" s="275"/>
      <c r="AH625" s="510"/>
      <c r="AI625" s="275"/>
      <c r="AJ625" s="510"/>
      <c r="AK625" s="275"/>
      <c r="AL625" s="510"/>
      <c r="AM625" s="275"/>
      <c r="AN625" s="510"/>
      <c r="AO625" s="276"/>
    </row>
    <row r="626" spans="1:41" s="183" customFormat="1" ht="15" customHeight="1">
      <c r="A626" s="179" t="s">
        <v>816</v>
      </c>
      <c r="B626" s="179" t="s">
        <v>681</v>
      </c>
      <c r="C626" s="418">
        <v>222567</v>
      </c>
      <c r="D626" s="182">
        <v>9</v>
      </c>
      <c r="E626" s="275">
        <v>1146</v>
      </c>
      <c r="F626" s="510">
        <v>1190</v>
      </c>
      <c r="G626" s="275">
        <v>1970</v>
      </c>
      <c r="H626" s="510">
        <v>2090</v>
      </c>
      <c r="I626" s="275"/>
      <c r="J626" s="510"/>
      <c r="K626" s="275"/>
      <c r="L626" s="510"/>
      <c r="M626" s="275"/>
      <c r="N626" s="510"/>
      <c r="O626" s="275"/>
      <c r="P626" s="510"/>
      <c r="Q626" s="275"/>
      <c r="R626" s="510"/>
      <c r="S626" s="275"/>
      <c r="T626" s="510"/>
      <c r="U626" s="275"/>
      <c r="V626" s="510"/>
      <c r="W626" s="275"/>
      <c r="X626" s="510"/>
      <c r="Y626" s="275"/>
      <c r="Z626" s="510"/>
      <c r="AA626" s="275"/>
      <c r="AB626" s="510"/>
      <c r="AC626" s="275"/>
      <c r="AD626" s="510"/>
      <c r="AE626" s="275"/>
      <c r="AF626" s="510"/>
      <c r="AG626" s="275"/>
      <c r="AH626" s="510"/>
      <c r="AI626" s="275"/>
      <c r="AJ626" s="510"/>
      <c r="AK626" s="275"/>
      <c r="AL626" s="510"/>
      <c r="AM626" s="275"/>
      <c r="AN626" s="510"/>
      <c r="AO626" s="276"/>
    </row>
    <row r="627" spans="1:41" s="183" customFormat="1" ht="15" customHeight="1">
      <c r="A627" s="179" t="s">
        <v>816</v>
      </c>
      <c r="B627" s="179" t="s">
        <v>682</v>
      </c>
      <c r="C627" s="418">
        <v>222822</v>
      </c>
      <c r="D627" s="182">
        <v>9</v>
      </c>
      <c r="E627" s="275">
        <v>1180</v>
      </c>
      <c r="F627" s="510">
        <v>1200</v>
      </c>
      <c r="G627" s="275">
        <v>2400</v>
      </c>
      <c r="H627" s="510">
        <v>1740</v>
      </c>
      <c r="I627" s="275"/>
      <c r="J627" s="510"/>
      <c r="K627" s="275"/>
      <c r="L627" s="510"/>
      <c r="M627" s="275"/>
      <c r="N627" s="510"/>
      <c r="O627" s="275"/>
      <c r="P627" s="510"/>
      <c r="Q627" s="275"/>
      <c r="R627" s="510"/>
      <c r="S627" s="275"/>
      <c r="T627" s="510"/>
      <c r="U627" s="275"/>
      <c r="V627" s="510"/>
      <c r="W627" s="275"/>
      <c r="X627" s="510"/>
      <c r="Y627" s="275"/>
      <c r="Z627" s="510"/>
      <c r="AA627" s="275"/>
      <c r="AB627" s="510"/>
      <c r="AC627" s="275"/>
      <c r="AD627" s="510"/>
      <c r="AE627" s="275"/>
      <c r="AF627" s="510"/>
      <c r="AG627" s="275"/>
      <c r="AH627" s="510"/>
      <c r="AI627" s="275"/>
      <c r="AJ627" s="510"/>
      <c r="AK627" s="275"/>
      <c r="AL627" s="510"/>
      <c r="AM627" s="275"/>
      <c r="AN627" s="510"/>
      <c r="AO627" s="276"/>
    </row>
    <row r="628" spans="1:41" s="183" customFormat="1" ht="15" customHeight="1">
      <c r="A628" s="179" t="s">
        <v>816</v>
      </c>
      <c r="B628" s="434" t="s">
        <v>683</v>
      </c>
      <c r="C628" s="418">
        <v>223506</v>
      </c>
      <c r="D628" s="182">
        <v>9</v>
      </c>
      <c r="E628" s="275">
        <v>1290</v>
      </c>
      <c r="F628" s="510">
        <v>1290</v>
      </c>
      <c r="G628" s="275">
        <v>1920</v>
      </c>
      <c r="H628" s="510">
        <v>1920</v>
      </c>
      <c r="I628" s="275"/>
      <c r="J628" s="510"/>
      <c r="K628" s="275"/>
      <c r="L628" s="510"/>
      <c r="M628" s="275"/>
      <c r="N628" s="510"/>
      <c r="O628" s="275"/>
      <c r="P628" s="510"/>
      <c r="Q628" s="275"/>
      <c r="R628" s="510"/>
      <c r="S628" s="275"/>
      <c r="T628" s="510"/>
      <c r="U628" s="275"/>
      <c r="V628" s="510"/>
      <c r="W628" s="275"/>
      <c r="X628" s="510"/>
      <c r="Y628" s="275"/>
      <c r="Z628" s="510"/>
      <c r="AA628" s="275"/>
      <c r="AB628" s="510"/>
      <c r="AC628" s="275"/>
      <c r="AD628" s="510"/>
      <c r="AE628" s="275"/>
      <c r="AF628" s="510"/>
      <c r="AG628" s="275"/>
      <c r="AH628" s="510"/>
      <c r="AI628" s="275"/>
      <c r="AJ628" s="510"/>
      <c r="AK628" s="275"/>
      <c r="AL628" s="510"/>
      <c r="AM628" s="275"/>
      <c r="AN628" s="510"/>
      <c r="AO628" s="276"/>
    </row>
    <row r="629" spans="1:41" s="183" customFormat="1" ht="15" customHeight="1">
      <c r="A629" s="179" t="s">
        <v>816</v>
      </c>
      <c r="B629" s="179" t="s">
        <v>684</v>
      </c>
      <c r="C629" s="418">
        <v>223773</v>
      </c>
      <c r="D629" s="182">
        <v>9</v>
      </c>
      <c r="E629" s="275">
        <v>1080</v>
      </c>
      <c r="F629" s="510">
        <v>1170</v>
      </c>
      <c r="G629" s="275">
        <v>3180</v>
      </c>
      <c r="H629" s="510">
        <v>2160</v>
      </c>
      <c r="I629" s="275"/>
      <c r="J629" s="510"/>
      <c r="K629" s="275"/>
      <c r="L629" s="510"/>
      <c r="M629" s="275"/>
      <c r="N629" s="510"/>
      <c r="O629" s="275"/>
      <c r="P629" s="510"/>
      <c r="Q629" s="275"/>
      <c r="R629" s="510"/>
      <c r="S629" s="275"/>
      <c r="T629" s="510"/>
      <c r="U629" s="275"/>
      <c r="V629" s="510"/>
      <c r="W629" s="275"/>
      <c r="X629" s="510"/>
      <c r="Y629" s="275"/>
      <c r="Z629" s="510"/>
      <c r="AA629" s="275"/>
      <c r="AB629" s="510"/>
      <c r="AC629" s="275"/>
      <c r="AD629" s="510"/>
      <c r="AE629" s="275"/>
      <c r="AF629" s="510"/>
      <c r="AG629" s="275"/>
      <c r="AH629" s="510"/>
      <c r="AI629" s="275"/>
      <c r="AJ629" s="510"/>
      <c r="AK629" s="275"/>
      <c r="AL629" s="510"/>
      <c r="AM629" s="275"/>
      <c r="AN629" s="510"/>
      <c r="AO629" s="276"/>
    </row>
    <row r="630" spans="1:41" s="183" customFormat="1" ht="15" customHeight="1">
      <c r="A630" s="179" t="s">
        <v>816</v>
      </c>
      <c r="B630" s="179" t="s">
        <v>685</v>
      </c>
      <c r="C630" s="418">
        <v>223898</v>
      </c>
      <c r="D630" s="182">
        <v>9</v>
      </c>
      <c r="E630" s="275">
        <v>2560</v>
      </c>
      <c r="F630" s="510">
        <v>2650</v>
      </c>
      <c r="G630" s="275">
        <v>3290</v>
      </c>
      <c r="H630" s="510">
        <v>2980</v>
      </c>
      <c r="I630" s="275"/>
      <c r="J630" s="510"/>
      <c r="K630" s="275"/>
      <c r="L630" s="510"/>
      <c r="M630" s="275"/>
      <c r="N630" s="510"/>
      <c r="O630" s="275"/>
      <c r="P630" s="510"/>
      <c r="Q630" s="275"/>
      <c r="R630" s="510"/>
      <c r="S630" s="275"/>
      <c r="T630" s="510"/>
      <c r="U630" s="275"/>
      <c r="V630" s="510"/>
      <c r="W630" s="275"/>
      <c r="X630" s="510"/>
      <c r="Y630" s="275"/>
      <c r="Z630" s="510"/>
      <c r="AA630" s="275"/>
      <c r="AB630" s="510"/>
      <c r="AC630" s="275"/>
      <c r="AD630" s="510"/>
      <c r="AE630" s="275"/>
      <c r="AF630" s="510"/>
      <c r="AG630" s="275"/>
      <c r="AH630" s="510"/>
      <c r="AI630" s="275"/>
      <c r="AJ630" s="510"/>
      <c r="AK630" s="275"/>
      <c r="AL630" s="510"/>
      <c r="AM630" s="275"/>
      <c r="AN630" s="510"/>
      <c r="AO630" s="276"/>
    </row>
    <row r="631" spans="1:41" s="183" customFormat="1" ht="15" customHeight="1">
      <c r="A631" s="179" t="s">
        <v>816</v>
      </c>
      <c r="B631" s="179" t="s">
        <v>686</v>
      </c>
      <c r="C631" s="418">
        <v>223320</v>
      </c>
      <c r="D631" s="182">
        <v>9</v>
      </c>
      <c r="E631" s="275">
        <v>1962</v>
      </c>
      <c r="F631" s="510">
        <v>2130</v>
      </c>
      <c r="G631" s="275">
        <v>4350</v>
      </c>
      <c r="H631" s="510">
        <v>3900</v>
      </c>
      <c r="I631" s="275"/>
      <c r="J631" s="510"/>
      <c r="K631" s="275"/>
      <c r="L631" s="510"/>
      <c r="M631" s="275"/>
      <c r="N631" s="510"/>
      <c r="O631" s="275"/>
      <c r="P631" s="510"/>
      <c r="Q631" s="275"/>
      <c r="R631" s="510"/>
      <c r="S631" s="275"/>
      <c r="T631" s="510"/>
      <c r="U631" s="275"/>
      <c r="V631" s="510"/>
      <c r="W631" s="275"/>
      <c r="X631" s="510"/>
      <c r="Y631" s="275"/>
      <c r="Z631" s="510"/>
      <c r="AA631" s="275"/>
      <c r="AB631" s="510"/>
      <c r="AC631" s="275"/>
      <c r="AD631" s="510"/>
      <c r="AE631" s="275"/>
      <c r="AF631" s="510"/>
      <c r="AG631" s="275"/>
      <c r="AH631" s="510"/>
      <c r="AI631" s="275"/>
      <c r="AJ631" s="510"/>
      <c r="AK631" s="275"/>
      <c r="AL631" s="510"/>
      <c r="AM631" s="275"/>
      <c r="AN631" s="510"/>
      <c r="AO631" s="276"/>
    </row>
    <row r="632" spans="1:41" s="183" customFormat="1" ht="15" customHeight="1">
      <c r="A632" s="179" t="s">
        <v>816</v>
      </c>
      <c r="B632" s="328" t="s">
        <v>687</v>
      </c>
      <c r="C632" s="329">
        <v>226408</v>
      </c>
      <c r="D632" s="200">
        <v>9</v>
      </c>
      <c r="E632" s="275">
        <v>1046</v>
      </c>
      <c r="F632" s="510">
        <v>1106</v>
      </c>
      <c r="G632" s="275">
        <v>2996</v>
      </c>
      <c r="H632" s="510">
        <v>2126</v>
      </c>
      <c r="I632" s="275"/>
      <c r="J632" s="510"/>
      <c r="K632" s="275"/>
      <c r="L632" s="510"/>
      <c r="M632" s="275"/>
      <c r="N632" s="510"/>
      <c r="O632" s="275"/>
      <c r="P632" s="510"/>
      <c r="Q632" s="275"/>
      <c r="R632" s="510"/>
      <c r="S632" s="275"/>
      <c r="T632" s="510"/>
      <c r="U632" s="275"/>
      <c r="V632" s="510"/>
      <c r="W632" s="275"/>
      <c r="X632" s="510"/>
      <c r="Y632" s="275"/>
      <c r="Z632" s="510"/>
      <c r="AA632" s="275"/>
      <c r="AB632" s="510"/>
      <c r="AC632" s="275"/>
      <c r="AD632" s="510"/>
      <c r="AE632" s="275"/>
      <c r="AF632" s="510"/>
      <c r="AG632" s="275"/>
      <c r="AH632" s="510"/>
      <c r="AI632" s="275"/>
      <c r="AJ632" s="510"/>
      <c r="AK632" s="275"/>
      <c r="AL632" s="510"/>
      <c r="AM632" s="275"/>
      <c r="AN632" s="510"/>
      <c r="AO632" s="276"/>
    </row>
    <row r="633" spans="1:41" s="183" customFormat="1" ht="15" customHeight="1">
      <c r="A633" s="179" t="s">
        <v>816</v>
      </c>
      <c r="B633" s="179" t="s">
        <v>688</v>
      </c>
      <c r="C633" s="418">
        <v>224615</v>
      </c>
      <c r="D633" s="182">
        <v>9</v>
      </c>
      <c r="E633" s="275">
        <v>1080</v>
      </c>
      <c r="F633" s="510">
        <v>1170</v>
      </c>
      <c r="G633" s="275">
        <v>3180</v>
      </c>
      <c r="H633" s="510">
        <v>2160</v>
      </c>
      <c r="I633" s="275"/>
      <c r="J633" s="510"/>
      <c r="K633" s="275"/>
      <c r="L633" s="510"/>
      <c r="M633" s="275"/>
      <c r="N633" s="510"/>
      <c r="O633" s="275"/>
      <c r="P633" s="510"/>
      <c r="Q633" s="275"/>
      <c r="R633" s="510"/>
      <c r="S633" s="275"/>
      <c r="T633" s="510"/>
      <c r="U633" s="275"/>
      <c r="V633" s="510"/>
      <c r="W633" s="275"/>
      <c r="X633" s="510"/>
      <c r="Y633" s="275"/>
      <c r="Z633" s="510"/>
      <c r="AA633" s="275"/>
      <c r="AB633" s="510"/>
      <c r="AC633" s="275"/>
      <c r="AD633" s="510"/>
      <c r="AE633" s="275"/>
      <c r="AF633" s="510"/>
      <c r="AG633" s="275"/>
      <c r="AH633" s="510"/>
      <c r="AI633" s="275"/>
      <c r="AJ633" s="510"/>
      <c r="AK633" s="275"/>
      <c r="AL633" s="510"/>
      <c r="AM633" s="275"/>
      <c r="AN633" s="510"/>
      <c r="AO633" s="276"/>
    </row>
    <row r="634" spans="1:41" s="183" customFormat="1" ht="15" customHeight="1">
      <c r="A634" s="179" t="s">
        <v>816</v>
      </c>
      <c r="B634" s="179" t="s">
        <v>689</v>
      </c>
      <c r="C634" s="418">
        <v>225070</v>
      </c>
      <c r="D634" s="182">
        <v>9</v>
      </c>
      <c r="E634" s="275">
        <v>1350</v>
      </c>
      <c r="F634" s="510">
        <v>1314</v>
      </c>
      <c r="G634" s="275">
        <v>1680</v>
      </c>
      <c r="H634" s="510">
        <v>1644</v>
      </c>
      <c r="I634" s="275"/>
      <c r="J634" s="510"/>
      <c r="K634" s="275"/>
      <c r="L634" s="510"/>
      <c r="M634" s="275"/>
      <c r="N634" s="510"/>
      <c r="O634" s="275"/>
      <c r="P634" s="510"/>
      <c r="Q634" s="275"/>
      <c r="R634" s="510"/>
      <c r="S634" s="275"/>
      <c r="T634" s="510"/>
      <c r="U634" s="275"/>
      <c r="V634" s="510"/>
      <c r="W634" s="275"/>
      <c r="X634" s="510"/>
      <c r="Y634" s="275"/>
      <c r="Z634" s="510"/>
      <c r="AA634" s="275"/>
      <c r="AB634" s="510"/>
      <c r="AC634" s="275"/>
      <c r="AD634" s="510"/>
      <c r="AE634" s="275"/>
      <c r="AF634" s="510"/>
      <c r="AG634" s="275"/>
      <c r="AH634" s="510"/>
      <c r="AI634" s="275"/>
      <c r="AJ634" s="510"/>
      <c r="AK634" s="275"/>
      <c r="AL634" s="510"/>
      <c r="AM634" s="275"/>
      <c r="AN634" s="510"/>
      <c r="AO634" s="276"/>
    </row>
    <row r="635" spans="1:41" s="183" customFormat="1" ht="15" customHeight="1">
      <c r="A635" s="179" t="s">
        <v>816</v>
      </c>
      <c r="B635" s="179" t="s">
        <v>690</v>
      </c>
      <c r="C635" s="418">
        <v>225371</v>
      </c>
      <c r="D635" s="182">
        <v>9</v>
      </c>
      <c r="E635" s="275">
        <v>1560</v>
      </c>
      <c r="F635" s="510">
        <v>1560</v>
      </c>
      <c r="G635" s="275">
        <v>2350</v>
      </c>
      <c r="H635" s="510">
        <v>1950</v>
      </c>
      <c r="I635" s="275"/>
      <c r="J635" s="510"/>
      <c r="K635" s="275"/>
      <c r="L635" s="510"/>
      <c r="M635" s="275"/>
      <c r="N635" s="510"/>
      <c r="O635" s="275"/>
      <c r="P635" s="510"/>
      <c r="Q635" s="275"/>
      <c r="R635" s="510"/>
      <c r="S635" s="275"/>
      <c r="T635" s="510"/>
      <c r="U635" s="275"/>
      <c r="V635" s="510"/>
      <c r="W635" s="275"/>
      <c r="X635" s="510"/>
      <c r="Y635" s="275"/>
      <c r="Z635" s="510"/>
      <c r="AA635" s="275"/>
      <c r="AB635" s="510"/>
      <c r="AC635" s="275"/>
      <c r="AD635" s="510"/>
      <c r="AE635" s="275"/>
      <c r="AF635" s="510"/>
      <c r="AG635" s="275"/>
      <c r="AH635" s="510"/>
      <c r="AI635" s="275"/>
      <c r="AJ635" s="510"/>
      <c r="AK635" s="275"/>
      <c r="AL635" s="510"/>
      <c r="AM635" s="275"/>
      <c r="AN635" s="510"/>
      <c r="AO635" s="276"/>
    </row>
    <row r="636" spans="1:41" s="183" customFormat="1" ht="15" customHeight="1">
      <c r="A636" s="179" t="s">
        <v>816</v>
      </c>
      <c r="B636" s="179" t="s">
        <v>691</v>
      </c>
      <c r="C636" s="418">
        <v>225520</v>
      </c>
      <c r="D636" s="182">
        <v>9</v>
      </c>
      <c r="E636" s="275">
        <v>1592</v>
      </c>
      <c r="F636" s="510">
        <v>1592</v>
      </c>
      <c r="G636" s="275">
        <v>2712</v>
      </c>
      <c r="H636" s="510">
        <v>2012</v>
      </c>
      <c r="I636" s="275"/>
      <c r="J636" s="510"/>
      <c r="K636" s="275"/>
      <c r="L636" s="510"/>
      <c r="M636" s="275"/>
      <c r="N636" s="510"/>
      <c r="O636" s="275"/>
      <c r="P636" s="510"/>
      <c r="Q636" s="275"/>
      <c r="R636" s="510"/>
      <c r="S636" s="275"/>
      <c r="T636" s="510"/>
      <c r="U636" s="275"/>
      <c r="V636" s="510"/>
      <c r="W636" s="275"/>
      <c r="X636" s="510"/>
      <c r="Y636" s="275"/>
      <c r="Z636" s="510"/>
      <c r="AA636" s="275"/>
      <c r="AB636" s="510"/>
      <c r="AC636" s="275"/>
      <c r="AD636" s="510"/>
      <c r="AE636" s="275"/>
      <c r="AF636" s="510"/>
      <c r="AG636" s="275"/>
      <c r="AH636" s="510"/>
      <c r="AI636" s="275"/>
      <c r="AJ636" s="510"/>
      <c r="AK636" s="275"/>
      <c r="AL636" s="510"/>
      <c r="AM636" s="275"/>
      <c r="AN636" s="510"/>
      <c r="AO636" s="276"/>
    </row>
    <row r="637" spans="1:41" s="183" customFormat="1" ht="15" customHeight="1">
      <c r="A637" s="179" t="s">
        <v>816</v>
      </c>
      <c r="B637" s="179" t="s">
        <v>692</v>
      </c>
      <c r="C637" s="418">
        <v>226019</v>
      </c>
      <c r="D637" s="182">
        <v>9</v>
      </c>
      <c r="E637" s="275">
        <v>1260</v>
      </c>
      <c r="F637" s="510">
        <v>1290</v>
      </c>
      <c r="G637" s="275">
        <v>3510</v>
      </c>
      <c r="H637" s="510">
        <v>2700</v>
      </c>
      <c r="I637" s="275"/>
      <c r="J637" s="510"/>
      <c r="K637" s="275"/>
      <c r="L637" s="510"/>
      <c r="M637" s="275"/>
      <c r="N637" s="510"/>
      <c r="O637" s="275"/>
      <c r="P637" s="510"/>
      <c r="Q637" s="275"/>
      <c r="R637" s="510"/>
      <c r="S637" s="275"/>
      <c r="T637" s="510"/>
      <c r="U637" s="275"/>
      <c r="V637" s="510"/>
      <c r="W637" s="275"/>
      <c r="X637" s="510"/>
      <c r="Y637" s="275"/>
      <c r="Z637" s="510"/>
      <c r="AA637" s="275"/>
      <c r="AB637" s="510"/>
      <c r="AC637" s="275"/>
      <c r="AD637" s="510"/>
      <c r="AE637" s="275"/>
      <c r="AF637" s="510"/>
      <c r="AG637" s="275"/>
      <c r="AH637" s="510"/>
      <c r="AI637" s="275"/>
      <c r="AJ637" s="510"/>
      <c r="AK637" s="275"/>
      <c r="AL637" s="510"/>
      <c r="AM637" s="275"/>
      <c r="AN637" s="510"/>
      <c r="AO637" s="276"/>
    </row>
    <row r="638" spans="1:41" s="183" customFormat="1" ht="15" customHeight="1">
      <c r="A638" s="179" t="s">
        <v>816</v>
      </c>
      <c r="B638" s="434" t="s">
        <v>693</v>
      </c>
      <c r="C638" s="435">
        <v>441760</v>
      </c>
      <c r="D638" s="436">
        <v>9</v>
      </c>
      <c r="E638" s="275">
        <v>3170</v>
      </c>
      <c r="F638" s="510">
        <v>3654</v>
      </c>
      <c r="G638" s="275">
        <v>11306</v>
      </c>
      <c r="H638" s="510">
        <v>11994</v>
      </c>
      <c r="I638" s="275"/>
      <c r="J638" s="510"/>
      <c r="K638" s="275"/>
      <c r="L638" s="510"/>
      <c r="M638" s="275"/>
      <c r="N638" s="510"/>
      <c r="O638" s="275"/>
      <c r="P638" s="510"/>
      <c r="Q638" s="275"/>
      <c r="R638" s="510"/>
      <c r="S638" s="275"/>
      <c r="T638" s="510"/>
      <c r="U638" s="275"/>
      <c r="V638" s="510"/>
      <c r="W638" s="275"/>
      <c r="X638" s="510"/>
      <c r="Y638" s="275"/>
      <c r="Z638" s="510"/>
      <c r="AA638" s="275"/>
      <c r="AB638" s="510"/>
      <c r="AC638" s="275"/>
      <c r="AD638" s="510"/>
      <c r="AE638" s="275"/>
      <c r="AF638" s="510"/>
      <c r="AG638" s="275"/>
      <c r="AH638" s="510"/>
      <c r="AI638" s="275"/>
      <c r="AJ638" s="510"/>
      <c r="AK638" s="275"/>
      <c r="AL638" s="510"/>
      <c r="AM638" s="275"/>
      <c r="AN638" s="510"/>
      <c r="AO638" s="276"/>
    </row>
    <row r="639" spans="1:41" s="183" customFormat="1" ht="15" customHeight="1">
      <c r="A639" s="179" t="s">
        <v>816</v>
      </c>
      <c r="B639" s="328" t="s">
        <v>695</v>
      </c>
      <c r="C639" s="329">
        <v>226204</v>
      </c>
      <c r="D639" s="200">
        <v>9</v>
      </c>
      <c r="E639" s="275">
        <v>1318</v>
      </c>
      <c r="F639" s="510">
        <v>1302</v>
      </c>
      <c r="G639" s="275">
        <v>3118</v>
      </c>
      <c r="H639" s="510">
        <v>2052</v>
      </c>
      <c r="I639" s="275"/>
      <c r="J639" s="510"/>
      <c r="K639" s="275"/>
      <c r="L639" s="510"/>
      <c r="M639" s="275"/>
      <c r="N639" s="510"/>
      <c r="O639" s="275"/>
      <c r="P639" s="510"/>
      <c r="Q639" s="275"/>
      <c r="R639" s="510"/>
      <c r="S639" s="275"/>
      <c r="T639" s="510"/>
      <c r="U639" s="275"/>
      <c r="V639" s="510"/>
      <c r="W639" s="275"/>
      <c r="X639" s="510"/>
      <c r="Y639" s="275"/>
      <c r="Z639" s="510"/>
      <c r="AA639" s="275"/>
      <c r="AB639" s="510"/>
      <c r="AC639" s="275"/>
      <c r="AD639" s="510"/>
      <c r="AE639" s="275"/>
      <c r="AF639" s="510"/>
      <c r="AG639" s="275"/>
      <c r="AH639" s="510"/>
      <c r="AI639" s="275"/>
      <c r="AJ639" s="510"/>
      <c r="AK639" s="275"/>
      <c r="AL639" s="510"/>
      <c r="AM639" s="275"/>
      <c r="AN639" s="510"/>
      <c r="AO639" s="276"/>
    </row>
    <row r="640" spans="1:41" s="183" customFormat="1" ht="15" customHeight="1">
      <c r="A640" s="179" t="s">
        <v>816</v>
      </c>
      <c r="B640" s="434" t="s">
        <v>696</v>
      </c>
      <c r="C640" s="329">
        <v>226806</v>
      </c>
      <c r="D640" s="200">
        <v>9</v>
      </c>
      <c r="E640" s="275">
        <v>1690</v>
      </c>
      <c r="F640" s="510">
        <v>1638</v>
      </c>
      <c r="G640" s="275">
        <v>2868</v>
      </c>
      <c r="H640" s="510">
        <v>1998</v>
      </c>
      <c r="I640" s="275"/>
      <c r="J640" s="510"/>
      <c r="K640" s="275"/>
      <c r="L640" s="510"/>
      <c r="M640" s="275"/>
      <c r="N640" s="510"/>
      <c r="O640" s="275"/>
      <c r="P640" s="510"/>
      <c r="Q640" s="275"/>
      <c r="R640" s="510"/>
      <c r="S640" s="275"/>
      <c r="T640" s="510"/>
      <c r="U640" s="275"/>
      <c r="V640" s="510"/>
      <c r="W640" s="275"/>
      <c r="X640" s="510"/>
      <c r="Y640" s="275"/>
      <c r="Z640" s="510"/>
      <c r="AA640" s="275"/>
      <c r="AB640" s="510"/>
      <c r="AC640" s="275"/>
      <c r="AD640" s="510"/>
      <c r="AE640" s="275"/>
      <c r="AF640" s="510"/>
      <c r="AG640" s="275"/>
      <c r="AH640" s="510"/>
      <c r="AI640" s="275"/>
      <c r="AJ640" s="510"/>
      <c r="AK640" s="275"/>
      <c r="AL640" s="510"/>
      <c r="AM640" s="275"/>
      <c r="AN640" s="510"/>
      <c r="AO640" s="276"/>
    </row>
    <row r="641" spans="1:41" s="183" customFormat="1" ht="15" customHeight="1">
      <c r="A641" s="179" t="s">
        <v>816</v>
      </c>
      <c r="B641" s="328" t="s">
        <v>697</v>
      </c>
      <c r="C641" s="329">
        <v>226930</v>
      </c>
      <c r="D641" s="200">
        <v>9</v>
      </c>
      <c r="E641" s="275">
        <v>1080</v>
      </c>
      <c r="F641" s="510">
        <v>1170</v>
      </c>
      <c r="G641" s="275">
        <v>3180</v>
      </c>
      <c r="H641" s="510">
        <v>2160</v>
      </c>
      <c r="I641" s="275"/>
      <c r="J641" s="510"/>
      <c r="K641" s="275"/>
      <c r="L641" s="510"/>
      <c r="M641" s="275"/>
      <c r="N641" s="510"/>
      <c r="O641" s="275"/>
      <c r="P641" s="510"/>
      <c r="Q641" s="275"/>
      <c r="R641" s="510"/>
      <c r="S641" s="275"/>
      <c r="T641" s="510"/>
      <c r="U641" s="275"/>
      <c r="V641" s="510"/>
      <c r="W641" s="275"/>
      <c r="X641" s="510"/>
      <c r="Y641" s="275"/>
      <c r="Z641" s="510"/>
      <c r="AA641" s="275"/>
      <c r="AB641" s="510"/>
      <c r="AC641" s="275"/>
      <c r="AD641" s="510"/>
      <c r="AE641" s="275"/>
      <c r="AF641" s="510"/>
      <c r="AG641" s="275"/>
      <c r="AH641" s="510"/>
      <c r="AI641" s="275"/>
      <c r="AJ641" s="510"/>
      <c r="AK641" s="275"/>
      <c r="AL641" s="510"/>
      <c r="AM641" s="275"/>
      <c r="AN641" s="510"/>
      <c r="AO641" s="276"/>
    </row>
    <row r="642" spans="1:41" s="183" customFormat="1" ht="15" customHeight="1">
      <c r="A642" s="179" t="s">
        <v>816</v>
      </c>
      <c r="B642" s="179" t="s">
        <v>699</v>
      </c>
      <c r="C642" s="418">
        <v>224110</v>
      </c>
      <c r="D642" s="182">
        <v>9</v>
      </c>
      <c r="E642" s="275">
        <v>1324</v>
      </c>
      <c r="F642" s="510">
        <v>1290</v>
      </c>
      <c r="G642" s="275">
        <v>3210</v>
      </c>
      <c r="H642" s="510">
        <v>2160</v>
      </c>
      <c r="I642" s="275"/>
      <c r="J642" s="510"/>
      <c r="K642" s="275"/>
      <c r="L642" s="510"/>
      <c r="M642" s="275"/>
      <c r="N642" s="510"/>
      <c r="O642" s="275"/>
      <c r="P642" s="510"/>
      <c r="Q642" s="275"/>
      <c r="R642" s="510"/>
      <c r="S642" s="275"/>
      <c r="T642" s="510"/>
      <c r="U642" s="275"/>
      <c r="V642" s="510"/>
      <c r="W642" s="275"/>
      <c r="X642" s="510"/>
      <c r="Y642" s="275"/>
      <c r="Z642" s="510"/>
      <c r="AA642" s="275"/>
      <c r="AB642" s="510"/>
      <c r="AC642" s="275"/>
      <c r="AD642" s="510"/>
      <c r="AE642" s="275"/>
      <c r="AF642" s="510"/>
      <c r="AG642" s="275"/>
      <c r="AH642" s="510"/>
      <c r="AI642" s="275"/>
      <c r="AJ642" s="510"/>
      <c r="AK642" s="275"/>
      <c r="AL642" s="510"/>
      <c r="AM642" s="275"/>
      <c r="AN642" s="510"/>
      <c r="AO642" s="276"/>
    </row>
    <row r="643" spans="1:41" s="183" customFormat="1" ht="15" customHeight="1">
      <c r="A643" s="179" t="s">
        <v>816</v>
      </c>
      <c r="B643" s="179" t="s">
        <v>700</v>
      </c>
      <c r="C643" s="418">
        <v>227304</v>
      </c>
      <c r="D643" s="182">
        <v>9</v>
      </c>
      <c r="E643" s="275">
        <v>1624</v>
      </c>
      <c r="F643" s="510">
        <v>1590</v>
      </c>
      <c r="G643" s="275">
        <v>1395</v>
      </c>
      <c r="H643" s="510">
        <v>2040</v>
      </c>
      <c r="I643" s="275"/>
      <c r="J643" s="510"/>
      <c r="K643" s="275"/>
      <c r="L643" s="510"/>
      <c r="M643" s="275"/>
      <c r="N643" s="510"/>
      <c r="O643" s="275"/>
      <c r="P643" s="510"/>
      <c r="Q643" s="275"/>
      <c r="R643" s="510"/>
      <c r="S643" s="275"/>
      <c r="T643" s="510"/>
      <c r="U643" s="275"/>
      <c r="V643" s="510"/>
      <c r="W643" s="275"/>
      <c r="X643" s="510"/>
      <c r="Y643" s="275"/>
      <c r="Z643" s="510"/>
      <c r="AA643" s="275"/>
      <c r="AB643" s="510"/>
      <c r="AC643" s="275"/>
      <c r="AD643" s="510"/>
      <c r="AE643" s="275"/>
      <c r="AF643" s="510"/>
      <c r="AG643" s="275"/>
      <c r="AH643" s="510"/>
      <c r="AI643" s="275"/>
      <c r="AJ643" s="510"/>
      <c r="AK643" s="275"/>
      <c r="AL643" s="510"/>
      <c r="AM643" s="275"/>
      <c r="AN643" s="510"/>
      <c r="AO643" s="276"/>
    </row>
    <row r="644" spans="1:41" s="183" customFormat="1" ht="15" customHeight="1">
      <c r="A644" s="179" t="s">
        <v>816</v>
      </c>
      <c r="B644" s="179" t="s">
        <v>701</v>
      </c>
      <c r="C644" s="418">
        <v>227401</v>
      </c>
      <c r="D644" s="182">
        <v>9</v>
      </c>
      <c r="E644" s="275">
        <v>2190</v>
      </c>
      <c r="F644" s="510">
        <v>1290</v>
      </c>
      <c r="G644" s="275">
        <v>3390</v>
      </c>
      <c r="H644" s="510">
        <v>2190</v>
      </c>
      <c r="I644" s="275"/>
      <c r="J644" s="510"/>
      <c r="K644" s="275"/>
      <c r="L644" s="510"/>
      <c r="M644" s="275"/>
      <c r="N644" s="510"/>
      <c r="O644" s="275"/>
      <c r="P644" s="510"/>
      <c r="Q644" s="275"/>
      <c r="R644" s="510"/>
      <c r="S644" s="275"/>
      <c r="T644" s="510"/>
      <c r="U644" s="275"/>
      <c r="V644" s="510"/>
      <c r="W644" s="275"/>
      <c r="X644" s="510"/>
      <c r="Y644" s="275"/>
      <c r="Z644" s="510"/>
      <c r="AA644" s="275"/>
      <c r="AB644" s="510"/>
      <c r="AC644" s="275"/>
      <c r="AD644" s="510"/>
      <c r="AE644" s="275"/>
      <c r="AF644" s="510"/>
      <c r="AG644" s="275"/>
      <c r="AH644" s="510"/>
      <c r="AI644" s="275"/>
      <c r="AJ644" s="510"/>
      <c r="AK644" s="275"/>
      <c r="AL644" s="510"/>
      <c r="AM644" s="275"/>
      <c r="AN644" s="510"/>
      <c r="AO644" s="276"/>
    </row>
    <row r="645" spans="1:41" s="183" customFormat="1" ht="15" customHeight="1">
      <c r="A645" s="179" t="s">
        <v>816</v>
      </c>
      <c r="B645" s="179" t="s">
        <v>702</v>
      </c>
      <c r="C645" s="418">
        <v>228316</v>
      </c>
      <c r="D645" s="182">
        <v>9</v>
      </c>
      <c r="E645" s="275">
        <v>1695</v>
      </c>
      <c r="F645" s="510">
        <v>1695</v>
      </c>
      <c r="G645" s="275">
        <v>2265</v>
      </c>
      <c r="H645" s="510">
        <v>2337</v>
      </c>
      <c r="I645" s="275"/>
      <c r="J645" s="510"/>
      <c r="K645" s="275"/>
      <c r="L645" s="510"/>
      <c r="M645" s="275"/>
      <c r="N645" s="510"/>
      <c r="O645" s="275"/>
      <c r="P645" s="510"/>
      <c r="Q645" s="275"/>
      <c r="R645" s="510"/>
      <c r="S645" s="275"/>
      <c r="T645" s="510"/>
      <c r="U645" s="275"/>
      <c r="V645" s="510"/>
      <c r="W645" s="275"/>
      <c r="X645" s="510"/>
      <c r="Y645" s="275"/>
      <c r="Z645" s="510"/>
      <c r="AA645" s="275"/>
      <c r="AB645" s="510"/>
      <c r="AC645" s="275"/>
      <c r="AD645" s="510"/>
      <c r="AE645" s="275"/>
      <c r="AF645" s="510"/>
      <c r="AG645" s="275"/>
      <c r="AH645" s="510"/>
      <c r="AI645" s="275"/>
      <c r="AJ645" s="510"/>
      <c r="AK645" s="275"/>
      <c r="AL645" s="510"/>
      <c r="AM645" s="275"/>
      <c r="AN645" s="510"/>
      <c r="AO645" s="276"/>
    </row>
    <row r="646" spans="1:41" s="183" customFormat="1" ht="15" customHeight="1">
      <c r="A646" s="179" t="s">
        <v>816</v>
      </c>
      <c r="B646" s="179" t="s">
        <v>703</v>
      </c>
      <c r="C646" s="418">
        <v>228608</v>
      </c>
      <c r="D646" s="182">
        <v>9</v>
      </c>
      <c r="E646" s="275">
        <v>2078</v>
      </c>
      <c r="F646" s="510">
        <v>1946</v>
      </c>
      <c r="G646" s="275">
        <v>4500</v>
      </c>
      <c r="H646" s="510">
        <v>3071</v>
      </c>
      <c r="I646" s="275"/>
      <c r="J646" s="510"/>
      <c r="K646" s="275"/>
      <c r="L646" s="510"/>
      <c r="M646" s="275"/>
      <c r="N646" s="510"/>
      <c r="O646" s="275"/>
      <c r="P646" s="510"/>
      <c r="Q646" s="275"/>
      <c r="R646" s="510"/>
      <c r="S646" s="275"/>
      <c r="T646" s="510"/>
      <c r="U646" s="275"/>
      <c r="V646" s="510"/>
      <c r="W646" s="275"/>
      <c r="X646" s="510"/>
      <c r="Y646" s="275"/>
      <c r="Z646" s="510"/>
      <c r="AA646" s="275"/>
      <c r="AB646" s="510"/>
      <c r="AC646" s="275"/>
      <c r="AD646" s="510"/>
      <c r="AE646" s="275"/>
      <c r="AF646" s="510"/>
      <c r="AG646" s="275"/>
      <c r="AH646" s="510"/>
      <c r="AI646" s="275"/>
      <c r="AJ646" s="510"/>
      <c r="AK646" s="275"/>
      <c r="AL646" s="510"/>
      <c r="AM646" s="275"/>
      <c r="AN646" s="510"/>
      <c r="AO646" s="276"/>
    </row>
    <row r="647" spans="1:41" s="183" customFormat="1" ht="15" customHeight="1">
      <c r="A647" s="179" t="s">
        <v>816</v>
      </c>
      <c r="B647" s="179" t="s">
        <v>704</v>
      </c>
      <c r="C647" s="418">
        <v>228699</v>
      </c>
      <c r="D647" s="182">
        <v>9</v>
      </c>
      <c r="E647" s="275">
        <v>1087</v>
      </c>
      <c r="F647" s="510">
        <v>1180</v>
      </c>
      <c r="G647" s="275">
        <v>2110</v>
      </c>
      <c r="H647" s="510">
        <v>1750</v>
      </c>
      <c r="I647" s="275"/>
      <c r="J647" s="510"/>
      <c r="K647" s="275"/>
      <c r="L647" s="510"/>
      <c r="M647" s="275"/>
      <c r="N647" s="510"/>
      <c r="O647" s="275"/>
      <c r="P647" s="510"/>
      <c r="Q647" s="275"/>
      <c r="R647" s="510"/>
      <c r="S647" s="275"/>
      <c r="T647" s="510"/>
      <c r="U647" s="275"/>
      <c r="V647" s="510"/>
      <c r="W647" s="275"/>
      <c r="X647" s="510"/>
      <c r="Y647" s="275"/>
      <c r="Z647" s="510"/>
      <c r="AA647" s="275"/>
      <c r="AB647" s="510"/>
      <c r="AC647" s="275"/>
      <c r="AD647" s="510"/>
      <c r="AE647" s="275"/>
      <c r="AF647" s="510"/>
      <c r="AG647" s="275"/>
      <c r="AH647" s="510"/>
      <c r="AI647" s="275"/>
      <c r="AJ647" s="510"/>
      <c r="AK647" s="275"/>
      <c r="AL647" s="510"/>
      <c r="AM647" s="275"/>
      <c r="AN647" s="510"/>
      <c r="AO647" s="276"/>
    </row>
    <row r="648" spans="1:41" s="183" customFormat="1" ht="15" customHeight="1">
      <c r="A648" s="179" t="s">
        <v>816</v>
      </c>
      <c r="B648" s="179" t="s">
        <v>705</v>
      </c>
      <c r="C648" s="418">
        <v>229319</v>
      </c>
      <c r="D648" s="182">
        <v>9</v>
      </c>
      <c r="E648" s="275">
        <v>2638</v>
      </c>
      <c r="F648" s="510">
        <v>3072</v>
      </c>
      <c r="G648" s="275">
        <v>6688</v>
      </c>
      <c r="H648" s="510">
        <v>7020</v>
      </c>
      <c r="I648" s="275"/>
      <c r="J648" s="510"/>
      <c r="K648" s="275"/>
      <c r="L648" s="510"/>
      <c r="M648" s="275"/>
      <c r="N648" s="510"/>
      <c r="O648" s="275"/>
      <c r="P648" s="510"/>
      <c r="Q648" s="275"/>
      <c r="R648" s="510"/>
      <c r="S648" s="275"/>
      <c r="T648" s="510"/>
      <c r="U648" s="275"/>
      <c r="V648" s="510"/>
      <c r="W648" s="275"/>
      <c r="X648" s="510"/>
      <c r="Y648" s="275"/>
      <c r="Z648" s="510"/>
      <c r="AA648" s="275"/>
      <c r="AB648" s="510"/>
      <c r="AC648" s="275"/>
      <c r="AD648" s="510"/>
      <c r="AE648" s="275"/>
      <c r="AF648" s="510"/>
      <c r="AG648" s="275"/>
      <c r="AH648" s="510"/>
      <c r="AI648" s="275"/>
      <c r="AJ648" s="510"/>
      <c r="AK648" s="275"/>
      <c r="AL648" s="510"/>
      <c r="AM648" s="275"/>
      <c r="AN648" s="510"/>
      <c r="AO648" s="276"/>
    </row>
    <row r="649" spans="1:41" s="183" customFormat="1" ht="15" customHeight="1">
      <c r="A649" s="179" t="s">
        <v>816</v>
      </c>
      <c r="B649" s="179" t="s">
        <v>706</v>
      </c>
      <c r="C649" s="418">
        <v>228680</v>
      </c>
      <c r="D649" s="182">
        <v>9</v>
      </c>
      <c r="E649" s="275">
        <v>2609</v>
      </c>
      <c r="F649" s="510">
        <v>2624</v>
      </c>
      <c r="G649" s="275">
        <v>6116</v>
      </c>
      <c r="H649" s="510">
        <v>6134</v>
      </c>
      <c r="I649" s="275"/>
      <c r="J649" s="510"/>
      <c r="K649" s="275"/>
      <c r="L649" s="510"/>
      <c r="M649" s="275"/>
      <c r="N649" s="510"/>
      <c r="O649" s="275"/>
      <c r="P649" s="510"/>
      <c r="Q649" s="275"/>
      <c r="R649" s="510"/>
      <c r="S649" s="275"/>
      <c r="T649" s="510"/>
      <c r="U649" s="275"/>
      <c r="V649" s="510"/>
      <c r="W649" s="275"/>
      <c r="X649" s="510"/>
      <c r="Y649" s="275"/>
      <c r="Z649" s="510"/>
      <c r="AA649" s="275"/>
      <c r="AB649" s="510"/>
      <c r="AC649" s="275"/>
      <c r="AD649" s="510"/>
      <c r="AE649" s="275"/>
      <c r="AF649" s="510"/>
      <c r="AG649" s="275"/>
      <c r="AH649" s="510"/>
      <c r="AI649" s="275"/>
      <c r="AJ649" s="510"/>
      <c r="AK649" s="275"/>
      <c r="AL649" s="510"/>
      <c r="AM649" s="275"/>
      <c r="AN649" s="510"/>
      <c r="AO649" s="276"/>
    </row>
    <row r="650" spans="1:41" s="183" customFormat="1" ht="15" customHeight="1">
      <c r="A650" s="179" t="s">
        <v>816</v>
      </c>
      <c r="B650" s="179" t="s">
        <v>707</v>
      </c>
      <c r="C650" s="418">
        <v>225308</v>
      </c>
      <c r="D650" s="182">
        <v>9</v>
      </c>
      <c r="E650" s="275">
        <v>1196</v>
      </c>
      <c r="F650" s="510">
        <v>1376</v>
      </c>
      <c r="G650" s="275">
        <v>2506</v>
      </c>
      <c r="H650" s="510">
        <v>1576</v>
      </c>
      <c r="I650" s="275"/>
      <c r="J650" s="510"/>
      <c r="K650" s="275"/>
      <c r="L650" s="510"/>
      <c r="M650" s="275"/>
      <c r="N650" s="510"/>
      <c r="O650" s="275"/>
      <c r="P650" s="510"/>
      <c r="Q650" s="275"/>
      <c r="R650" s="510"/>
      <c r="S650" s="275"/>
      <c r="T650" s="510"/>
      <c r="U650" s="275"/>
      <c r="V650" s="510"/>
      <c r="W650" s="275"/>
      <c r="X650" s="510"/>
      <c r="Y650" s="275"/>
      <c r="Z650" s="510"/>
      <c r="AA650" s="275"/>
      <c r="AB650" s="510"/>
      <c r="AC650" s="275"/>
      <c r="AD650" s="510"/>
      <c r="AE650" s="275"/>
      <c r="AF650" s="510"/>
      <c r="AG650" s="275"/>
      <c r="AH650" s="510"/>
      <c r="AI650" s="275"/>
      <c r="AJ650" s="510"/>
      <c r="AK650" s="275"/>
      <c r="AL650" s="510"/>
      <c r="AM650" s="275"/>
      <c r="AN650" s="510"/>
      <c r="AO650" s="276"/>
    </row>
    <row r="651" spans="1:41" s="183" customFormat="1" ht="15" customHeight="1">
      <c r="A651" s="179" t="s">
        <v>816</v>
      </c>
      <c r="B651" s="328" t="s">
        <v>708</v>
      </c>
      <c r="C651" s="418">
        <v>229504</v>
      </c>
      <c r="D651" s="200">
        <v>9</v>
      </c>
      <c r="E651" s="275">
        <v>1518</v>
      </c>
      <c r="F651" s="510">
        <v>1840</v>
      </c>
      <c r="G651" s="275">
        <v>3590</v>
      </c>
      <c r="H651" s="510">
        <v>2575</v>
      </c>
      <c r="I651" s="275"/>
      <c r="J651" s="510"/>
      <c r="K651" s="275"/>
      <c r="L651" s="510"/>
      <c r="M651" s="275"/>
      <c r="N651" s="510"/>
      <c r="O651" s="275"/>
      <c r="P651" s="510"/>
      <c r="Q651" s="275"/>
      <c r="R651" s="510"/>
      <c r="S651" s="275"/>
      <c r="T651" s="510"/>
      <c r="U651" s="275"/>
      <c r="V651" s="510"/>
      <c r="W651" s="275"/>
      <c r="X651" s="510"/>
      <c r="Y651" s="275"/>
      <c r="Z651" s="510"/>
      <c r="AA651" s="275"/>
      <c r="AB651" s="510"/>
      <c r="AC651" s="275"/>
      <c r="AD651" s="510"/>
      <c r="AE651" s="275"/>
      <c r="AF651" s="510"/>
      <c r="AG651" s="275"/>
      <c r="AH651" s="510"/>
      <c r="AI651" s="275"/>
      <c r="AJ651" s="510"/>
      <c r="AK651" s="275"/>
      <c r="AL651" s="510"/>
      <c r="AM651" s="275"/>
      <c r="AN651" s="510"/>
      <c r="AO651" s="276"/>
    </row>
    <row r="652" spans="1:41" s="183" customFormat="1" ht="15" customHeight="1">
      <c r="A652" s="179" t="s">
        <v>816</v>
      </c>
      <c r="B652" s="179" t="s">
        <v>709</v>
      </c>
      <c r="C652" s="418">
        <v>229540</v>
      </c>
      <c r="D652" s="182">
        <v>9</v>
      </c>
      <c r="E652" s="275">
        <v>1746</v>
      </c>
      <c r="F652" s="510">
        <v>1490</v>
      </c>
      <c r="G652" s="275">
        <v>2140</v>
      </c>
      <c r="H652" s="510">
        <v>1970</v>
      </c>
      <c r="I652" s="275"/>
      <c r="J652" s="510"/>
      <c r="K652" s="275"/>
      <c r="L652" s="510"/>
      <c r="M652" s="275"/>
      <c r="N652" s="510"/>
      <c r="O652" s="275"/>
      <c r="P652" s="510"/>
      <c r="Q652" s="275"/>
      <c r="R652" s="510"/>
      <c r="S652" s="275"/>
      <c r="T652" s="510"/>
      <c r="U652" s="275"/>
      <c r="V652" s="510"/>
      <c r="W652" s="275"/>
      <c r="X652" s="510"/>
      <c r="Y652" s="275"/>
      <c r="Z652" s="510"/>
      <c r="AA652" s="275"/>
      <c r="AB652" s="510"/>
      <c r="AC652" s="275"/>
      <c r="AD652" s="510"/>
      <c r="AE652" s="275"/>
      <c r="AF652" s="510"/>
      <c r="AG652" s="275"/>
      <c r="AH652" s="510"/>
      <c r="AI652" s="275"/>
      <c r="AJ652" s="510"/>
      <c r="AK652" s="275"/>
      <c r="AL652" s="510"/>
      <c r="AM652" s="275"/>
      <c r="AN652" s="510"/>
      <c r="AO652" s="276"/>
    </row>
    <row r="653" spans="1:41" s="183" customFormat="1" ht="15" customHeight="1">
      <c r="A653" s="179" t="s">
        <v>816</v>
      </c>
      <c r="B653" s="179" t="s">
        <v>710</v>
      </c>
      <c r="C653" s="418">
        <v>229799</v>
      </c>
      <c r="D653" s="182">
        <v>9</v>
      </c>
      <c r="E653" s="275">
        <v>1608</v>
      </c>
      <c r="F653" s="510">
        <v>1755</v>
      </c>
      <c r="G653" s="275">
        <v>3415</v>
      </c>
      <c r="H653" s="510">
        <v>2505</v>
      </c>
      <c r="I653" s="275"/>
      <c r="J653" s="510"/>
      <c r="K653" s="275"/>
      <c r="L653" s="510"/>
      <c r="M653" s="275"/>
      <c r="N653" s="510"/>
      <c r="O653" s="275"/>
      <c r="P653" s="510"/>
      <c r="Q653" s="275"/>
      <c r="R653" s="510"/>
      <c r="S653" s="275"/>
      <c r="T653" s="510"/>
      <c r="U653" s="275"/>
      <c r="V653" s="510"/>
      <c r="W653" s="275"/>
      <c r="X653" s="510"/>
      <c r="Y653" s="275"/>
      <c r="Z653" s="510"/>
      <c r="AA653" s="275"/>
      <c r="AB653" s="510"/>
      <c r="AC653" s="275"/>
      <c r="AD653" s="510"/>
      <c r="AE653" s="275"/>
      <c r="AF653" s="510"/>
      <c r="AG653" s="275"/>
      <c r="AH653" s="510"/>
      <c r="AI653" s="275"/>
      <c r="AJ653" s="510"/>
      <c r="AK653" s="275"/>
      <c r="AL653" s="510"/>
      <c r="AM653" s="275"/>
      <c r="AN653" s="510"/>
      <c r="AO653" s="276"/>
    </row>
    <row r="654" spans="1:41" s="183" customFormat="1" ht="15" customHeight="1">
      <c r="A654" s="179" t="s">
        <v>816</v>
      </c>
      <c r="B654" s="179" t="s">
        <v>711</v>
      </c>
      <c r="C654" s="418">
        <v>229841</v>
      </c>
      <c r="D654" s="182">
        <v>9</v>
      </c>
      <c r="E654" s="275">
        <v>1663</v>
      </c>
      <c r="F654" s="510">
        <v>1620</v>
      </c>
      <c r="G654" s="275">
        <v>2782</v>
      </c>
      <c r="H654" s="510">
        <v>3000</v>
      </c>
      <c r="I654" s="275"/>
      <c r="J654" s="510"/>
      <c r="K654" s="275"/>
      <c r="L654" s="510"/>
      <c r="M654" s="275"/>
      <c r="N654" s="510"/>
      <c r="O654" s="275"/>
      <c r="P654" s="510"/>
      <c r="Q654" s="275"/>
      <c r="R654" s="510"/>
      <c r="S654" s="275"/>
      <c r="T654" s="510"/>
      <c r="U654" s="275"/>
      <c r="V654" s="510"/>
      <c r="W654" s="275"/>
      <c r="X654" s="510"/>
      <c r="Y654" s="275"/>
      <c r="Z654" s="510"/>
      <c r="AA654" s="275"/>
      <c r="AB654" s="510"/>
      <c r="AC654" s="275"/>
      <c r="AD654" s="510"/>
      <c r="AE654" s="275"/>
      <c r="AF654" s="510"/>
      <c r="AG654" s="275"/>
      <c r="AH654" s="510"/>
      <c r="AI654" s="275"/>
      <c r="AJ654" s="510"/>
      <c r="AK654" s="275"/>
      <c r="AL654" s="510"/>
      <c r="AM654" s="275"/>
      <c r="AN654" s="510"/>
      <c r="AO654" s="276"/>
    </row>
    <row r="655" spans="1:41" s="183" customFormat="1" ht="15" customHeight="1">
      <c r="A655" s="179" t="s">
        <v>816</v>
      </c>
      <c r="B655" s="179" t="s">
        <v>712</v>
      </c>
      <c r="C655" s="418">
        <v>223922</v>
      </c>
      <c r="D655" s="182">
        <v>10</v>
      </c>
      <c r="E655" s="275">
        <v>2405</v>
      </c>
      <c r="F655" s="510">
        <v>2070</v>
      </c>
      <c r="G655" s="275">
        <v>3030</v>
      </c>
      <c r="H655" s="510">
        <v>2580</v>
      </c>
      <c r="I655" s="275"/>
      <c r="J655" s="510"/>
      <c r="K655" s="275"/>
      <c r="L655" s="510"/>
      <c r="M655" s="275"/>
      <c r="N655" s="510"/>
      <c r="O655" s="275"/>
      <c r="P655" s="510"/>
      <c r="Q655" s="275"/>
      <c r="R655" s="510"/>
      <c r="S655" s="275"/>
      <c r="T655" s="510"/>
      <c r="U655" s="275"/>
      <c r="V655" s="510"/>
      <c r="W655" s="275"/>
      <c r="X655" s="510"/>
      <c r="Y655" s="275"/>
      <c r="Z655" s="510"/>
      <c r="AA655" s="275"/>
      <c r="AB655" s="510"/>
      <c r="AC655" s="275"/>
      <c r="AD655" s="510"/>
      <c r="AE655" s="275"/>
      <c r="AF655" s="510"/>
      <c r="AG655" s="275"/>
      <c r="AH655" s="510"/>
      <c r="AI655" s="275"/>
      <c r="AJ655" s="510"/>
      <c r="AK655" s="275"/>
      <c r="AL655" s="510"/>
      <c r="AM655" s="275"/>
      <c r="AN655" s="510"/>
      <c r="AO655" s="276"/>
    </row>
    <row r="656" spans="1:41" s="183" customFormat="1" ht="15" customHeight="1">
      <c r="A656" s="179" t="s">
        <v>816</v>
      </c>
      <c r="B656" s="179" t="s">
        <v>713</v>
      </c>
      <c r="C656" s="418">
        <v>224891</v>
      </c>
      <c r="D656" s="182">
        <v>10</v>
      </c>
      <c r="E656" s="275">
        <v>2416</v>
      </c>
      <c r="F656" s="510">
        <v>2416</v>
      </c>
      <c r="G656" s="275">
        <v>2940</v>
      </c>
      <c r="H656" s="510">
        <v>2730</v>
      </c>
      <c r="I656" s="275"/>
      <c r="J656" s="510"/>
      <c r="K656" s="275"/>
      <c r="L656" s="510"/>
      <c r="M656" s="275"/>
      <c r="N656" s="510"/>
      <c r="O656" s="275"/>
      <c r="P656" s="510"/>
      <c r="Q656" s="275"/>
      <c r="R656" s="510"/>
      <c r="S656" s="275"/>
      <c r="T656" s="510"/>
      <c r="U656" s="275"/>
      <c r="V656" s="510"/>
      <c r="W656" s="275"/>
      <c r="X656" s="510"/>
      <c r="Y656" s="275"/>
      <c r="Z656" s="510"/>
      <c r="AA656" s="275"/>
      <c r="AB656" s="510"/>
      <c r="AC656" s="275"/>
      <c r="AD656" s="510"/>
      <c r="AE656" s="275"/>
      <c r="AF656" s="510"/>
      <c r="AG656" s="275"/>
      <c r="AH656" s="510"/>
      <c r="AI656" s="275"/>
      <c r="AJ656" s="510"/>
      <c r="AK656" s="275"/>
      <c r="AL656" s="510"/>
      <c r="AM656" s="275"/>
      <c r="AN656" s="510"/>
      <c r="AO656" s="276"/>
    </row>
    <row r="657" spans="1:41" s="183" customFormat="1" ht="15" customHeight="1">
      <c r="A657" s="179" t="s">
        <v>816</v>
      </c>
      <c r="B657" s="179" t="s">
        <v>714</v>
      </c>
      <c r="C657" s="418">
        <v>224961</v>
      </c>
      <c r="D657" s="182">
        <v>10</v>
      </c>
      <c r="E657" s="275">
        <v>1462</v>
      </c>
      <c r="F657" s="510">
        <v>1414</v>
      </c>
      <c r="G657" s="275">
        <v>2314</v>
      </c>
      <c r="H657" s="510">
        <v>1414</v>
      </c>
      <c r="I657" s="275"/>
      <c r="J657" s="510"/>
      <c r="K657" s="275"/>
      <c r="L657" s="510"/>
      <c r="M657" s="275"/>
      <c r="N657" s="510"/>
      <c r="O657" s="275"/>
      <c r="P657" s="510"/>
      <c r="Q657" s="275"/>
      <c r="R657" s="510"/>
      <c r="S657" s="275"/>
      <c r="T657" s="510"/>
      <c r="U657" s="275"/>
      <c r="V657" s="510"/>
      <c r="W657" s="275"/>
      <c r="X657" s="510"/>
      <c r="Y657" s="275"/>
      <c r="Z657" s="510"/>
      <c r="AA657" s="275"/>
      <c r="AB657" s="510"/>
      <c r="AC657" s="275"/>
      <c r="AD657" s="510"/>
      <c r="AE657" s="275"/>
      <c r="AF657" s="510"/>
      <c r="AG657" s="275"/>
      <c r="AH657" s="510"/>
      <c r="AI657" s="275"/>
      <c r="AJ657" s="510"/>
      <c r="AK657" s="275"/>
      <c r="AL657" s="510"/>
      <c r="AM657" s="275"/>
      <c r="AN657" s="510"/>
      <c r="AO657" s="276"/>
    </row>
    <row r="658" spans="1:41" s="183" customFormat="1" ht="15" customHeight="1">
      <c r="A658" s="179" t="s">
        <v>816</v>
      </c>
      <c r="B658" s="328" t="s">
        <v>715</v>
      </c>
      <c r="C658" s="418">
        <v>226107</v>
      </c>
      <c r="D658" s="182">
        <v>10</v>
      </c>
      <c r="E658" s="275">
        <v>3297</v>
      </c>
      <c r="F658" s="510">
        <v>3220</v>
      </c>
      <c r="G658" s="275">
        <v>11592</v>
      </c>
      <c r="H658" s="510">
        <v>11470</v>
      </c>
      <c r="I658" s="275"/>
      <c r="J658" s="510"/>
      <c r="K658" s="275"/>
      <c r="L658" s="510"/>
      <c r="M658" s="275"/>
      <c r="N658" s="510"/>
      <c r="O658" s="275"/>
      <c r="P658" s="510"/>
      <c r="Q658" s="275"/>
      <c r="R658" s="510"/>
      <c r="S658" s="275"/>
      <c r="T658" s="510"/>
      <c r="U658" s="275"/>
      <c r="V658" s="510"/>
      <c r="W658" s="275"/>
      <c r="X658" s="510"/>
      <c r="Y658" s="275"/>
      <c r="Z658" s="510"/>
      <c r="AA658" s="275"/>
      <c r="AB658" s="510"/>
      <c r="AC658" s="275"/>
      <c r="AD658" s="510"/>
      <c r="AE658" s="275"/>
      <c r="AF658" s="510"/>
      <c r="AG658" s="275"/>
      <c r="AH658" s="510"/>
      <c r="AI658" s="275"/>
      <c r="AJ658" s="510"/>
      <c r="AK658" s="275"/>
      <c r="AL658" s="510"/>
      <c r="AM658" s="275"/>
      <c r="AN658" s="510"/>
      <c r="AO658" s="276"/>
    </row>
    <row r="659" spans="1:41" s="183" customFormat="1" ht="15" customHeight="1">
      <c r="A659" s="179" t="s">
        <v>816</v>
      </c>
      <c r="B659" s="444" t="s">
        <v>694</v>
      </c>
      <c r="C659" s="435">
        <v>226116</v>
      </c>
      <c r="D659" s="436">
        <v>10</v>
      </c>
      <c r="E659" s="275">
        <v>3184</v>
      </c>
      <c r="F659" s="510">
        <v>3552</v>
      </c>
      <c r="G659" s="275">
        <v>11430</v>
      </c>
      <c r="H659" s="510">
        <v>11892</v>
      </c>
      <c r="I659" s="275"/>
      <c r="J659" s="510"/>
      <c r="K659" s="275"/>
      <c r="L659" s="510"/>
      <c r="M659" s="275"/>
      <c r="N659" s="510"/>
      <c r="O659" s="275"/>
      <c r="P659" s="510"/>
      <c r="Q659" s="275"/>
      <c r="R659" s="510"/>
      <c r="S659" s="275"/>
      <c r="T659" s="510"/>
      <c r="U659" s="275"/>
      <c r="V659" s="510"/>
      <c r="W659" s="275"/>
      <c r="X659" s="510"/>
      <c r="Y659" s="275"/>
      <c r="Z659" s="510"/>
      <c r="AA659" s="275"/>
      <c r="AB659" s="510"/>
      <c r="AC659" s="275"/>
      <c r="AD659" s="510"/>
      <c r="AE659" s="275"/>
      <c r="AF659" s="510"/>
      <c r="AG659" s="275"/>
      <c r="AH659" s="510"/>
      <c r="AI659" s="275"/>
      <c r="AJ659" s="510"/>
      <c r="AK659" s="275"/>
      <c r="AL659" s="510"/>
      <c r="AM659" s="275"/>
      <c r="AN659" s="510"/>
      <c r="AO659" s="276"/>
    </row>
    <row r="660" spans="1:41" s="183" customFormat="1" ht="15" customHeight="1">
      <c r="A660" s="179" t="s">
        <v>816</v>
      </c>
      <c r="B660" s="444" t="s">
        <v>410</v>
      </c>
      <c r="C660" s="454"/>
      <c r="D660" s="455">
        <v>10</v>
      </c>
      <c r="E660" s="275"/>
      <c r="F660" s="510"/>
      <c r="G660" s="275"/>
      <c r="H660" s="510"/>
      <c r="I660" s="275"/>
      <c r="J660" s="510"/>
      <c r="K660" s="275"/>
      <c r="L660" s="510"/>
      <c r="M660" s="275"/>
      <c r="N660" s="510"/>
      <c r="O660" s="275"/>
      <c r="P660" s="510"/>
      <c r="Q660" s="275"/>
      <c r="R660" s="510"/>
      <c r="S660" s="275"/>
      <c r="T660" s="510"/>
      <c r="U660" s="275"/>
      <c r="V660" s="510"/>
      <c r="W660" s="275"/>
      <c r="X660" s="510"/>
      <c r="Y660" s="275"/>
      <c r="Z660" s="510"/>
      <c r="AA660" s="275"/>
      <c r="AB660" s="510"/>
      <c r="AC660" s="275"/>
      <c r="AD660" s="510"/>
      <c r="AE660" s="275"/>
      <c r="AF660" s="510"/>
      <c r="AG660" s="275"/>
      <c r="AH660" s="510"/>
      <c r="AI660" s="275"/>
      <c r="AJ660" s="510"/>
      <c r="AK660" s="275"/>
      <c r="AL660" s="510"/>
      <c r="AM660" s="275"/>
      <c r="AN660" s="510"/>
      <c r="AO660" s="276"/>
    </row>
    <row r="661" spans="1:41" s="183" customFormat="1" ht="15" customHeight="1">
      <c r="A661" s="179" t="s">
        <v>816</v>
      </c>
      <c r="B661" s="179" t="s">
        <v>716</v>
      </c>
      <c r="C661" s="418">
        <v>227225</v>
      </c>
      <c r="D661" s="182">
        <v>10</v>
      </c>
      <c r="E661" s="275">
        <v>1770</v>
      </c>
      <c r="F661" s="510">
        <v>1800</v>
      </c>
      <c r="G661" s="275">
        <v>2610</v>
      </c>
      <c r="H661" s="510">
        <v>2640</v>
      </c>
      <c r="I661" s="275"/>
      <c r="J661" s="510"/>
      <c r="K661" s="275"/>
      <c r="L661" s="510"/>
      <c r="M661" s="275"/>
      <c r="N661" s="510"/>
      <c r="O661" s="275"/>
      <c r="P661" s="510"/>
      <c r="Q661" s="275"/>
      <c r="R661" s="510"/>
      <c r="S661" s="275"/>
      <c r="T661" s="510"/>
      <c r="U661" s="275"/>
      <c r="V661" s="510"/>
      <c r="W661" s="275"/>
      <c r="X661" s="510"/>
      <c r="Y661" s="275"/>
      <c r="Z661" s="510"/>
      <c r="AA661" s="275"/>
      <c r="AB661" s="510"/>
      <c r="AC661" s="275"/>
      <c r="AD661" s="510"/>
      <c r="AE661" s="275"/>
      <c r="AF661" s="510"/>
      <c r="AG661" s="275"/>
      <c r="AH661" s="510"/>
      <c r="AI661" s="275"/>
      <c r="AJ661" s="510"/>
      <c r="AK661" s="275"/>
      <c r="AL661" s="510"/>
      <c r="AM661" s="275"/>
      <c r="AN661" s="510"/>
      <c r="AO661" s="276"/>
    </row>
    <row r="662" spans="1:41" s="183" customFormat="1" ht="15" customHeight="1">
      <c r="A662" s="179" t="s">
        <v>816</v>
      </c>
      <c r="B662" s="179" t="s">
        <v>717</v>
      </c>
      <c r="C662" s="418">
        <v>227386</v>
      </c>
      <c r="D662" s="182">
        <v>10</v>
      </c>
      <c r="E662" s="275">
        <v>1470</v>
      </c>
      <c r="F662" s="510">
        <v>1560</v>
      </c>
      <c r="G662" s="275">
        <v>2820</v>
      </c>
      <c r="H662" s="510">
        <v>2370</v>
      </c>
      <c r="I662" s="275"/>
      <c r="J662" s="510"/>
      <c r="K662" s="275"/>
      <c r="L662" s="510"/>
      <c r="M662" s="275"/>
      <c r="N662" s="510"/>
      <c r="O662" s="275"/>
      <c r="P662" s="510"/>
      <c r="Q662" s="275"/>
      <c r="R662" s="510"/>
      <c r="S662" s="275"/>
      <c r="T662" s="510"/>
      <c r="U662" s="275"/>
      <c r="V662" s="510"/>
      <c r="W662" s="275"/>
      <c r="X662" s="510"/>
      <c r="Y662" s="275"/>
      <c r="Z662" s="510"/>
      <c r="AA662" s="275"/>
      <c r="AB662" s="510"/>
      <c r="AC662" s="275"/>
      <c r="AD662" s="510"/>
      <c r="AE662" s="275"/>
      <c r="AF662" s="510"/>
      <c r="AG662" s="275"/>
      <c r="AH662" s="510"/>
      <c r="AI662" s="275"/>
      <c r="AJ662" s="510"/>
      <c r="AK662" s="275"/>
      <c r="AL662" s="510"/>
      <c r="AM662" s="275"/>
      <c r="AN662" s="510"/>
      <c r="AO662" s="276"/>
    </row>
    <row r="663" spans="1:41" s="183" customFormat="1" ht="15" customHeight="1">
      <c r="A663" s="179" t="s">
        <v>816</v>
      </c>
      <c r="B663" s="179" t="s">
        <v>718</v>
      </c>
      <c r="C663" s="418">
        <v>227687</v>
      </c>
      <c r="D663" s="182">
        <v>10</v>
      </c>
      <c r="E663" s="275">
        <v>1590</v>
      </c>
      <c r="F663" s="510">
        <v>1622</v>
      </c>
      <c r="G663" s="275">
        <v>1690</v>
      </c>
      <c r="H663" s="510">
        <v>1822</v>
      </c>
      <c r="I663" s="275"/>
      <c r="J663" s="510"/>
      <c r="K663" s="275"/>
      <c r="L663" s="510"/>
      <c r="M663" s="275"/>
      <c r="N663" s="510"/>
      <c r="O663" s="275"/>
      <c r="P663" s="510"/>
      <c r="Q663" s="275"/>
      <c r="R663" s="510"/>
      <c r="S663" s="275"/>
      <c r="T663" s="510"/>
      <c r="U663" s="275"/>
      <c r="V663" s="510"/>
      <c r="W663" s="275"/>
      <c r="X663" s="510"/>
      <c r="Y663" s="275"/>
      <c r="Z663" s="510"/>
      <c r="AA663" s="275"/>
      <c r="AB663" s="510"/>
      <c r="AC663" s="275"/>
      <c r="AD663" s="510"/>
      <c r="AE663" s="275"/>
      <c r="AF663" s="510"/>
      <c r="AG663" s="275"/>
      <c r="AH663" s="510"/>
      <c r="AI663" s="275"/>
      <c r="AJ663" s="510"/>
      <c r="AK663" s="275"/>
      <c r="AL663" s="510"/>
      <c r="AM663" s="275"/>
      <c r="AN663" s="510"/>
      <c r="AO663" s="276"/>
    </row>
    <row r="664" spans="1:41" s="183" customFormat="1" ht="15" customHeight="1">
      <c r="A664" s="179" t="s">
        <v>816</v>
      </c>
      <c r="B664" s="179" t="s">
        <v>719</v>
      </c>
      <c r="C664" s="418">
        <v>382911</v>
      </c>
      <c r="D664" s="433">
        <v>10</v>
      </c>
      <c r="E664" s="275">
        <v>1592</v>
      </c>
      <c r="F664" s="510">
        <v>1592</v>
      </c>
      <c r="G664" s="275">
        <v>2712</v>
      </c>
      <c r="H664" s="510">
        <v>2012</v>
      </c>
      <c r="I664" s="275"/>
      <c r="J664" s="510"/>
      <c r="K664" s="275"/>
      <c r="L664" s="510"/>
      <c r="M664" s="275"/>
      <c r="N664" s="510"/>
      <c r="O664" s="275"/>
      <c r="P664" s="510"/>
      <c r="Q664" s="275"/>
      <c r="R664" s="510"/>
      <c r="S664" s="275"/>
      <c r="T664" s="510"/>
      <c r="U664" s="275"/>
      <c r="V664" s="510"/>
      <c r="W664" s="275"/>
      <c r="X664" s="510"/>
      <c r="Y664" s="275"/>
      <c r="Z664" s="510"/>
      <c r="AA664" s="275"/>
      <c r="AB664" s="510"/>
      <c r="AC664" s="275"/>
      <c r="AD664" s="510"/>
      <c r="AE664" s="275"/>
      <c r="AF664" s="510"/>
      <c r="AG664" s="275"/>
      <c r="AH664" s="510"/>
      <c r="AI664" s="275"/>
      <c r="AJ664" s="510"/>
      <c r="AK664" s="275"/>
      <c r="AL664" s="510"/>
      <c r="AM664" s="275"/>
      <c r="AN664" s="510"/>
      <c r="AO664" s="276"/>
    </row>
    <row r="665" spans="1:41" s="183" customFormat="1" ht="15" customHeight="1">
      <c r="A665" s="179" t="s">
        <v>816</v>
      </c>
      <c r="B665" s="179" t="s">
        <v>720</v>
      </c>
      <c r="C665" s="329">
        <v>408394</v>
      </c>
      <c r="D665" s="182">
        <v>10</v>
      </c>
      <c r="E665" s="275">
        <v>2628</v>
      </c>
      <c r="F665" s="510">
        <v>2788</v>
      </c>
      <c r="G665" s="275">
        <v>6148</v>
      </c>
      <c r="H665" s="510">
        <v>6298</v>
      </c>
      <c r="I665" s="275"/>
      <c r="J665" s="510"/>
      <c r="K665" s="275"/>
      <c r="L665" s="510"/>
      <c r="M665" s="275"/>
      <c r="N665" s="510"/>
      <c r="O665" s="275"/>
      <c r="P665" s="510"/>
      <c r="Q665" s="275"/>
      <c r="R665" s="510"/>
      <c r="S665" s="275"/>
      <c r="T665" s="510"/>
      <c r="U665" s="275"/>
      <c r="V665" s="510"/>
      <c r="W665" s="275"/>
      <c r="X665" s="510"/>
      <c r="Y665" s="275"/>
      <c r="Z665" s="510"/>
      <c r="AA665" s="275"/>
      <c r="AB665" s="510"/>
      <c r="AC665" s="275"/>
      <c r="AD665" s="510"/>
      <c r="AE665" s="275"/>
      <c r="AF665" s="510"/>
      <c r="AG665" s="275"/>
      <c r="AH665" s="510"/>
      <c r="AI665" s="275"/>
      <c r="AJ665" s="510"/>
      <c r="AK665" s="275"/>
      <c r="AL665" s="510"/>
      <c r="AM665" s="275"/>
      <c r="AN665" s="510"/>
      <c r="AO665" s="276"/>
    </row>
    <row r="666" spans="1:41" s="183" customFormat="1" ht="15" customHeight="1">
      <c r="A666" s="179" t="s">
        <v>816</v>
      </c>
      <c r="B666" s="328" t="s">
        <v>721</v>
      </c>
      <c r="C666" s="418">
        <v>229328</v>
      </c>
      <c r="D666" s="182">
        <v>10</v>
      </c>
      <c r="E666" s="275">
        <v>2530</v>
      </c>
      <c r="F666" s="510">
        <v>2740</v>
      </c>
      <c r="G666" s="275">
        <v>6116</v>
      </c>
      <c r="H666" s="510">
        <v>6250</v>
      </c>
      <c r="I666" s="275"/>
      <c r="J666" s="510"/>
      <c r="K666" s="275"/>
      <c r="L666" s="510"/>
      <c r="M666" s="275"/>
      <c r="N666" s="510"/>
      <c r="O666" s="275"/>
      <c r="P666" s="510"/>
      <c r="Q666" s="275"/>
      <c r="R666" s="510"/>
      <c r="S666" s="275"/>
      <c r="T666" s="510"/>
      <c r="U666" s="275"/>
      <c r="V666" s="510"/>
      <c r="W666" s="275"/>
      <c r="X666" s="510"/>
      <c r="Y666" s="275"/>
      <c r="Z666" s="510"/>
      <c r="AA666" s="275"/>
      <c r="AB666" s="510"/>
      <c r="AC666" s="275"/>
      <c r="AD666" s="510"/>
      <c r="AE666" s="275"/>
      <c r="AF666" s="510"/>
      <c r="AG666" s="275"/>
      <c r="AH666" s="510"/>
      <c r="AI666" s="275"/>
      <c r="AJ666" s="510"/>
      <c r="AK666" s="275"/>
      <c r="AL666" s="510"/>
      <c r="AM666" s="275"/>
      <c r="AN666" s="510"/>
      <c r="AO666" s="276"/>
    </row>
    <row r="667" spans="1:41" s="183" customFormat="1" ht="15" customHeight="1">
      <c r="A667" s="179" t="s">
        <v>816</v>
      </c>
      <c r="B667" s="179" t="s">
        <v>722</v>
      </c>
      <c r="C667" s="418">
        <v>229832</v>
      </c>
      <c r="D667" s="182">
        <v>10</v>
      </c>
      <c r="E667" s="275">
        <v>1656</v>
      </c>
      <c r="F667" s="510">
        <v>2180</v>
      </c>
      <c r="G667" s="275">
        <v>2060</v>
      </c>
      <c r="H667" s="510">
        <v>2180</v>
      </c>
      <c r="I667" s="275"/>
      <c r="J667" s="510"/>
      <c r="K667" s="275"/>
      <c r="L667" s="510"/>
      <c r="M667" s="275"/>
      <c r="N667" s="510"/>
      <c r="O667" s="275"/>
      <c r="P667" s="510"/>
      <c r="Q667" s="275"/>
      <c r="R667" s="510"/>
      <c r="S667" s="275"/>
      <c r="T667" s="510"/>
      <c r="U667" s="275"/>
      <c r="V667" s="510"/>
      <c r="W667" s="275"/>
      <c r="X667" s="510"/>
      <c r="Y667" s="275"/>
      <c r="Z667" s="510"/>
      <c r="AA667" s="275"/>
      <c r="AB667" s="510"/>
      <c r="AC667" s="275"/>
      <c r="AD667" s="510"/>
      <c r="AE667" s="275"/>
      <c r="AF667" s="510"/>
      <c r="AG667" s="275"/>
      <c r="AH667" s="510"/>
      <c r="AI667" s="275"/>
      <c r="AJ667" s="510"/>
      <c r="AK667" s="275"/>
      <c r="AL667" s="510"/>
      <c r="AM667" s="275"/>
      <c r="AN667" s="510"/>
      <c r="AO667" s="276"/>
    </row>
    <row r="668" spans="1:41" s="183" customFormat="1" ht="15" customHeight="1">
      <c r="A668" s="179" t="s">
        <v>816</v>
      </c>
      <c r="B668" s="179" t="s">
        <v>724</v>
      </c>
      <c r="C668" s="432">
        <v>229337</v>
      </c>
      <c r="D668" s="182">
        <v>15</v>
      </c>
      <c r="E668" s="275">
        <v>5575</v>
      </c>
      <c r="F668" s="510">
        <v>5546</v>
      </c>
      <c r="G668" s="275">
        <v>13825</v>
      </c>
      <c r="H668" s="510">
        <v>13886</v>
      </c>
      <c r="I668" s="275">
        <v>3918</v>
      </c>
      <c r="J668" s="510">
        <v>12560</v>
      </c>
      <c r="K668" s="275">
        <v>9416</v>
      </c>
      <c r="L668" s="510">
        <v>2912</v>
      </c>
      <c r="M668" s="275"/>
      <c r="N668" s="510"/>
      <c r="O668" s="275"/>
      <c r="P668" s="510"/>
      <c r="Q668" s="275">
        <v>11178.5</v>
      </c>
      <c r="R668" s="510">
        <v>11914</v>
      </c>
      <c r="S668" s="275">
        <v>24278.5</v>
      </c>
      <c r="T668" s="510">
        <v>25014</v>
      </c>
      <c r="U668" s="275"/>
      <c r="V668" s="510"/>
      <c r="W668" s="275"/>
      <c r="X668" s="510"/>
      <c r="Y668" s="275">
        <v>12071</v>
      </c>
      <c r="Z668" s="510">
        <v>13391</v>
      </c>
      <c r="AA668" s="275">
        <v>23446</v>
      </c>
      <c r="AB668" s="510">
        <v>25067</v>
      </c>
      <c r="AC668" s="275"/>
      <c r="AD668" s="510"/>
      <c r="AE668" s="275"/>
      <c r="AF668" s="510"/>
      <c r="AG668" s="275"/>
      <c r="AH668" s="510"/>
      <c r="AI668" s="275"/>
      <c r="AJ668" s="510"/>
      <c r="AK668" s="275"/>
      <c r="AL668" s="510"/>
      <c r="AM668" s="275"/>
      <c r="AN668" s="510"/>
      <c r="AO668" s="276"/>
    </row>
    <row r="669" spans="1:41" s="183" customFormat="1" ht="15" customHeight="1">
      <c r="A669" s="179" t="s">
        <v>816</v>
      </c>
      <c r="B669" s="179" t="s">
        <v>727</v>
      </c>
      <c r="C669" s="432">
        <v>229300</v>
      </c>
      <c r="D669" s="182">
        <v>15</v>
      </c>
      <c r="E669" s="275">
        <v>5046</v>
      </c>
      <c r="F669" s="510">
        <v>5652</v>
      </c>
      <c r="G669" s="275">
        <v>13551</v>
      </c>
      <c r="H669" s="510">
        <v>14292</v>
      </c>
      <c r="I669" s="275">
        <v>3920</v>
      </c>
      <c r="J669" s="510">
        <v>4316</v>
      </c>
      <c r="K669" s="275">
        <v>10640</v>
      </c>
      <c r="L669" s="510">
        <v>11376</v>
      </c>
      <c r="M669" s="275"/>
      <c r="N669" s="510"/>
      <c r="O669" s="275"/>
      <c r="P669" s="510"/>
      <c r="Q669" s="275">
        <v>13930</v>
      </c>
      <c r="R669" s="510">
        <v>11923</v>
      </c>
      <c r="S669" s="275">
        <v>29650</v>
      </c>
      <c r="T669" s="510">
        <v>25023</v>
      </c>
      <c r="U669" s="275">
        <v>15618</v>
      </c>
      <c r="V669" s="510">
        <v>15649</v>
      </c>
      <c r="W669" s="275">
        <v>28580</v>
      </c>
      <c r="X669" s="510">
        <v>26449</v>
      </c>
      <c r="Y669" s="275"/>
      <c r="Z669" s="510"/>
      <c r="AA669" s="275"/>
      <c r="AB669" s="510"/>
      <c r="AC669" s="275"/>
      <c r="AD669" s="510"/>
      <c r="AE669" s="275"/>
      <c r="AF669" s="510"/>
      <c r="AG669" s="275"/>
      <c r="AH669" s="510"/>
      <c r="AI669" s="275"/>
      <c r="AJ669" s="510"/>
      <c r="AK669" s="275"/>
      <c r="AL669" s="510"/>
      <c r="AM669" s="275"/>
      <c r="AN669" s="510"/>
      <c r="AO669" s="276"/>
    </row>
    <row r="670" spans="1:41" s="183" customFormat="1" ht="15" customHeight="1">
      <c r="A670" s="179" t="s">
        <v>816</v>
      </c>
      <c r="B670" s="179" t="s">
        <v>728</v>
      </c>
      <c r="C670" s="432">
        <v>228644</v>
      </c>
      <c r="D670" s="182">
        <v>15</v>
      </c>
      <c r="E670" s="275">
        <v>4720</v>
      </c>
      <c r="F670" s="510">
        <v>5514</v>
      </c>
      <c r="G670" s="275">
        <v>13000</v>
      </c>
      <c r="H670" s="510">
        <v>15532</v>
      </c>
      <c r="I670" s="275">
        <v>3104</v>
      </c>
      <c r="J670" s="510">
        <v>3788</v>
      </c>
      <c r="K670" s="275">
        <v>8644</v>
      </c>
      <c r="L670" s="510">
        <v>8954</v>
      </c>
      <c r="M670" s="275"/>
      <c r="N670" s="510"/>
      <c r="O670" s="275"/>
      <c r="P670" s="510"/>
      <c r="Q670" s="275">
        <v>12927</v>
      </c>
      <c r="R670" s="510">
        <v>12458</v>
      </c>
      <c r="S670" s="275">
        <v>27390</v>
      </c>
      <c r="T670" s="510">
        <v>27672</v>
      </c>
      <c r="U670" s="275">
        <v>12110</v>
      </c>
      <c r="V670" s="510">
        <v>12110</v>
      </c>
      <c r="W670" s="275">
        <v>22910</v>
      </c>
      <c r="X670" s="510">
        <v>22910</v>
      </c>
      <c r="Y670" s="275"/>
      <c r="Z670" s="510"/>
      <c r="AA670" s="275"/>
      <c r="AB670" s="510"/>
      <c r="AC670" s="275"/>
      <c r="AD670" s="510"/>
      <c r="AE670" s="275"/>
      <c r="AF670" s="510"/>
      <c r="AG670" s="275"/>
      <c r="AH670" s="510"/>
      <c r="AI670" s="275"/>
      <c r="AJ670" s="510"/>
      <c r="AK670" s="275"/>
      <c r="AL670" s="510"/>
      <c r="AM670" s="275"/>
      <c r="AN670" s="510"/>
      <c r="AO670" s="276"/>
    </row>
    <row r="671" spans="1:41" s="183" customFormat="1" ht="15" customHeight="1">
      <c r="A671" s="179" t="s">
        <v>816</v>
      </c>
      <c r="B671" s="179" t="s">
        <v>723</v>
      </c>
      <c r="C671" s="329">
        <v>223214</v>
      </c>
      <c r="D671" s="182">
        <v>15</v>
      </c>
      <c r="E671" s="275">
        <v>5072</v>
      </c>
      <c r="F671" s="510">
        <v>5251</v>
      </c>
      <c r="G671" s="275">
        <v>14697</v>
      </c>
      <c r="H671" s="510">
        <v>14981</v>
      </c>
      <c r="I671" s="275">
        <v>4597.6</v>
      </c>
      <c r="J671" s="510">
        <v>5067</v>
      </c>
      <c r="K671" s="275">
        <v>10097.6</v>
      </c>
      <c r="L671" s="510">
        <v>10977</v>
      </c>
      <c r="M671" s="275"/>
      <c r="N671" s="510"/>
      <c r="O671" s="275"/>
      <c r="P671" s="510"/>
      <c r="Q671" s="275">
        <v>9439.82</v>
      </c>
      <c r="R671" s="510">
        <v>10682</v>
      </c>
      <c r="S671" s="275">
        <v>22539.82</v>
      </c>
      <c r="T671" s="510">
        <v>10725</v>
      </c>
      <c r="U671" s="275">
        <v>10815</v>
      </c>
      <c r="V671" s="510">
        <v>11086</v>
      </c>
      <c r="W671" s="275">
        <v>25882</v>
      </c>
      <c r="X671" s="510">
        <v>21886</v>
      </c>
      <c r="Y671" s="275"/>
      <c r="Z671" s="510"/>
      <c r="AA671" s="275"/>
      <c r="AB671" s="510"/>
      <c r="AC671" s="275"/>
      <c r="AD671" s="510"/>
      <c r="AE671" s="275"/>
      <c r="AF671" s="510"/>
      <c r="AG671" s="275"/>
      <c r="AH671" s="510"/>
      <c r="AI671" s="275"/>
      <c r="AJ671" s="510"/>
      <c r="AK671" s="275"/>
      <c r="AL671" s="510"/>
      <c r="AM671" s="275"/>
      <c r="AN671" s="510"/>
      <c r="AO671" s="276"/>
    </row>
    <row r="672" spans="1:41" s="183" customFormat="1" ht="15" customHeight="1">
      <c r="A672" s="179" t="s">
        <v>816</v>
      </c>
      <c r="B672" s="328" t="s">
        <v>725</v>
      </c>
      <c r="C672" s="329">
        <v>228909</v>
      </c>
      <c r="D672" s="200">
        <v>15</v>
      </c>
      <c r="E672" s="275" t="s">
        <v>726</v>
      </c>
      <c r="F672" s="510" t="s">
        <v>726</v>
      </c>
      <c r="G672" s="275" t="s">
        <v>726</v>
      </c>
      <c r="H672" s="510" t="s">
        <v>726</v>
      </c>
      <c r="I672" s="275">
        <v>2840</v>
      </c>
      <c r="J672" s="510">
        <v>3300</v>
      </c>
      <c r="K672" s="275">
        <v>9440</v>
      </c>
      <c r="L672" s="510">
        <v>10240</v>
      </c>
      <c r="M672" s="275"/>
      <c r="N672" s="510"/>
      <c r="O672" s="275"/>
      <c r="P672" s="510"/>
      <c r="Q672" s="275">
        <v>13964</v>
      </c>
      <c r="R672" s="510">
        <v>13950</v>
      </c>
      <c r="S672" s="275">
        <v>29714</v>
      </c>
      <c r="T672" s="510">
        <v>29700</v>
      </c>
      <c r="U672" s="275"/>
      <c r="V672" s="510"/>
      <c r="W672" s="275"/>
      <c r="X672" s="510"/>
      <c r="Y672" s="275"/>
      <c r="Z672" s="510"/>
      <c r="AA672" s="275"/>
      <c r="AB672" s="510"/>
      <c r="AC672" s="275"/>
      <c r="AD672" s="510"/>
      <c r="AE672" s="275"/>
      <c r="AF672" s="510"/>
      <c r="AG672" s="275">
        <v>13964</v>
      </c>
      <c r="AH672" s="510">
        <v>13950</v>
      </c>
      <c r="AI672" s="275">
        <v>29714</v>
      </c>
      <c r="AJ672" s="510">
        <v>29700</v>
      </c>
      <c r="AK672" s="275"/>
      <c r="AL672" s="510"/>
      <c r="AM672" s="275"/>
      <c r="AN672" s="510"/>
      <c r="AO672" s="276"/>
    </row>
    <row r="673" spans="1:41" s="183" customFormat="1" ht="15" customHeight="1">
      <c r="A673" s="179" t="s">
        <v>816</v>
      </c>
      <c r="B673" s="179" t="s">
        <v>730</v>
      </c>
      <c r="C673" s="432">
        <v>228653</v>
      </c>
      <c r="D673" s="182">
        <v>15</v>
      </c>
      <c r="E673" s="275">
        <v>4197</v>
      </c>
      <c r="F673" s="510">
        <v>7468</v>
      </c>
      <c r="G673" s="275">
        <v>12477</v>
      </c>
      <c r="H673" s="510">
        <v>15808</v>
      </c>
      <c r="I673" s="275">
        <v>4288</v>
      </c>
      <c r="J673" s="510">
        <v>3474</v>
      </c>
      <c r="K673" s="275">
        <v>9788</v>
      </c>
      <c r="L673" s="510">
        <v>8974</v>
      </c>
      <c r="M673" s="275"/>
      <c r="N673" s="510"/>
      <c r="O673" s="275"/>
      <c r="P673" s="510"/>
      <c r="Q673" s="275">
        <v>11440.5</v>
      </c>
      <c r="R673" s="510">
        <v>12939</v>
      </c>
      <c r="S673" s="275">
        <v>24542.5</v>
      </c>
      <c r="T673" s="510">
        <v>26039</v>
      </c>
      <c r="U673" s="275"/>
      <c r="V673" s="510"/>
      <c r="W673" s="275"/>
      <c r="X673" s="510"/>
      <c r="Y673" s="275"/>
      <c r="Z673" s="510"/>
      <c r="AA673" s="275"/>
      <c r="AB673" s="510"/>
      <c r="AC673" s="275"/>
      <c r="AD673" s="510"/>
      <c r="AE673" s="275"/>
      <c r="AF673" s="510"/>
      <c r="AG673" s="275"/>
      <c r="AH673" s="510"/>
      <c r="AI673" s="275"/>
      <c r="AJ673" s="510"/>
      <c r="AK673" s="275"/>
      <c r="AL673" s="510"/>
      <c r="AM673" s="275"/>
      <c r="AN673" s="510"/>
      <c r="AO673" s="276"/>
    </row>
    <row r="674" spans="1:41" s="183" customFormat="1" ht="15" customHeight="1">
      <c r="A674" s="179" t="s">
        <v>816</v>
      </c>
      <c r="B674" s="179" t="s">
        <v>731</v>
      </c>
      <c r="C674" s="432">
        <v>228635</v>
      </c>
      <c r="D674" s="182">
        <v>15</v>
      </c>
      <c r="E674" s="275">
        <v>3895</v>
      </c>
      <c r="F674" s="510"/>
      <c r="G674" s="275">
        <v>12145</v>
      </c>
      <c r="H674" s="510"/>
      <c r="I674" s="275">
        <v>5037.5</v>
      </c>
      <c r="J674" s="510"/>
      <c r="K674" s="275">
        <v>10487.5</v>
      </c>
      <c r="L674" s="510"/>
      <c r="M674" s="275"/>
      <c r="N674" s="510"/>
      <c r="O674" s="275"/>
      <c r="P674" s="510"/>
      <c r="Q674" s="275">
        <v>11632</v>
      </c>
      <c r="R674" s="510">
        <v>11962</v>
      </c>
      <c r="S674" s="275">
        <v>24732</v>
      </c>
      <c r="T674" s="510">
        <v>25062</v>
      </c>
      <c r="U674" s="275"/>
      <c r="V674" s="510"/>
      <c r="W674" s="275"/>
      <c r="X674" s="510"/>
      <c r="Y674" s="275"/>
      <c r="Z674" s="510"/>
      <c r="AA674" s="275"/>
      <c r="AB674" s="510"/>
      <c r="AC674" s="275"/>
      <c r="AD674" s="510"/>
      <c r="AE674" s="275"/>
      <c r="AF674" s="510"/>
      <c r="AG674" s="275"/>
      <c r="AH674" s="510"/>
      <c r="AI674" s="275"/>
      <c r="AJ674" s="510"/>
      <c r="AK674" s="275"/>
      <c r="AL674" s="510"/>
      <c r="AM674" s="275"/>
      <c r="AN674" s="510"/>
      <c r="AO674" s="276"/>
    </row>
    <row r="675" spans="1:41" s="183" customFormat="1" ht="15" customHeight="1">
      <c r="A675" s="179" t="s">
        <v>816</v>
      </c>
      <c r="B675" s="437" t="s">
        <v>729</v>
      </c>
      <c r="C675" s="438">
        <v>25554</v>
      </c>
      <c r="D675" s="182">
        <v>15</v>
      </c>
      <c r="E675" s="275">
        <v>3127</v>
      </c>
      <c r="F675" s="510">
        <v>3421</v>
      </c>
      <c r="G675" s="275">
        <v>11377</v>
      </c>
      <c r="H675" s="510">
        <v>11761</v>
      </c>
      <c r="I675" s="275"/>
      <c r="J675" s="510"/>
      <c r="K675" s="275"/>
      <c r="L675" s="510"/>
      <c r="M675" s="275"/>
      <c r="N675" s="510"/>
      <c r="O675" s="275"/>
      <c r="P675" s="510"/>
      <c r="Q675" s="275"/>
      <c r="R675" s="510"/>
      <c r="S675" s="275"/>
      <c r="T675" s="510"/>
      <c r="U675" s="275"/>
      <c r="V675" s="510"/>
      <c r="W675" s="275"/>
      <c r="X675" s="510"/>
      <c r="Y675" s="275"/>
      <c r="Z675" s="510"/>
      <c r="AA675" s="275"/>
      <c r="AB675" s="510"/>
      <c r="AC675" s="275"/>
      <c r="AD675" s="510"/>
      <c r="AE675" s="275"/>
      <c r="AF675" s="510"/>
      <c r="AG675" s="275"/>
      <c r="AH675" s="510"/>
      <c r="AI675" s="275"/>
      <c r="AJ675" s="510"/>
      <c r="AK675" s="275"/>
      <c r="AL675" s="510"/>
      <c r="AM675" s="275"/>
      <c r="AN675" s="510"/>
      <c r="AO675" s="276"/>
    </row>
    <row r="676" spans="1:40" s="183" customFormat="1" ht="15" customHeight="1">
      <c r="A676" s="315" t="s">
        <v>535</v>
      </c>
      <c r="B676" s="315" t="s">
        <v>305</v>
      </c>
      <c r="C676" s="330">
        <v>234076</v>
      </c>
      <c r="D676" s="324">
        <v>1</v>
      </c>
      <c r="E676" s="275">
        <v>7845</v>
      </c>
      <c r="F676" s="510">
        <f>6821+1679</f>
        <v>8500</v>
      </c>
      <c r="G676" s="275">
        <v>25945</v>
      </c>
      <c r="H676" s="510">
        <f>26071+1679</f>
        <v>27750</v>
      </c>
      <c r="I676" s="275">
        <v>10550</v>
      </c>
      <c r="J676" s="510">
        <f>9561+1679</f>
        <v>11240</v>
      </c>
      <c r="K676" s="275">
        <v>20550</v>
      </c>
      <c r="L676" s="510">
        <f>19561+1679</f>
        <v>21240</v>
      </c>
      <c r="M676" s="275">
        <v>30700</v>
      </c>
      <c r="N676" s="510">
        <v>33500</v>
      </c>
      <c r="O676" s="275">
        <v>35700</v>
      </c>
      <c r="P676" s="510">
        <v>38500</v>
      </c>
      <c r="Q676" s="275">
        <v>30100</v>
      </c>
      <c r="R676" s="510">
        <v>31305</v>
      </c>
      <c r="S676" s="275">
        <v>40100</v>
      </c>
      <c r="T676" s="510">
        <v>41305</v>
      </c>
      <c r="U676" s="275"/>
      <c r="V676" s="510"/>
      <c r="W676" s="275"/>
      <c r="X676" s="510"/>
      <c r="Y676" s="275"/>
      <c r="Z676" s="510"/>
      <c r="AA676" s="275"/>
      <c r="AB676" s="510"/>
      <c r="AC676" s="275"/>
      <c r="AD676" s="510"/>
      <c r="AE676" s="275"/>
      <c r="AF676" s="510"/>
      <c r="AG676" s="275"/>
      <c r="AH676" s="510"/>
      <c r="AI676" s="275"/>
      <c r="AJ676" s="510"/>
      <c r="AK676" s="275"/>
      <c r="AL676" s="510"/>
      <c r="AM676" s="275"/>
      <c r="AN676" s="510"/>
    </row>
    <row r="677" spans="1:40" s="183" customFormat="1" ht="15" customHeight="1">
      <c r="A677" s="315" t="s">
        <v>535</v>
      </c>
      <c r="B677" s="315" t="s">
        <v>306</v>
      </c>
      <c r="C677" s="330">
        <v>233921</v>
      </c>
      <c r="D677" s="324">
        <v>1</v>
      </c>
      <c r="E677" s="275">
        <v>6973</v>
      </c>
      <c r="F677" s="510">
        <f>6160+1237</f>
        <v>7397</v>
      </c>
      <c r="G677" s="275">
        <v>19049</v>
      </c>
      <c r="H677" s="510">
        <f>18538+1237</f>
        <v>19775</v>
      </c>
      <c r="I677" s="275">
        <v>8540</v>
      </c>
      <c r="J677" s="510">
        <f>7749+1237</f>
        <v>8986</v>
      </c>
      <c r="K677" s="275">
        <v>14057</v>
      </c>
      <c r="L677" s="510">
        <f>14114+1237</f>
        <v>15351</v>
      </c>
      <c r="M677" s="275"/>
      <c r="N677" s="510"/>
      <c r="O677" s="275"/>
      <c r="P677" s="510"/>
      <c r="Q677" s="275"/>
      <c r="R677" s="510"/>
      <c r="S677" s="275"/>
      <c r="T677" s="510"/>
      <c r="U677" s="275"/>
      <c r="V677" s="510"/>
      <c r="W677" s="275"/>
      <c r="X677" s="510"/>
      <c r="Y677" s="275"/>
      <c r="Z677" s="510"/>
      <c r="AA677" s="275"/>
      <c r="AB677" s="510"/>
      <c r="AC677" s="275"/>
      <c r="AD677" s="510"/>
      <c r="AE677" s="275"/>
      <c r="AF677" s="510"/>
      <c r="AG677" s="275"/>
      <c r="AH677" s="510"/>
      <c r="AI677" s="275"/>
      <c r="AJ677" s="510"/>
      <c r="AK677" s="275">
        <v>14738</v>
      </c>
      <c r="AL677" s="510">
        <v>15951</v>
      </c>
      <c r="AM677" s="275">
        <v>33692</v>
      </c>
      <c r="AN677" s="510">
        <v>35896</v>
      </c>
    </row>
    <row r="678" spans="1:40" s="183" customFormat="1" ht="15" customHeight="1">
      <c r="A678" s="315" t="s">
        <v>535</v>
      </c>
      <c r="B678" s="315" t="s">
        <v>310</v>
      </c>
      <c r="C678" s="330">
        <v>234030</v>
      </c>
      <c r="D678" s="324">
        <v>2</v>
      </c>
      <c r="E678" s="275">
        <v>5819</v>
      </c>
      <c r="F678" s="510">
        <f>4525+1671</f>
        <v>6196</v>
      </c>
      <c r="G678" s="275">
        <v>17616</v>
      </c>
      <c r="H678" s="510">
        <f>17069+1671</f>
        <v>18740</v>
      </c>
      <c r="I678" s="275">
        <v>8341</v>
      </c>
      <c r="J678" s="510">
        <f>7267+1637</f>
        <v>8904</v>
      </c>
      <c r="K678" s="275">
        <v>17582</v>
      </c>
      <c r="L678" s="510">
        <f>16115+1637</f>
        <v>17752</v>
      </c>
      <c r="M678" s="275"/>
      <c r="N678" s="510"/>
      <c r="O678" s="275"/>
      <c r="P678" s="510"/>
      <c r="Q678" s="275">
        <v>25633</v>
      </c>
      <c r="R678" s="510">
        <v>27305</v>
      </c>
      <c r="S678" s="275">
        <v>39237</v>
      </c>
      <c r="T678" s="510">
        <v>40975</v>
      </c>
      <c r="U678" s="275">
        <v>21920</v>
      </c>
      <c r="V678" s="510">
        <v>23388</v>
      </c>
      <c r="W678" s="275">
        <v>38548</v>
      </c>
      <c r="X678" s="510">
        <v>39118</v>
      </c>
      <c r="Y678" s="275">
        <v>18922</v>
      </c>
      <c r="Z678" s="510">
        <v>20147</v>
      </c>
      <c r="AA678" s="275">
        <v>26005</v>
      </c>
      <c r="AB678" s="510">
        <v>26175</v>
      </c>
      <c r="AC678" s="275"/>
      <c r="AD678" s="510"/>
      <c r="AE678" s="275"/>
      <c r="AF678" s="510"/>
      <c r="AG678" s="275"/>
      <c r="AH678" s="510"/>
      <c r="AI678" s="275"/>
      <c r="AJ678" s="510"/>
      <c r="AK678" s="275"/>
      <c r="AL678" s="510"/>
      <c r="AM678" s="275"/>
      <c r="AN678" s="510"/>
    </row>
    <row r="679" spans="1:40" s="183" customFormat="1" ht="15" customHeight="1">
      <c r="A679" s="315" t="s">
        <v>535</v>
      </c>
      <c r="B679" s="315" t="s">
        <v>307</v>
      </c>
      <c r="C679" s="330">
        <v>231624</v>
      </c>
      <c r="D679" s="324">
        <v>2</v>
      </c>
      <c r="E679" s="275">
        <v>8490</v>
      </c>
      <c r="F679" s="510">
        <f>5637+3527</f>
        <v>9164</v>
      </c>
      <c r="G679" s="275">
        <v>25048</v>
      </c>
      <c r="H679" s="510">
        <f>23407+3527</f>
        <v>26934</v>
      </c>
      <c r="I679" s="275">
        <v>9414</v>
      </c>
      <c r="J679" s="510">
        <f>6342+3458</f>
        <v>9800</v>
      </c>
      <c r="K679" s="275">
        <v>22238</v>
      </c>
      <c r="L679" s="510">
        <f>19556+3458</f>
        <v>23014</v>
      </c>
      <c r="M679" s="275">
        <v>16600</v>
      </c>
      <c r="N679" s="510">
        <v>18336</v>
      </c>
      <c r="O679" s="275">
        <v>26800</v>
      </c>
      <c r="P679" s="510">
        <v>28536</v>
      </c>
      <c r="Q679" s="275"/>
      <c r="R679" s="510"/>
      <c r="S679" s="275"/>
      <c r="T679" s="510"/>
      <c r="U679" s="275"/>
      <c r="V679" s="510"/>
      <c r="W679" s="275"/>
      <c r="X679" s="510"/>
      <c r="Y679" s="275"/>
      <c r="Z679" s="510"/>
      <c r="AA679" s="275"/>
      <c r="AB679" s="510"/>
      <c r="AC679" s="275"/>
      <c r="AD679" s="510"/>
      <c r="AE679" s="275"/>
      <c r="AF679" s="510"/>
      <c r="AG679" s="275"/>
      <c r="AH679" s="510"/>
      <c r="AI679" s="275"/>
      <c r="AJ679" s="510"/>
      <c r="AK679" s="275"/>
      <c r="AL679" s="510"/>
      <c r="AM679" s="275"/>
      <c r="AN679" s="510"/>
    </row>
    <row r="680" spans="1:40" s="183" customFormat="1" ht="15" customHeight="1">
      <c r="A680" s="315" t="s">
        <v>535</v>
      </c>
      <c r="B680" s="331" t="s">
        <v>308</v>
      </c>
      <c r="C680" s="332">
        <v>232186</v>
      </c>
      <c r="D680" s="324">
        <v>2</v>
      </c>
      <c r="E680" s="275">
        <v>6408</v>
      </c>
      <c r="F680" s="510">
        <f>5035+1805</f>
        <v>6840</v>
      </c>
      <c r="G680" s="275">
        <v>18552</v>
      </c>
      <c r="H680" s="510">
        <f>17923+1805</f>
        <v>19728</v>
      </c>
      <c r="I680" s="275">
        <v>7380</v>
      </c>
      <c r="J680" s="510">
        <f>6283+1805</f>
        <v>8088</v>
      </c>
      <c r="K680" s="275">
        <v>18552</v>
      </c>
      <c r="L680" s="510">
        <f>18475+1805</f>
        <v>20280</v>
      </c>
      <c r="M680" s="275">
        <v>15274</v>
      </c>
      <c r="N680" s="510">
        <v>16716</v>
      </c>
      <c r="O680" s="275">
        <v>26502</v>
      </c>
      <c r="P680" s="510">
        <v>28532</v>
      </c>
      <c r="Q680" s="275"/>
      <c r="R680" s="510"/>
      <c r="S680" s="275"/>
      <c r="T680" s="510"/>
      <c r="U680" s="275"/>
      <c r="V680" s="510"/>
      <c r="W680" s="275"/>
      <c r="X680" s="510"/>
      <c r="Y680" s="275"/>
      <c r="Z680" s="510"/>
      <c r="AA680" s="275"/>
      <c r="AB680" s="510"/>
      <c r="AC680" s="275"/>
      <c r="AD680" s="510"/>
      <c r="AE680" s="275"/>
      <c r="AF680" s="510"/>
      <c r="AG680" s="275"/>
      <c r="AH680" s="510"/>
      <c r="AI680" s="275"/>
      <c r="AJ680" s="510"/>
      <c r="AK680" s="275"/>
      <c r="AL680" s="510"/>
      <c r="AM680" s="275"/>
      <c r="AN680" s="510"/>
    </row>
    <row r="681" spans="1:40" s="183" customFormat="1" ht="15" customHeight="1">
      <c r="A681" s="315" t="s">
        <v>535</v>
      </c>
      <c r="B681" s="331" t="s">
        <v>309</v>
      </c>
      <c r="C681" s="332">
        <v>232982</v>
      </c>
      <c r="D681" s="324">
        <v>2</v>
      </c>
      <c r="E681" s="275">
        <v>6098</v>
      </c>
      <c r="F681" s="510">
        <f>4042+2486</f>
        <v>6528</v>
      </c>
      <c r="G681" s="275">
        <v>16658</v>
      </c>
      <c r="H681" s="510">
        <f>15262+2486</f>
        <v>17748</v>
      </c>
      <c r="I681" s="275">
        <v>7028</v>
      </c>
      <c r="J681" s="510">
        <f>5469+2025</f>
        <v>7494</v>
      </c>
      <c r="K681" s="275">
        <v>17358</v>
      </c>
      <c r="L681" s="510">
        <f>16453+2025</f>
        <v>18478</v>
      </c>
      <c r="M681" s="275"/>
      <c r="N681" s="510"/>
      <c r="O681" s="275"/>
      <c r="P681" s="510"/>
      <c r="Q681" s="275"/>
      <c r="R681" s="510"/>
      <c r="S681" s="275"/>
      <c r="T681" s="510"/>
      <c r="U681" s="275"/>
      <c r="V681" s="510"/>
      <c r="W681" s="275"/>
      <c r="X681" s="510"/>
      <c r="Y681" s="275"/>
      <c r="Z681" s="510"/>
      <c r="AA681" s="275"/>
      <c r="AB681" s="510"/>
      <c r="AC681" s="275"/>
      <c r="AD681" s="510"/>
      <c r="AE681" s="275"/>
      <c r="AF681" s="510"/>
      <c r="AG681" s="275"/>
      <c r="AH681" s="510"/>
      <c r="AI681" s="275"/>
      <c r="AJ681" s="510"/>
      <c r="AK681" s="275"/>
      <c r="AL681" s="510"/>
      <c r="AM681" s="275"/>
      <c r="AN681" s="510"/>
    </row>
    <row r="682" spans="1:40" s="183" customFormat="1" ht="15" customHeight="1">
      <c r="A682" s="315" t="s">
        <v>535</v>
      </c>
      <c r="B682" s="331" t="s">
        <v>311</v>
      </c>
      <c r="C682" s="332">
        <v>232423</v>
      </c>
      <c r="D682" s="324">
        <v>3</v>
      </c>
      <c r="E682" s="275">
        <v>6290</v>
      </c>
      <c r="F682" s="510">
        <f>3420+3246</f>
        <v>6666</v>
      </c>
      <c r="G682" s="275">
        <v>16236</v>
      </c>
      <c r="H682" s="510">
        <f>14140+3246</f>
        <v>17386</v>
      </c>
      <c r="I682" s="275">
        <v>6336</v>
      </c>
      <c r="J682" s="510">
        <f>5904+816</f>
        <v>6720</v>
      </c>
      <c r="K682" s="275">
        <v>17832</v>
      </c>
      <c r="L682" s="510">
        <f>18288+816</f>
        <v>19104</v>
      </c>
      <c r="M682" s="275"/>
      <c r="N682" s="510"/>
      <c r="O682" s="275"/>
      <c r="P682" s="510"/>
      <c r="Q682" s="275"/>
      <c r="R682" s="510"/>
      <c r="S682" s="275"/>
      <c r="T682" s="510"/>
      <c r="U682" s="275"/>
      <c r="V682" s="510"/>
      <c r="W682" s="275"/>
      <c r="X682" s="510"/>
      <c r="Y682" s="275"/>
      <c r="Z682" s="510"/>
      <c r="AA682" s="275"/>
      <c r="AB682" s="510"/>
      <c r="AC682" s="275"/>
      <c r="AD682" s="510"/>
      <c r="AE682" s="275"/>
      <c r="AF682" s="510"/>
      <c r="AG682" s="275"/>
      <c r="AH682" s="510"/>
      <c r="AI682" s="275"/>
      <c r="AJ682" s="510"/>
      <c r="AK682" s="275"/>
      <c r="AL682" s="510"/>
      <c r="AM682" s="275"/>
      <c r="AN682" s="510"/>
    </row>
    <row r="683" spans="1:40" s="183" customFormat="1" ht="15" customHeight="1">
      <c r="A683" s="315" t="s">
        <v>535</v>
      </c>
      <c r="B683" s="331" t="s">
        <v>312</v>
      </c>
      <c r="C683" s="330">
        <v>233277</v>
      </c>
      <c r="D683" s="324">
        <v>3</v>
      </c>
      <c r="E683" s="275">
        <v>5746</v>
      </c>
      <c r="F683" s="510">
        <f>4026+2150</f>
        <v>6176</v>
      </c>
      <c r="G683" s="275">
        <v>13494</v>
      </c>
      <c r="H683" s="510">
        <f>12360+2150</f>
        <v>14510</v>
      </c>
      <c r="I683" s="275">
        <v>6230</v>
      </c>
      <c r="J683" s="510">
        <f>4536+2150</f>
        <v>6686</v>
      </c>
      <c r="K683" s="275">
        <v>11482</v>
      </c>
      <c r="L683" s="510">
        <f>10316+2150</f>
        <v>12466</v>
      </c>
      <c r="M683" s="275"/>
      <c r="N683" s="510"/>
      <c r="O683" s="275"/>
      <c r="P683" s="510"/>
      <c r="Q683" s="275"/>
      <c r="R683" s="510"/>
      <c r="S683" s="275"/>
      <c r="T683" s="510"/>
      <c r="U683" s="275"/>
      <c r="V683" s="510"/>
      <c r="W683" s="275"/>
      <c r="X683" s="510"/>
      <c r="Y683" s="275"/>
      <c r="Z683" s="510"/>
      <c r="AA683" s="275"/>
      <c r="AB683" s="510"/>
      <c r="AC683" s="275"/>
      <c r="AD683" s="510"/>
      <c r="AE683" s="275"/>
      <c r="AF683" s="510"/>
      <c r="AG683" s="275"/>
      <c r="AH683" s="510"/>
      <c r="AI683" s="275"/>
      <c r="AJ683" s="510"/>
      <c r="AK683" s="275"/>
      <c r="AL683" s="510"/>
      <c r="AM683" s="275"/>
      <c r="AN683" s="510"/>
    </row>
    <row r="684" spans="1:40" s="183" customFormat="1" ht="15" customHeight="1">
      <c r="A684" s="315" t="s">
        <v>535</v>
      </c>
      <c r="B684" s="331" t="s">
        <v>313</v>
      </c>
      <c r="C684" s="330">
        <v>231712</v>
      </c>
      <c r="D684" s="324">
        <v>4</v>
      </c>
      <c r="E684" s="275">
        <v>6460</v>
      </c>
      <c r="F684" s="510">
        <f>4046+3004</f>
        <v>7050</v>
      </c>
      <c r="G684" s="275">
        <v>13532</v>
      </c>
      <c r="H684" s="510">
        <f>11146+3004</f>
        <v>14150</v>
      </c>
      <c r="I684" s="275"/>
      <c r="J684" s="510"/>
      <c r="K684" s="275"/>
      <c r="L684" s="510"/>
      <c r="M684" s="275"/>
      <c r="N684" s="510"/>
      <c r="O684" s="275"/>
      <c r="P684" s="510"/>
      <c r="Q684" s="275"/>
      <c r="R684" s="510"/>
      <c r="S684" s="275"/>
      <c r="T684" s="510"/>
      <c r="U684" s="275"/>
      <c r="V684" s="510"/>
      <c r="W684" s="275"/>
      <c r="X684" s="510"/>
      <c r="Y684" s="275"/>
      <c r="Z684" s="510"/>
      <c r="AA684" s="275"/>
      <c r="AB684" s="510"/>
      <c r="AC684" s="275"/>
      <c r="AD684" s="510"/>
      <c r="AE684" s="275"/>
      <c r="AF684" s="510"/>
      <c r="AG684" s="275"/>
      <c r="AH684" s="510"/>
      <c r="AI684" s="275"/>
      <c r="AJ684" s="510"/>
      <c r="AK684" s="275"/>
      <c r="AL684" s="510"/>
      <c r="AM684" s="275"/>
      <c r="AN684" s="510"/>
    </row>
    <row r="685" spans="1:40" s="183" customFormat="1" ht="15" customHeight="1">
      <c r="A685" s="315" t="s">
        <v>535</v>
      </c>
      <c r="B685" s="331" t="s">
        <v>314</v>
      </c>
      <c r="C685" s="332">
        <v>232937</v>
      </c>
      <c r="D685" s="324">
        <v>4</v>
      </c>
      <c r="E685" s="275">
        <v>5056</v>
      </c>
      <c r="F685" s="510">
        <f>2700+2622</f>
        <v>5322</v>
      </c>
      <c r="G685" s="275">
        <v>15376</v>
      </c>
      <c r="H685" s="510">
        <f>13620+2622</f>
        <v>16242</v>
      </c>
      <c r="I685" s="275">
        <v>6820</v>
      </c>
      <c r="J685" s="510">
        <f>4560+2622</f>
        <v>7182</v>
      </c>
      <c r="K685" s="275">
        <v>20572</v>
      </c>
      <c r="L685" s="510">
        <f>19104+2622</f>
        <v>21726</v>
      </c>
      <c r="M685" s="275"/>
      <c r="N685" s="510"/>
      <c r="O685" s="275"/>
      <c r="P685" s="510"/>
      <c r="Q685" s="275"/>
      <c r="R685" s="510"/>
      <c r="S685" s="275"/>
      <c r="T685" s="510"/>
      <c r="U685" s="275"/>
      <c r="V685" s="510"/>
      <c r="W685" s="275"/>
      <c r="X685" s="510"/>
      <c r="Y685" s="275"/>
      <c r="Z685" s="510"/>
      <c r="AA685" s="275"/>
      <c r="AB685" s="510"/>
      <c r="AC685" s="275"/>
      <c r="AD685" s="510"/>
      <c r="AE685" s="275"/>
      <c r="AF685" s="510"/>
      <c r="AG685" s="275"/>
      <c r="AH685" s="510"/>
      <c r="AI685" s="275"/>
      <c r="AJ685" s="510"/>
      <c r="AK685" s="275"/>
      <c r="AL685" s="510"/>
      <c r="AM685" s="275"/>
      <c r="AN685" s="510"/>
    </row>
    <row r="686" spans="1:40" s="183" customFormat="1" ht="15" customHeight="1">
      <c r="A686" s="315" t="s">
        <v>535</v>
      </c>
      <c r="B686" s="315" t="s">
        <v>315</v>
      </c>
      <c r="C686" s="330">
        <v>234155</v>
      </c>
      <c r="D686" s="324">
        <v>4</v>
      </c>
      <c r="E686" s="275">
        <v>5440</v>
      </c>
      <c r="F686" s="510">
        <f>3186+2469</f>
        <v>5655</v>
      </c>
      <c r="G686" s="275">
        <v>12512</v>
      </c>
      <c r="H686" s="510">
        <f>10838+2469</f>
        <v>13307</v>
      </c>
      <c r="I686" s="275">
        <v>6462</v>
      </c>
      <c r="J686" s="510">
        <f>4270+2469</f>
        <v>6739</v>
      </c>
      <c r="K686" s="275">
        <v>13420</v>
      </c>
      <c r="L686" s="510">
        <f>11810+2469</f>
        <v>14279</v>
      </c>
      <c r="M686" s="275"/>
      <c r="N686" s="510"/>
      <c r="O686" s="275"/>
      <c r="P686" s="510"/>
      <c r="Q686" s="275"/>
      <c r="R686" s="510"/>
      <c r="S686" s="275"/>
      <c r="T686" s="510"/>
      <c r="U686" s="275"/>
      <c r="V686" s="510"/>
      <c r="W686" s="275"/>
      <c r="X686" s="510"/>
      <c r="Y686" s="275"/>
      <c r="Z686" s="510"/>
      <c r="AA686" s="275"/>
      <c r="AB686" s="510"/>
      <c r="AC686" s="275"/>
      <c r="AD686" s="510"/>
      <c r="AE686" s="275"/>
      <c r="AF686" s="510"/>
      <c r="AG686" s="275"/>
      <c r="AH686" s="510"/>
      <c r="AI686" s="275"/>
      <c r="AJ686" s="510"/>
      <c r="AK686" s="275"/>
      <c r="AL686" s="510"/>
      <c r="AM686" s="275"/>
      <c r="AN686" s="510"/>
    </row>
    <row r="687" spans="1:40" s="183" customFormat="1" ht="15" customHeight="1">
      <c r="A687" s="315" t="s">
        <v>535</v>
      </c>
      <c r="B687" s="331" t="s">
        <v>316</v>
      </c>
      <c r="C687" s="332">
        <v>232566</v>
      </c>
      <c r="D687" s="324">
        <v>5</v>
      </c>
      <c r="E687" s="275">
        <v>7589</v>
      </c>
      <c r="F687" s="510">
        <f>4338+3720</f>
        <v>8058</v>
      </c>
      <c r="G687" s="275">
        <v>15259</v>
      </c>
      <c r="H687" s="510">
        <f>12658+3720</f>
        <v>16378</v>
      </c>
      <c r="I687" s="275">
        <v>6743</v>
      </c>
      <c r="J687" s="510">
        <f>4391+2352</f>
        <v>6743</v>
      </c>
      <c r="K687" s="275">
        <v>14559</v>
      </c>
      <c r="L687" s="510">
        <f>12263+2352</f>
        <v>14615</v>
      </c>
      <c r="M687" s="275"/>
      <c r="N687" s="510"/>
      <c r="O687" s="275"/>
      <c r="P687" s="510"/>
      <c r="Q687" s="275"/>
      <c r="R687" s="510"/>
      <c r="S687" s="275"/>
      <c r="T687" s="510"/>
      <c r="U687" s="275"/>
      <c r="V687" s="510"/>
      <c r="W687" s="275"/>
      <c r="X687" s="510"/>
      <c r="Y687" s="275"/>
      <c r="Z687" s="510"/>
      <c r="AA687" s="275"/>
      <c r="AB687" s="510"/>
      <c r="AC687" s="275"/>
      <c r="AD687" s="510"/>
      <c r="AE687" s="275"/>
      <c r="AF687" s="510"/>
      <c r="AG687" s="275"/>
      <c r="AH687" s="510"/>
      <c r="AI687" s="275"/>
      <c r="AJ687" s="510"/>
      <c r="AK687" s="275"/>
      <c r="AL687" s="510"/>
      <c r="AM687" s="275"/>
      <c r="AN687" s="510"/>
    </row>
    <row r="688" spans="1:40" s="183" customFormat="1" ht="15" customHeight="1">
      <c r="A688" s="315" t="s">
        <v>535</v>
      </c>
      <c r="B688" s="331" t="s">
        <v>317</v>
      </c>
      <c r="C688" s="332">
        <v>232681</v>
      </c>
      <c r="D688" s="324">
        <v>5</v>
      </c>
      <c r="E688" s="275">
        <v>6082</v>
      </c>
      <c r="F688" s="510">
        <f>4530+1964</f>
        <v>6494</v>
      </c>
      <c r="G688" s="275">
        <v>15964</v>
      </c>
      <c r="H688" s="510">
        <f>15004+1964</f>
        <v>16968</v>
      </c>
      <c r="I688" s="275">
        <v>4950</v>
      </c>
      <c r="J688" s="510">
        <f>4248+1008</f>
        <v>5256</v>
      </c>
      <c r="K688" s="275">
        <v>11268</v>
      </c>
      <c r="L688" s="510">
        <f>10958+1008</f>
        <v>11966</v>
      </c>
      <c r="M688" s="275"/>
      <c r="N688" s="510"/>
      <c r="O688" s="275"/>
      <c r="P688" s="510"/>
      <c r="Q688" s="275"/>
      <c r="R688" s="510"/>
      <c r="S688" s="275"/>
      <c r="T688" s="510"/>
      <c r="U688" s="275"/>
      <c r="V688" s="510"/>
      <c r="W688" s="275"/>
      <c r="X688" s="510"/>
      <c r="Y688" s="275"/>
      <c r="Z688" s="510"/>
      <c r="AA688" s="275"/>
      <c r="AB688" s="510"/>
      <c r="AC688" s="275"/>
      <c r="AD688" s="510"/>
      <c r="AE688" s="275"/>
      <c r="AF688" s="510"/>
      <c r="AG688" s="275"/>
      <c r="AH688" s="510"/>
      <c r="AI688" s="275"/>
      <c r="AJ688" s="510"/>
      <c r="AK688" s="275"/>
      <c r="AL688" s="510"/>
      <c r="AM688" s="275"/>
      <c r="AN688" s="510"/>
    </row>
    <row r="689" spans="1:40" s="183" customFormat="1" ht="15" customHeight="1">
      <c r="A689" s="315" t="s">
        <v>535</v>
      </c>
      <c r="B689" s="315" t="s">
        <v>318</v>
      </c>
      <c r="C689" s="330">
        <v>233897</v>
      </c>
      <c r="D689" s="324">
        <v>6</v>
      </c>
      <c r="E689" s="275">
        <v>5692</v>
      </c>
      <c r="F689" s="510">
        <f>3485+2666</f>
        <v>6151</v>
      </c>
      <c r="G689" s="275">
        <v>16728</v>
      </c>
      <c r="H689" s="510">
        <f>15149+2666</f>
        <v>17815</v>
      </c>
      <c r="I689" s="275"/>
      <c r="J689" s="510"/>
      <c r="K689" s="275"/>
      <c r="L689" s="510"/>
      <c r="M689" s="275"/>
      <c r="N689" s="510"/>
      <c r="O689" s="275"/>
      <c r="P689" s="510"/>
      <c r="Q689" s="275"/>
      <c r="R689" s="510"/>
      <c r="S689" s="275"/>
      <c r="T689" s="510"/>
      <c r="U689" s="275"/>
      <c r="V689" s="510"/>
      <c r="W689" s="275"/>
      <c r="X689" s="510"/>
      <c r="Y689" s="275"/>
      <c r="Z689" s="510"/>
      <c r="AA689" s="275"/>
      <c r="AB689" s="510"/>
      <c r="AC689" s="275"/>
      <c r="AD689" s="510"/>
      <c r="AE689" s="275"/>
      <c r="AF689" s="510"/>
      <c r="AG689" s="275"/>
      <c r="AH689" s="510"/>
      <c r="AI689" s="275"/>
      <c r="AJ689" s="510"/>
      <c r="AK689" s="275"/>
      <c r="AL689" s="510"/>
      <c r="AM689" s="275"/>
      <c r="AN689" s="510"/>
    </row>
    <row r="690" spans="1:40" s="183" customFormat="1" ht="15" customHeight="1">
      <c r="A690" s="315" t="s">
        <v>535</v>
      </c>
      <c r="B690" s="331" t="s">
        <v>319</v>
      </c>
      <c r="C690" s="332">
        <v>232414</v>
      </c>
      <c r="D690" s="324">
        <v>8</v>
      </c>
      <c r="E690" s="275">
        <v>2269</v>
      </c>
      <c r="F690" s="510">
        <f>2390+14</f>
        <v>2404</v>
      </c>
      <c r="G690" s="275">
        <v>7221</v>
      </c>
      <c r="H690" s="510">
        <f>7645+14</f>
        <v>7659</v>
      </c>
      <c r="I690" s="275"/>
      <c r="J690" s="510"/>
      <c r="K690" s="275"/>
      <c r="L690" s="510"/>
      <c r="M690" s="275"/>
      <c r="N690" s="510"/>
      <c r="O690" s="275"/>
      <c r="P690" s="510"/>
      <c r="Q690" s="275"/>
      <c r="R690" s="510"/>
      <c r="S690" s="275"/>
      <c r="T690" s="510"/>
      <c r="U690" s="275"/>
      <c r="V690" s="510"/>
      <c r="W690" s="275"/>
      <c r="X690" s="510"/>
      <c r="Y690" s="275"/>
      <c r="Z690" s="510"/>
      <c r="AA690" s="275"/>
      <c r="AB690" s="510"/>
      <c r="AC690" s="275"/>
      <c r="AD690" s="510"/>
      <c r="AE690" s="275"/>
      <c r="AF690" s="510"/>
      <c r="AG690" s="275"/>
      <c r="AH690" s="510"/>
      <c r="AI690" s="275"/>
      <c r="AJ690" s="510"/>
      <c r="AK690" s="275"/>
      <c r="AL690" s="510"/>
      <c r="AM690" s="275"/>
      <c r="AN690" s="510"/>
    </row>
    <row r="691" spans="1:40" s="183" customFormat="1" ht="15" customHeight="1">
      <c r="A691" s="315" t="s">
        <v>535</v>
      </c>
      <c r="B691" s="331" t="s">
        <v>320</v>
      </c>
      <c r="C691" s="332">
        <v>232946</v>
      </c>
      <c r="D691" s="324">
        <v>8</v>
      </c>
      <c r="E691" s="275">
        <v>2269</v>
      </c>
      <c r="F691" s="510">
        <f>2390+14</f>
        <v>2404</v>
      </c>
      <c r="G691" s="275">
        <v>7221</v>
      </c>
      <c r="H691" s="510">
        <f>7645+14</f>
        <v>7659</v>
      </c>
      <c r="I691" s="275"/>
      <c r="J691" s="510"/>
      <c r="K691" s="275"/>
      <c r="L691" s="510"/>
      <c r="M691" s="275"/>
      <c r="N691" s="510"/>
      <c r="O691" s="275"/>
      <c r="P691" s="510"/>
      <c r="Q691" s="275"/>
      <c r="R691" s="510"/>
      <c r="S691" s="275"/>
      <c r="T691" s="510"/>
      <c r="U691" s="275"/>
      <c r="V691" s="510"/>
      <c r="W691" s="275"/>
      <c r="X691" s="510"/>
      <c r="Y691" s="275"/>
      <c r="Z691" s="510"/>
      <c r="AA691" s="275"/>
      <c r="AB691" s="510"/>
      <c r="AC691" s="275"/>
      <c r="AD691" s="510"/>
      <c r="AE691" s="275"/>
      <c r="AF691" s="510"/>
      <c r="AG691" s="275"/>
      <c r="AH691" s="510"/>
      <c r="AI691" s="275"/>
      <c r="AJ691" s="510"/>
      <c r="AK691" s="275"/>
      <c r="AL691" s="510"/>
      <c r="AM691" s="275"/>
      <c r="AN691" s="510"/>
    </row>
    <row r="692" spans="1:40" s="183" customFormat="1" ht="15" customHeight="1">
      <c r="A692" s="315" t="s">
        <v>535</v>
      </c>
      <c r="B692" s="331" t="s">
        <v>321</v>
      </c>
      <c r="C692" s="330">
        <v>233754</v>
      </c>
      <c r="D692" s="324">
        <v>8</v>
      </c>
      <c r="E692" s="275">
        <v>2269</v>
      </c>
      <c r="F692" s="510">
        <f>2390+14</f>
        <v>2404</v>
      </c>
      <c r="G692" s="275">
        <v>7221</v>
      </c>
      <c r="H692" s="510">
        <f>7645+14</f>
        <v>7659</v>
      </c>
      <c r="I692" s="275"/>
      <c r="J692" s="510"/>
      <c r="K692" s="275"/>
      <c r="L692" s="510"/>
      <c r="M692" s="275"/>
      <c r="N692" s="510"/>
      <c r="O692" s="275"/>
      <c r="P692" s="510"/>
      <c r="Q692" s="275"/>
      <c r="R692" s="510"/>
      <c r="S692" s="275"/>
      <c r="T692" s="510"/>
      <c r="U692" s="275"/>
      <c r="V692" s="510"/>
      <c r="W692" s="275"/>
      <c r="X692" s="510"/>
      <c r="Y692" s="275"/>
      <c r="Z692" s="510"/>
      <c r="AA692" s="275"/>
      <c r="AB692" s="510"/>
      <c r="AC692" s="275"/>
      <c r="AD692" s="510"/>
      <c r="AE692" s="275"/>
      <c r="AF692" s="510"/>
      <c r="AG692" s="275"/>
      <c r="AH692" s="510"/>
      <c r="AI692" s="275"/>
      <c r="AJ692" s="510"/>
      <c r="AK692" s="275"/>
      <c r="AL692" s="510"/>
      <c r="AM692" s="275"/>
      <c r="AN692" s="510"/>
    </row>
    <row r="693" spans="1:40" s="183" customFormat="1" ht="15" customHeight="1">
      <c r="A693" s="315" t="s">
        <v>535</v>
      </c>
      <c r="B693" s="315" t="s">
        <v>322</v>
      </c>
      <c r="C693" s="330">
        <v>233772</v>
      </c>
      <c r="D693" s="324">
        <v>8</v>
      </c>
      <c r="E693" s="275">
        <v>2269</v>
      </c>
      <c r="F693" s="510">
        <f>2390+14</f>
        <v>2404</v>
      </c>
      <c r="G693" s="275">
        <v>7221</v>
      </c>
      <c r="H693" s="510">
        <f>7645+14</f>
        <v>7659</v>
      </c>
      <c r="I693" s="275"/>
      <c r="J693" s="510"/>
      <c r="K693" s="275"/>
      <c r="L693" s="510"/>
      <c r="M693" s="275"/>
      <c r="N693" s="510"/>
      <c r="O693" s="275"/>
      <c r="P693" s="510"/>
      <c r="Q693" s="275"/>
      <c r="R693" s="510"/>
      <c r="S693" s="275"/>
      <c r="T693" s="510"/>
      <c r="U693" s="275"/>
      <c r="V693" s="510"/>
      <c r="W693" s="275"/>
      <c r="X693" s="510"/>
      <c r="Y693" s="275"/>
      <c r="Z693" s="510"/>
      <c r="AA693" s="275"/>
      <c r="AB693" s="510"/>
      <c r="AC693" s="275"/>
      <c r="AD693" s="510"/>
      <c r="AE693" s="275"/>
      <c r="AF693" s="510"/>
      <c r="AG693" s="275"/>
      <c r="AH693" s="510"/>
      <c r="AI693" s="275"/>
      <c r="AJ693" s="510"/>
      <c r="AK693" s="275"/>
      <c r="AL693" s="510"/>
      <c r="AM693" s="275"/>
      <c r="AN693" s="510"/>
    </row>
    <row r="694" spans="1:40" s="183" customFormat="1" ht="15" customHeight="1">
      <c r="A694" s="315" t="s">
        <v>535</v>
      </c>
      <c r="B694" s="315" t="s">
        <v>323</v>
      </c>
      <c r="C694" s="330">
        <v>231536</v>
      </c>
      <c r="D694" s="324">
        <v>9</v>
      </c>
      <c r="E694" s="275">
        <v>2269</v>
      </c>
      <c r="F694" s="510">
        <f>2390+14</f>
        <v>2404</v>
      </c>
      <c r="G694" s="275">
        <v>7221</v>
      </c>
      <c r="H694" s="510">
        <f>7645+14</f>
        <v>7659</v>
      </c>
      <c r="I694" s="275"/>
      <c r="J694" s="510"/>
      <c r="K694" s="275"/>
      <c r="L694" s="510"/>
      <c r="M694" s="275"/>
      <c r="N694" s="510"/>
      <c r="O694" s="275"/>
      <c r="P694" s="510"/>
      <c r="Q694" s="275"/>
      <c r="R694" s="510"/>
      <c r="S694" s="275"/>
      <c r="T694" s="510"/>
      <c r="U694" s="275"/>
      <c r="V694" s="510"/>
      <c r="W694" s="275"/>
      <c r="X694" s="510"/>
      <c r="Y694" s="275"/>
      <c r="Z694" s="510"/>
      <c r="AA694" s="275"/>
      <c r="AB694" s="510"/>
      <c r="AC694" s="275"/>
      <c r="AD694" s="510"/>
      <c r="AE694" s="275"/>
      <c r="AF694" s="510"/>
      <c r="AG694" s="275"/>
      <c r="AH694" s="510"/>
      <c r="AI694" s="275"/>
      <c r="AJ694" s="510"/>
      <c r="AK694" s="275"/>
      <c r="AL694" s="510"/>
      <c r="AM694" s="275"/>
      <c r="AN694" s="510"/>
    </row>
    <row r="695" spans="1:40" s="183" customFormat="1" ht="15" customHeight="1">
      <c r="A695" s="315" t="s">
        <v>535</v>
      </c>
      <c r="B695" s="315" t="s">
        <v>324</v>
      </c>
      <c r="C695" s="330">
        <v>231697</v>
      </c>
      <c r="D695" s="324">
        <v>9</v>
      </c>
      <c r="E695" s="275">
        <v>2269</v>
      </c>
      <c r="F695" s="510">
        <f>2390+14</f>
        <v>2404</v>
      </c>
      <c r="G695" s="275">
        <v>7221</v>
      </c>
      <c r="H695" s="510">
        <f>7645+14</f>
        <v>7659</v>
      </c>
      <c r="I695" s="275"/>
      <c r="J695" s="510"/>
      <c r="K695" s="275"/>
      <c r="L695" s="510"/>
      <c r="M695" s="275"/>
      <c r="N695" s="510"/>
      <c r="O695" s="275"/>
      <c r="P695" s="510"/>
      <c r="Q695" s="275"/>
      <c r="R695" s="510"/>
      <c r="S695" s="275"/>
      <c r="T695" s="510"/>
      <c r="U695" s="275"/>
      <c r="V695" s="510"/>
      <c r="W695" s="275"/>
      <c r="X695" s="510"/>
      <c r="Y695" s="275"/>
      <c r="Z695" s="510"/>
      <c r="AA695" s="275"/>
      <c r="AB695" s="510"/>
      <c r="AC695" s="275"/>
      <c r="AD695" s="510"/>
      <c r="AE695" s="275"/>
      <c r="AF695" s="510"/>
      <c r="AG695" s="275"/>
      <c r="AH695" s="510"/>
      <c r="AI695" s="275"/>
      <c r="AJ695" s="510"/>
      <c r="AK695" s="275"/>
      <c r="AL695" s="510"/>
      <c r="AM695" s="275"/>
      <c r="AN695" s="510"/>
    </row>
    <row r="696" spans="1:40" s="183" customFormat="1" ht="15" customHeight="1">
      <c r="A696" s="315" t="s">
        <v>535</v>
      </c>
      <c r="B696" s="315" t="s">
        <v>325</v>
      </c>
      <c r="C696" s="330">
        <v>231882</v>
      </c>
      <c r="D696" s="324">
        <v>9</v>
      </c>
      <c r="E696" s="275">
        <v>2269</v>
      </c>
      <c r="F696" s="510">
        <f>2390+14</f>
        <v>2404</v>
      </c>
      <c r="G696" s="275">
        <v>7221</v>
      </c>
      <c r="H696" s="510">
        <f>7645+14</f>
        <v>7659</v>
      </c>
      <c r="I696" s="275"/>
      <c r="J696" s="510"/>
      <c r="K696" s="275"/>
      <c r="L696" s="510"/>
      <c r="M696" s="275"/>
      <c r="N696" s="510"/>
      <c r="O696" s="275"/>
      <c r="P696" s="510"/>
      <c r="Q696" s="275"/>
      <c r="R696" s="510"/>
      <c r="S696" s="275"/>
      <c r="T696" s="510"/>
      <c r="U696" s="275"/>
      <c r="V696" s="510"/>
      <c r="W696" s="275"/>
      <c r="X696" s="510"/>
      <c r="Y696" s="275"/>
      <c r="Z696" s="510"/>
      <c r="AA696" s="275"/>
      <c r="AB696" s="510"/>
      <c r="AC696" s="275"/>
      <c r="AD696" s="510"/>
      <c r="AE696" s="275"/>
      <c r="AF696" s="510"/>
      <c r="AG696" s="275"/>
      <c r="AH696" s="510"/>
      <c r="AI696" s="275"/>
      <c r="AJ696" s="510"/>
      <c r="AK696" s="275"/>
      <c r="AL696" s="510"/>
      <c r="AM696" s="275"/>
      <c r="AN696" s="510"/>
    </row>
    <row r="697" spans="1:40" s="183" customFormat="1" ht="15" customHeight="1">
      <c r="A697" s="315" t="s">
        <v>535</v>
      </c>
      <c r="B697" s="331" t="s">
        <v>326</v>
      </c>
      <c r="C697" s="332">
        <v>232195</v>
      </c>
      <c r="D697" s="324">
        <v>9</v>
      </c>
      <c r="E697" s="275">
        <v>2269</v>
      </c>
      <c r="F697" s="510">
        <f>2390+14</f>
        <v>2404</v>
      </c>
      <c r="G697" s="275">
        <v>7221</v>
      </c>
      <c r="H697" s="510">
        <f>7645+14</f>
        <v>7659</v>
      </c>
      <c r="I697" s="275"/>
      <c r="J697" s="510"/>
      <c r="K697" s="275"/>
      <c r="L697" s="510"/>
      <c r="M697" s="275"/>
      <c r="N697" s="510"/>
      <c r="O697" s="275"/>
      <c r="P697" s="510"/>
      <c r="Q697" s="275"/>
      <c r="R697" s="510"/>
      <c r="S697" s="275"/>
      <c r="T697" s="510"/>
      <c r="U697" s="275"/>
      <c r="V697" s="510"/>
      <c r="W697" s="275"/>
      <c r="X697" s="510"/>
      <c r="Y697" s="275"/>
      <c r="Z697" s="510"/>
      <c r="AA697" s="275"/>
      <c r="AB697" s="510"/>
      <c r="AC697" s="275"/>
      <c r="AD697" s="510"/>
      <c r="AE697" s="275"/>
      <c r="AF697" s="510"/>
      <c r="AG697" s="275"/>
      <c r="AH697" s="510"/>
      <c r="AI697" s="275"/>
      <c r="AJ697" s="510"/>
      <c r="AK697" s="275"/>
      <c r="AL697" s="510"/>
      <c r="AM697" s="275"/>
      <c r="AN697" s="510"/>
    </row>
    <row r="698" spans="1:40" s="183" customFormat="1" ht="15" customHeight="1">
      <c r="A698" s="315" t="s">
        <v>535</v>
      </c>
      <c r="B698" s="331" t="s">
        <v>327</v>
      </c>
      <c r="C698" s="332">
        <v>232450</v>
      </c>
      <c r="D698" s="324">
        <v>9</v>
      </c>
      <c r="E698" s="275">
        <v>2269</v>
      </c>
      <c r="F698" s="510">
        <f>2390+14</f>
        <v>2404</v>
      </c>
      <c r="G698" s="275">
        <v>7221</v>
      </c>
      <c r="H698" s="510">
        <f>7645+14</f>
        <v>7659</v>
      </c>
      <c r="I698" s="275"/>
      <c r="J698" s="510"/>
      <c r="K698" s="275"/>
      <c r="L698" s="510"/>
      <c r="M698" s="275"/>
      <c r="N698" s="510"/>
      <c r="O698" s="275"/>
      <c r="P698" s="510"/>
      <c r="Q698" s="275"/>
      <c r="R698" s="510"/>
      <c r="S698" s="275"/>
      <c r="T698" s="510"/>
      <c r="U698" s="275"/>
      <c r="V698" s="510"/>
      <c r="W698" s="275"/>
      <c r="X698" s="510"/>
      <c r="Y698" s="275"/>
      <c r="Z698" s="510"/>
      <c r="AA698" s="275"/>
      <c r="AB698" s="510"/>
      <c r="AC698" s="275"/>
      <c r="AD698" s="510"/>
      <c r="AE698" s="275"/>
      <c r="AF698" s="510"/>
      <c r="AG698" s="275"/>
      <c r="AH698" s="510"/>
      <c r="AI698" s="275"/>
      <c r="AJ698" s="510"/>
      <c r="AK698" s="275"/>
      <c r="AL698" s="510"/>
      <c r="AM698" s="275"/>
      <c r="AN698" s="510"/>
    </row>
    <row r="699" spans="1:40" s="183" customFormat="1" ht="15" customHeight="1">
      <c r="A699" s="315" t="s">
        <v>535</v>
      </c>
      <c r="B699" s="331" t="s">
        <v>328</v>
      </c>
      <c r="C699" s="332">
        <v>232575</v>
      </c>
      <c r="D699" s="324">
        <v>9</v>
      </c>
      <c r="E699" s="275">
        <v>2269</v>
      </c>
      <c r="F699" s="510">
        <f>2390+14</f>
        <v>2404</v>
      </c>
      <c r="G699" s="275">
        <v>7221</v>
      </c>
      <c r="H699" s="510">
        <f>7645+14</f>
        <v>7659</v>
      </c>
      <c r="I699" s="275"/>
      <c r="J699" s="510"/>
      <c r="K699" s="275"/>
      <c r="L699" s="510"/>
      <c r="M699" s="275"/>
      <c r="N699" s="510"/>
      <c r="O699" s="275"/>
      <c r="P699" s="510"/>
      <c r="Q699" s="275"/>
      <c r="R699" s="510"/>
      <c r="S699" s="275"/>
      <c r="T699" s="510"/>
      <c r="U699" s="275"/>
      <c r="V699" s="510"/>
      <c r="W699" s="275"/>
      <c r="X699" s="510"/>
      <c r="Y699" s="275"/>
      <c r="Z699" s="510"/>
      <c r="AA699" s="275"/>
      <c r="AB699" s="510"/>
      <c r="AC699" s="275"/>
      <c r="AD699" s="510"/>
      <c r="AE699" s="275"/>
      <c r="AF699" s="510"/>
      <c r="AG699" s="275"/>
      <c r="AH699" s="510"/>
      <c r="AI699" s="275"/>
      <c r="AJ699" s="510"/>
      <c r="AK699" s="275"/>
      <c r="AL699" s="510"/>
      <c r="AM699" s="275"/>
      <c r="AN699" s="510"/>
    </row>
    <row r="700" spans="1:40" s="183" customFormat="1" ht="15" customHeight="1">
      <c r="A700" s="315" t="s">
        <v>535</v>
      </c>
      <c r="B700" s="331" t="s">
        <v>329</v>
      </c>
      <c r="C700" s="332">
        <v>232867</v>
      </c>
      <c r="D700" s="324">
        <v>9</v>
      </c>
      <c r="E700" s="275">
        <v>2269</v>
      </c>
      <c r="F700" s="510">
        <f>2390+14</f>
        <v>2404</v>
      </c>
      <c r="G700" s="275">
        <v>7221</v>
      </c>
      <c r="H700" s="510">
        <f>7645+14</f>
        <v>7659</v>
      </c>
      <c r="I700" s="275"/>
      <c r="J700" s="510"/>
      <c r="K700" s="275"/>
      <c r="L700" s="510"/>
      <c r="M700" s="275"/>
      <c r="N700" s="510"/>
      <c r="O700" s="275"/>
      <c r="P700" s="510"/>
      <c r="Q700" s="275"/>
      <c r="R700" s="510"/>
      <c r="S700" s="275"/>
      <c r="T700" s="510"/>
      <c r="U700" s="275"/>
      <c r="V700" s="510"/>
      <c r="W700" s="275"/>
      <c r="X700" s="510"/>
      <c r="Y700" s="275"/>
      <c r="Z700" s="510"/>
      <c r="AA700" s="275"/>
      <c r="AB700" s="510"/>
      <c r="AC700" s="275"/>
      <c r="AD700" s="510"/>
      <c r="AE700" s="275"/>
      <c r="AF700" s="510"/>
      <c r="AG700" s="275"/>
      <c r="AH700" s="510"/>
      <c r="AI700" s="275"/>
      <c r="AJ700" s="510"/>
      <c r="AK700" s="275"/>
      <c r="AL700" s="510"/>
      <c r="AM700" s="275"/>
      <c r="AN700" s="510"/>
    </row>
    <row r="701" spans="1:40" s="183" customFormat="1" ht="15" customHeight="1">
      <c r="A701" s="315" t="s">
        <v>535</v>
      </c>
      <c r="B701" s="456" t="s">
        <v>330</v>
      </c>
      <c r="C701" s="333">
        <v>233019</v>
      </c>
      <c r="D701" s="321">
        <v>9</v>
      </c>
      <c r="E701" s="275">
        <v>2269</v>
      </c>
      <c r="F701" s="510">
        <f>2390+14</f>
        <v>2404</v>
      </c>
      <c r="G701" s="275">
        <v>7221</v>
      </c>
      <c r="H701" s="510">
        <f>7645+14</f>
        <v>7659</v>
      </c>
      <c r="I701" s="275"/>
      <c r="J701" s="510"/>
      <c r="K701" s="275"/>
      <c r="L701" s="510"/>
      <c r="M701" s="275"/>
      <c r="N701" s="510"/>
      <c r="O701" s="275"/>
      <c r="P701" s="510"/>
      <c r="Q701" s="275"/>
      <c r="R701" s="510"/>
      <c r="S701" s="275"/>
      <c r="T701" s="510"/>
      <c r="U701" s="275"/>
      <c r="V701" s="510"/>
      <c r="W701" s="275"/>
      <c r="X701" s="510"/>
      <c r="Y701" s="275"/>
      <c r="Z701" s="510"/>
      <c r="AA701" s="275"/>
      <c r="AB701" s="510"/>
      <c r="AC701" s="275"/>
      <c r="AD701" s="510"/>
      <c r="AE701" s="275"/>
      <c r="AF701" s="510"/>
      <c r="AG701" s="275"/>
      <c r="AH701" s="510"/>
      <c r="AI701" s="275"/>
      <c r="AJ701" s="510"/>
      <c r="AK701" s="275"/>
      <c r="AL701" s="510"/>
      <c r="AM701" s="275"/>
      <c r="AN701" s="510"/>
    </row>
    <row r="702" spans="1:40" s="183" customFormat="1" ht="15" customHeight="1">
      <c r="A702" s="315" t="s">
        <v>535</v>
      </c>
      <c r="B702" s="315" t="s">
        <v>331</v>
      </c>
      <c r="C702" s="330">
        <v>233116</v>
      </c>
      <c r="D702" s="324">
        <v>9</v>
      </c>
      <c r="E702" s="275">
        <v>2269</v>
      </c>
      <c r="F702" s="510">
        <f>2390+14</f>
        <v>2404</v>
      </c>
      <c r="G702" s="275">
        <v>7221</v>
      </c>
      <c r="H702" s="510">
        <f>7645+14</f>
        <v>7659</v>
      </c>
      <c r="I702" s="275"/>
      <c r="J702" s="510"/>
      <c r="K702" s="275"/>
      <c r="L702" s="510"/>
      <c r="M702" s="275"/>
      <c r="N702" s="510"/>
      <c r="O702" s="275"/>
      <c r="P702" s="510"/>
      <c r="Q702" s="275"/>
      <c r="R702" s="510"/>
      <c r="S702" s="275"/>
      <c r="T702" s="510"/>
      <c r="U702" s="275"/>
      <c r="V702" s="510"/>
      <c r="W702" s="275"/>
      <c r="X702" s="510"/>
      <c r="Y702" s="275"/>
      <c r="Z702" s="510"/>
      <c r="AA702" s="275"/>
      <c r="AB702" s="510"/>
      <c r="AC702" s="275"/>
      <c r="AD702" s="510"/>
      <c r="AE702" s="275"/>
      <c r="AF702" s="510"/>
      <c r="AG702" s="275"/>
      <c r="AH702" s="510"/>
      <c r="AI702" s="275"/>
      <c r="AJ702" s="510"/>
      <c r="AK702" s="275"/>
      <c r="AL702" s="510"/>
      <c r="AM702" s="275"/>
      <c r="AN702" s="510"/>
    </row>
    <row r="703" spans="1:40" s="183" customFormat="1" ht="15" customHeight="1">
      <c r="A703" s="315" t="s">
        <v>535</v>
      </c>
      <c r="B703" s="315" t="s">
        <v>332</v>
      </c>
      <c r="C703" s="330">
        <v>233639</v>
      </c>
      <c r="D703" s="324">
        <v>9</v>
      </c>
      <c r="E703" s="275">
        <v>2269</v>
      </c>
      <c r="F703" s="510">
        <f>2390+14</f>
        <v>2404</v>
      </c>
      <c r="G703" s="275">
        <v>7221</v>
      </c>
      <c r="H703" s="510">
        <f>7645+14</f>
        <v>7659</v>
      </c>
      <c r="I703" s="275"/>
      <c r="J703" s="510"/>
      <c r="K703" s="275"/>
      <c r="L703" s="510"/>
      <c r="M703" s="275"/>
      <c r="N703" s="510"/>
      <c r="O703" s="275"/>
      <c r="P703" s="510"/>
      <c r="Q703" s="275"/>
      <c r="R703" s="510"/>
      <c r="S703" s="275"/>
      <c r="T703" s="510"/>
      <c r="U703" s="275"/>
      <c r="V703" s="510"/>
      <c r="W703" s="275"/>
      <c r="X703" s="510"/>
      <c r="Y703" s="275"/>
      <c r="Z703" s="510"/>
      <c r="AA703" s="275"/>
      <c r="AB703" s="510"/>
      <c r="AC703" s="275"/>
      <c r="AD703" s="510"/>
      <c r="AE703" s="275"/>
      <c r="AF703" s="510"/>
      <c r="AG703" s="275"/>
      <c r="AH703" s="510"/>
      <c r="AI703" s="275"/>
      <c r="AJ703" s="510"/>
      <c r="AK703" s="275"/>
      <c r="AL703" s="510"/>
      <c r="AM703" s="275"/>
      <c r="AN703" s="510"/>
    </row>
    <row r="704" spans="1:40" s="183" customFormat="1" ht="15" customHeight="1">
      <c r="A704" s="315" t="s">
        <v>535</v>
      </c>
      <c r="B704" s="315" t="s">
        <v>333</v>
      </c>
      <c r="C704" s="330">
        <v>233648</v>
      </c>
      <c r="D704" s="324">
        <v>9</v>
      </c>
      <c r="E704" s="275">
        <v>2269</v>
      </c>
      <c r="F704" s="510">
        <f>2390+14</f>
        <v>2404</v>
      </c>
      <c r="G704" s="275">
        <v>7221</v>
      </c>
      <c r="H704" s="510">
        <f>7645+14</f>
        <v>7659</v>
      </c>
      <c r="I704" s="275"/>
      <c r="J704" s="510"/>
      <c r="K704" s="275"/>
      <c r="L704" s="510"/>
      <c r="M704" s="275"/>
      <c r="N704" s="510"/>
      <c r="O704" s="275"/>
      <c r="P704" s="510"/>
      <c r="Q704" s="275"/>
      <c r="R704" s="510"/>
      <c r="S704" s="275"/>
      <c r="T704" s="510"/>
      <c r="U704" s="275"/>
      <c r="V704" s="510"/>
      <c r="W704" s="275"/>
      <c r="X704" s="510"/>
      <c r="Y704" s="275"/>
      <c r="Z704" s="510"/>
      <c r="AA704" s="275"/>
      <c r="AB704" s="510"/>
      <c r="AC704" s="275"/>
      <c r="AD704" s="510"/>
      <c r="AE704" s="275"/>
      <c r="AF704" s="510"/>
      <c r="AG704" s="275"/>
      <c r="AH704" s="510"/>
      <c r="AI704" s="275"/>
      <c r="AJ704" s="510"/>
      <c r="AK704" s="275"/>
      <c r="AL704" s="510"/>
      <c r="AM704" s="275"/>
      <c r="AN704" s="510"/>
    </row>
    <row r="705" spans="1:40" s="183" customFormat="1" ht="15" customHeight="1">
      <c r="A705" s="315" t="s">
        <v>535</v>
      </c>
      <c r="B705" s="315" t="s">
        <v>334</v>
      </c>
      <c r="C705" s="330">
        <v>233949</v>
      </c>
      <c r="D705" s="324">
        <v>9</v>
      </c>
      <c r="E705" s="275">
        <v>2269</v>
      </c>
      <c r="F705" s="510">
        <f>2390+14</f>
        <v>2404</v>
      </c>
      <c r="G705" s="275">
        <v>7221</v>
      </c>
      <c r="H705" s="510">
        <f>7645+14</f>
        <v>7659</v>
      </c>
      <c r="I705" s="275"/>
      <c r="J705" s="510"/>
      <c r="K705" s="275"/>
      <c r="L705" s="510"/>
      <c r="M705" s="275"/>
      <c r="N705" s="510"/>
      <c r="O705" s="275"/>
      <c r="P705" s="510"/>
      <c r="Q705" s="275"/>
      <c r="R705" s="510"/>
      <c r="S705" s="275"/>
      <c r="T705" s="510"/>
      <c r="U705" s="275"/>
      <c r="V705" s="510"/>
      <c r="W705" s="275"/>
      <c r="X705" s="510"/>
      <c r="Y705" s="275"/>
      <c r="Z705" s="510"/>
      <c r="AA705" s="275"/>
      <c r="AB705" s="510"/>
      <c r="AC705" s="275"/>
      <c r="AD705" s="510"/>
      <c r="AE705" s="275"/>
      <c r="AF705" s="510"/>
      <c r="AG705" s="275"/>
      <c r="AH705" s="510"/>
      <c r="AI705" s="275"/>
      <c r="AJ705" s="510"/>
      <c r="AK705" s="275"/>
      <c r="AL705" s="510"/>
      <c r="AM705" s="275"/>
      <c r="AN705" s="510"/>
    </row>
    <row r="706" spans="1:40" s="183" customFormat="1" ht="15" customHeight="1">
      <c r="A706" s="315" t="s">
        <v>535</v>
      </c>
      <c r="B706" s="315" t="s">
        <v>335</v>
      </c>
      <c r="C706" s="330">
        <v>231873</v>
      </c>
      <c r="D706" s="324">
        <v>10</v>
      </c>
      <c r="E706" s="275">
        <v>2269</v>
      </c>
      <c r="F706" s="510">
        <f>2390+14</f>
        <v>2404</v>
      </c>
      <c r="G706" s="275">
        <v>7221</v>
      </c>
      <c r="H706" s="510">
        <f>7645+14</f>
        <v>7659</v>
      </c>
      <c r="I706" s="275"/>
      <c r="J706" s="510"/>
      <c r="K706" s="275"/>
      <c r="L706" s="510"/>
      <c r="M706" s="275"/>
      <c r="N706" s="510"/>
      <c r="O706" s="275"/>
      <c r="P706" s="510"/>
      <c r="Q706" s="275"/>
      <c r="R706" s="510"/>
      <c r="S706" s="275"/>
      <c r="T706" s="510"/>
      <c r="U706" s="275"/>
      <c r="V706" s="510"/>
      <c r="W706" s="275"/>
      <c r="X706" s="510"/>
      <c r="Y706" s="275"/>
      <c r="Z706" s="510"/>
      <c r="AA706" s="275"/>
      <c r="AB706" s="510"/>
      <c r="AC706" s="275"/>
      <c r="AD706" s="510"/>
      <c r="AE706" s="275"/>
      <c r="AF706" s="510"/>
      <c r="AG706" s="275"/>
      <c r="AH706" s="510"/>
      <c r="AI706" s="275"/>
      <c r="AJ706" s="510"/>
      <c r="AK706" s="275"/>
      <c r="AL706" s="510"/>
      <c r="AM706" s="275"/>
      <c r="AN706" s="510"/>
    </row>
    <row r="707" spans="1:40" s="183" customFormat="1" ht="15" customHeight="1">
      <c r="A707" s="315" t="s">
        <v>535</v>
      </c>
      <c r="B707" s="315" t="s">
        <v>336</v>
      </c>
      <c r="C707" s="330">
        <v>232052</v>
      </c>
      <c r="D707" s="324">
        <v>10</v>
      </c>
      <c r="E707" s="275">
        <v>2269</v>
      </c>
      <c r="F707" s="510">
        <f>2390+14</f>
        <v>2404</v>
      </c>
      <c r="G707" s="275">
        <v>7221</v>
      </c>
      <c r="H707" s="510">
        <f>7645+14</f>
        <v>7659</v>
      </c>
      <c r="I707" s="275"/>
      <c r="J707" s="510"/>
      <c r="K707" s="275"/>
      <c r="L707" s="510"/>
      <c r="M707" s="275"/>
      <c r="N707" s="510"/>
      <c r="O707" s="275"/>
      <c r="P707" s="510"/>
      <c r="Q707" s="275"/>
      <c r="R707" s="510"/>
      <c r="S707" s="275"/>
      <c r="T707" s="510"/>
      <c r="U707" s="275"/>
      <c r="V707" s="510"/>
      <c r="W707" s="275"/>
      <c r="X707" s="510"/>
      <c r="Y707" s="275"/>
      <c r="Z707" s="510"/>
      <c r="AA707" s="275"/>
      <c r="AB707" s="510"/>
      <c r="AC707" s="275"/>
      <c r="AD707" s="510"/>
      <c r="AE707" s="275"/>
      <c r="AF707" s="510"/>
      <c r="AG707" s="275"/>
      <c r="AH707" s="510"/>
      <c r="AI707" s="275"/>
      <c r="AJ707" s="510"/>
      <c r="AK707" s="275"/>
      <c r="AL707" s="510"/>
      <c r="AM707" s="275"/>
      <c r="AN707" s="510"/>
    </row>
    <row r="708" spans="1:40" s="183" customFormat="1" ht="15" customHeight="1">
      <c r="A708" s="315" t="s">
        <v>535</v>
      </c>
      <c r="B708" s="331" t="s">
        <v>337</v>
      </c>
      <c r="C708" s="332">
        <v>232788</v>
      </c>
      <c r="D708" s="324">
        <v>10</v>
      </c>
      <c r="E708" s="275">
        <v>2269</v>
      </c>
      <c r="F708" s="510">
        <f>2390+14</f>
        <v>2404</v>
      </c>
      <c r="G708" s="275">
        <v>7221</v>
      </c>
      <c r="H708" s="510">
        <f>7645+14</f>
        <v>7659</v>
      </c>
      <c r="I708" s="275"/>
      <c r="J708" s="510"/>
      <c r="K708" s="275"/>
      <c r="L708" s="510"/>
      <c r="M708" s="275"/>
      <c r="N708" s="510"/>
      <c r="O708" s="275"/>
      <c r="P708" s="510"/>
      <c r="Q708" s="275"/>
      <c r="R708" s="510"/>
      <c r="S708" s="275"/>
      <c r="T708" s="510"/>
      <c r="U708" s="275"/>
      <c r="V708" s="510"/>
      <c r="W708" s="275"/>
      <c r="X708" s="510"/>
      <c r="Y708" s="275"/>
      <c r="Z708" s="510"/>
      <c r="AA708" s="275"/>
      <c r="AB708" s="510"/>
      <c r="AC708" s="275"/>
      <c r="AD708" s="510"/>
      <c r="AE708" s="275"/>
      <c r="AF708" s="510"/>
      <c r="AG708" s="275"/>
      <c r="AH708" s="510"/>
      <c r="AI708" s="275"/>
      <c r="AJ708" s="510"/>
      <c r="AK708" s="275"/>
      <c r="AL708" s="510"/>
      <c r="AM708" s="275"/>
      <c r="AN708" s="510"/>
    </row>
    <row r="709" spans="1:40" s="183" customFormat="1" ht="15" customHeight="1">
      <c r="A709" s="315" t="s">
        <v>535</v>
      </c>
      <c r="B709" s="315" t="s">
        <v>338</v>
      </c>
      <c r="C709" s="330">
        <v>233037</v>
      </c>
      <c r="D709" s="324">
        <v>10</v>
      </c>
      <c r="E709" s="275">
        <v>2269</v>
      </c>
      <c r="F709" s="510">
        <f>2390+14</f>
        <v>2404</v>
      </c>
      <c r="G709" s="275">
        <v>7221</v>
      </c>
      <c r="H709" s="510">
        <f>7645+14</f>
        <v>7659</v>
      </c>
      <c r="I709" s="275"/>
      <c r="J709" s="510"/>
      <c r="K709" s="275"/>
      <c r="L709" s="510"/>
      <c r="M709" s="275"/>
      <c r="N709" s="510"/>
      <c r="O709" s="275"/>
      <c r="P709" s="510"/>
      <c r="Q709" s="275"/>
      <c r="R709" s="510"/>
      <c r="S709" s="275"/>
      <c r="T709" s="510"/>
      <c r="U709" s="275"/>
      <c r="V709" s="510"/>
      <c r="W709" s="275"/>
      <c r="X709" s="510"/>
      <c r="Y709" s="275"/>
      <c r="Z709" s="510"/>
      <c r="AA709" s="275"/>
      <c r="AB709" s="510"/>
      <c r="AC709" s="275"/>
      <c r="AD709" s="510"/>
      <c r="AE709" s="275"/>
      <c r="AF709" s="510"/>
      <c r="AG709" s="275"/>
      <c r="AH709" s="510"/>
      <c r="AI709" s="275"/>
      <c r="AJ709" s="510"/>
      <c r="AK709" s="275"/>
      <c r="AL709" s="510"/>
      <c r="AM709" s="275"/>
      <c r="AN709" s="510"/>
    </row>
    <row r="710" spans="1:40" s="183" customFormat="1" ht="15" customHeight="1">
      <c r="A710" s="315" t="s">
        <v>535</v>
      </c>
      <c r="B710" s="315" t="s">
        <v>339</v>
      </c>
      <c r="C710" s="330">
        <v>233310</v>
      </c>
      <c r="D710" s="324">
        <v>10</v>
      </c>
      <c r="E710" s="275">
        <v>2269</v>
      </c>
      <c r="F710" s="510">
        <f>2390+14</f>
        <v>2404</v>
      </c>
      <c r="G710" s="275">
        <v>7221</v>
      </c>
      <c r="H710" s="510">
        <f>7645+14</f>
        <v>7659</v>
      </c>
      <c r="I710" s="275"/>
      <c r="J710" s="510"/>
      <c r="K710" s="275"/>
      <c r="L710" s="510"/>
      <c r="M710" s="275"/>
      <c r="N710" s="510"/>
      <c r="O710" s="275"/>
      <c r="P710" s="510"/>
      <c r="Q710" s="275"/>
      <c r="R710" s="510"/>
      <c r="S710" s="275"/>
      <c r="T710" s="510"/>
      <c r="U710" s="275"/>
      <c r="V710" s="510"/>
      <c r="W710" s="275"/>
      <c r="X710" s="510"/>
      <c r="Y710" s="275"/>
      <c r="Z710" s="510"/>
      <c r="AA710" s="275"/>
      <c r="AB710" s="510"/>
      <c r="AC710" s="275"/>
      <c r="AD710" s="510"/>
      <c r="AE710" s="275"/>
      <c r="AF710" s="510"/>
      <c r="AG710" s="275"/>
      <c r="AH710" s="510"/>
      <c r="AI710" s="275"/>
      <c r="AJ710" s="510"/>
      <c r="AK710" s="275"/>
      <c r="AL710" s="510"/>
      <c r="AM710" s="275"/>
      <c r="AN710" s="510"/>
    </row>
    <row r="711" spans="1:40" s="183" customFormat="1" ht="15" customHeight="1">
      <c r="A711" s="315" t="s">
        <v>535</v>
      </c>
      <c r="B711" s="315" t="s">
        <v>340</v>
      </c>
      <c r="C711" s="330">
        <v>233338</v>
      </c>
      <c r="D711" s="324">
        <v>10</v>
      </c>
      <c r="E711" s="275">
        <v>2520</v>
      </c>
      <c r="F711" s="510">
        <f>2514+130</f>
        <v>2644</v>
      </c>
      <c r="G711" s="275">
        <v>10286</v>
      </c>
      <c r="H711" s="510">
        <f>10672+130</f>
        <v>10802</v>
      </c>
      <c r="I711" s="275"/>
      <c r="J711" s="510"/>
      <c r="K711" s="275"/>
      <c r="L711" s="510"/>
      <c r="M711" s="275"/>
      <c r="N711" s="510"/>
      <c r="O711" s="275"/>
      <c r="P711" s="510"/>
      <c r="Q711" s="275"/>
      <c r="R711" s="510"/>
      <c r="S711" s="275"/>
      <c r="T711" s="510"/>
      <c r="U711" s="275"/>
      <c r="V711" s="510"/>
      <c r="W711" s="275"/>
      <c r="X711" s="510"/>
      <c r="Y711" s="275"/>
      <c r="Z711" s="510"/>
      <c r="AA711" s="275"/>
      <c r="AB711" s="510"/>
      <c r="AC711" s="275"/>
      <c r="AD711" s="510"/>
      <c r="AE711" s="275"/>
      <c r="AF711" s="510"/>
      <c r="AG711" s="275"/>
      <c r="AH711" s="510"/>
      <c r="AI711" s="275"/>
      <c r="AJ711" s="510"/>
      <c r="AK711" s="275"/>
      <c r="AL711" s="510"/>
      <c r="AM711" s="275"/>
      <c r="AN711" s="510"/>
    </row>
    <row r="712" spans="1:40" s="183" customFormat="1" ht="15" customHeight="1">
      <c r="A712" s="315" t="s">
        <v>535</v>
      </c>
      <c r="B712" s="315" t="s">
        <v>341</v>
      </c>
      <c r="C712" s="330">
        <v>233903</v>
      </c>
      <c r="D712" s="324">
        <v>10</v>
      </c>
      <c r="E712" s="275">
        <v>2269</v>
      </c>
      <c r="F712" s="510">
        <f>2390+14</f>
        <v>2404</v>
      </c>
      <c r="G712" s="275">
        <v>7221</v>
      </c>
      <c r="H712" s="510">
        <f>7645+14</f>
        <v>7659</v>
      </c>
      <c r="I712" s="275"/>
      <c r="J712" s="510"/>
      <c r="K712" s="275"/>
      <c r="L712" s="510"/>
      <c r="M712" s="275"/>
      <c r="N712" s="510"/>
      <c r="O712" s="275"/>
      <c r="P712" s="510"/>
      <c r="Q712" s="275"/>
      <c r="R712" s="510"/>
      <c r="S712" s="275"/>
      <c r="T712" s="510"/>
      <c r="U712" s="275"/>
      <c r="V712" s="510"/>
      <c r="W712" s="275"/>
      <c r="X712" s="510"/>
      <c r="Y712" s="275"/>
      <c r="Z712" s="510"/>
      <c r="AA712" s="275"/>
      <c r="AB712" s="510"/>
      <c r="AC712" s="275"/>
      <c r="AD712" s="510"/>
      <c r="AE712" s="275"/>
      <c r="AF712" s="510"/>
      <c r="AG712" s="275"/>
      <c r="AH712" s="510"/>
      <c r="AI712" s="275"/>
      <c r="AJ712" s="510"/>
      <c r="AK712" s="275"/>
      <c r="AL712" s="510"/>
      <c r="AM712" s="275"/>
      <c r="AN712" s="510"/>
    </row>
    <row r="713" spans="1:40" s="183" customFormat="1" ht="15" customHeight="1">
      <c r="A713" s="315" t="s">
        <v>535</v>
      </c>
      <c r="B713" s="315" t="s">
        <v>342</v>
      </c>
      <c r="C713" s="330">
        <v>234377</v>
      </c>
      <c r="D713" s="324">
        <v>10</v>
      </c>
      <c r="E713" s="275">
        <v>2269</v>
      </c>
      <c r="F713" s="510">
        <f>2390+14</f>
        <v>2404</v>
      </c>
      <c r="G713" s="275">
        <v>7221</v>
      </c>
      <c r="H713" s="510">
        <f>7645+14</f>
        <v>7659</v>
      </c>
      <c r="I713" s="275"/>
      <c r="J713" s="510"/>
      <c r="K713" s="275"/>
      <c r="L713" s="510"/>
      <c r="M713" s="275"/>
      <c r="N713" s="510"/>
      <c r="O713" s="275"/>
      <c r="P713" s="510"/>
      <c r="Q713" s="275"/>
      <c r="R713" s="510"/>
      <c r="S713" s="275"/>
      <c r="T713" s="510"/>
      <c r="U713" s="275"/>
      <c r="V713" s="510"/>
      <c r="W713" s="275"/>
      <c r="X713" s="510"/>
      <c r="Y713" s="275"/>
      <c r="Z713" s="510"/>
      <c r="AA713" s="275"/>
      <c r="AB713" s="510"/>
      <c r="AC713" s="275"/>
      <c r="AD713" s="510"/>
      <c r="AE713" s="275"/>
      <c r="AF713" s="510"/>
      <c r="AG713" s="275"/>
      <c r="AH713" s="510"/>
      <c r="AI713" s="275"/>
      <c r="AJ713" s="510"/>
      <c r="AK713" s="275"/>
      <c r="AL713" s="510"/>
      <c r="AM713" s="275"/>
      <c r="AN713" s="510"/>
    </row>
    <row r="714" spans="1:40" s="183" customFormat="1" ht="15" customHeight="1">
      <c r="A714" s="315" t="s">
        <v>535</v>
      </c>
      <c r="B714" s="315" t="s">
        <v>343</v>
      </c>
      <c r="C714" s="330">
        <v>234085</v>
      </c>
      <c r="D714" s="324">
        <v>15</v>
      </c>
      <c r="E714" s="275">
        <v>9473</v>
      </c>
      <c r="F714" s="510">
        <f>5062+4986</f>
        <v>10048</v>
      </c>
      <c r="G714" s="275">
        <v>24282</v>
      </c>
      <c r="H714" s="510">
        <f>20906+4986</f>
        <v>25892</v>
      </c>
      <c r="I714" s="275"/>
      <c r="J714" s="510"/>
      <c r="K714" s="275"/>
      <c r="L714" s="510"/>
      <c r="M714" s="275"/>
      <c r="N714" s="510"/>
      <c r="O714" s="275"/>
      <c r="P714" s="510"/>
      <c r="Q714" s="275"/>
      <c r="R714" s="510"/>
      <c r="S714" s="275"/>
      <c r="T714" s="510"/>
      <c r="U714" s="275"/>
      <c r="V714" s="510"/>
      <c r="W714" s="275"/>
      <c r="X714" s="510"/>
      <c r="Y714" s="275"/>
      <c r="Z714" s="510"/>
      <c r="AA714" s="275"/>
      <c r="AB714" s="510"/>
      <c r="AC714" s="275"/>
      <c r="AD714" s="510"/>
      <c r="AE714" s="275"/>
      <c r="AF714" s="510"/>
      <c r="AG714" s="275"/>
      <c r="AH714" s="510"/>
      <c r="AI714" s="275"/>
      <c r="AJ714" s="510"/>
      <c r="AK714" s="275"/>
      <c r="AL714" s="510"/>
      <c r="AM714" s="275"/>
      <c r="AN714" s="510"/>
    </row>
    <row r="715" spans="1:40" s="183" customFormat="1" ht="15" customHeight="1">
      <c r="A715" s="189" t="s">
        <v>534</v>
      </c>
      <c r="B715" s="192" t="s">
        <v>900</v>
      </c>
      <c r="C715" s="311">
        <v>238032</v>
      </c>
      <c r="D715" s="216">
        <v>1</v>
      </c>
      <c r="E715" s="275">
        <v>4476</v>
      </c>
      <c r="F715" s="510">
        <v>4722</v>
      </c>
      <c r="G715" s="275">
        <v>13840</v>
      </c>
      <c r="H715" s="510">
        <v>14600</v>
      </c>
      <c r="I715" s="275">
        <v>4926</v>
      </c>
      <c r="J715" s="510">
        <f>2598*2</f>
        <v>5196</v>
      </c>
      <c r="K715" s="275">
        <v>14278</v>
      </c>
      <c r="L715" s="510">
        <f>7532*2</f>
        <v>15064</v>
      </c>
      <c r="M715" s="275">
        <v>9342</v>
      </c>
      <c r="N715" s="510">
        <f>4928*2</f>
        <v>9856</v>
      </c>
      <c r="O715" s="275">
        <v>21710</v>
      </c>
      <c r="P715" s="510">
        <f>11216*2</f>
        <v>22432</v>
      </c>
      <c r="Q715" s="275">
        <v>18278</v>
      </c>
      <c r="R715" s="510">
        <f>9602*2</f>
        <v>19204</v>
      </c>
      <c r="S715" s="275">
        <v>39900</v>
      </c>
      <c r="T715" s="510">
        <f>20933*2</f>
        <v>41866</v>
      </c>
      <c r="U715" s="275">
        <v>11340</v>
      </c>
      <c r="V715" s="510">
        <f>5960*2</f>
        <v>11920</v>
      </c>
      <c r="W715" s="275">
        <v>27318</v>
      </c>
      <c r="X715" s="510">
        <f>14980*2</f>
        <v>29960</v>
      </c>
      <c r="Y715" s="275">
        <v>8960</v>
      </c>
      <c r="Z715" s="510">
        <f>4763*2</f>
        <v>9526</v>
      </c>
      <c r="AA715" s="275">
        <v>23412</v>
      </c>
      <c r="AB715" s="510">
        <f>12419*2</f>
        <v>24838</v>
      </c>
      <c r="AC715" s="275"/>
      <c r="AD715" s="510"/>
      <c r="AE715" s="275"/>
      <c r="AF715" s="510"/>
      <c r="AG715" s="275"/>
      <c r="AH715" s="510"/>
      <c r="AI715" s="275"/>
      <c r="AJ715" s="510"/>
      <c r="AK715" s="275"/>
      <c r="AL715" s="510"/>
      <c r="AM715" s="275"/>
      <c r="AN715" s="510"/>
    </row>
    <row r="716" spans="1:40" s="183" customFormat="1" ht="15" customHeight="1">
      <c r="A716" s="189" t="s">
        <v>534</v>
      </c>
      <c r="B716" s="312" t="s">
        <v>996</v>
      </c>
      <c r="C716" s="313">
        <v>237525</v>
      </c>
      <c r="D716" s="191">
        <v>3</v>
      </c>
      <c r="E716" s="275">
        <v>4150</v>
      </c>
      <c r="F716" s="510">
        <v>4510</v>
      </c>
      <c r="G716" s="275">
        <v>11054</v>
      </c>
      <c r="H716" s="510">
        <v>11414</v>
      </c>
      <c r="I716" s="275">
        <v>4386</v>
      </c>
      <c r="J716" s="510">
        <f>2303*2</f>
        <v>4606</v>
      </c>
      <c r="K716" s="275">
        <v>12328</v>
      </c>
      <c r="L716" s="510">
        <f>6274*2</f>
        <v>12548</v>
      </c>
      <c r="M716" s="275"/>
      <c r="N716" s="510"/>
      <c r="O716" s="275"/>
      <c r="P716" s="510"/>
      <c r="Q716" s="275">
        <v>15640</v>
      </c>
      <c r="R716" s="510">
        <f>8055*2</f>
        <v>16110</v>
      </c>
      <c r="S716" s="275">
        <v>39732</v>
      </c>
      <c r="T716" s="510">
        <f>20465*2</f>
        <v>40930</v>
      </c>
      <c r="U716" s="275"/>
      <c r="V716" s="510"/>
      <c r="W716" s="275"/>
      <c r="X716" s="510"/>
      <c r="Y716" s="275"/>
      <c r="Z716" s="510"/>
      <c r="AA716" s="275"/>
      <c r="AB716" s="510"/>
      <c r="AC716" s="275"/>
      <c r="AD716" s="510"/>
      <c r="AE716" s="275"/>
      <c r="AF716" s="510"/>
      <c r="AG716" s="275"/>
      <c r="AH716" s="510"/>
      <c r="AI716" s="275"/>
      <c r="AJ716" s="510"/>
      <c r="AK716" s="275"/>
      <c r="AL716" s="510"/>
      <c r="AM716" s="275"/>
      <c r="AN716" s="510"/>
    </row>
    <row r="717" spans="1:40" s="183" customFormat="1" ht="15" customHeight="1">
      <c r="A717" s="189" t="s">
        <v>534</v>
      </c>
      <c r="B717" s="312" t="s">
        <v>997</v>
      </c>
      <c r="C717" s="313">
        <v>237215</v>
      </c>
      <c r="D717" s="191">
        <v>6</v>
      </c>
      <c r="E717" s="275">
        <v>3648</v>
      </c>
      <c r="F717" s="510">
        <v>3984</v>
      </c>
      <c r="G717" s="275">
        <v>7760</v>
      </c>
      <c r="H717" s="510">
        <v>8160</v>
      </c>
      <c r="I717" s="275"/>
      <c r="J717" s="510"/>
      <c r="K717" s="275"/>
      <c r="L717" s="510"/>
      <c r="M717" s="275"/>
      <c r="N717" s="510"/>
      <c r="O717" s="275"/>
      <c r="P717" s="510"/>
      <c r="Q717" s="275"/>
      <c r="R717" s="510"/>
      <c r="S717" s="275"/>
      <c r="T717" s="510"/>
      <c r="U717" s="275"/>
      <c r="V717" s="510"/>
      <c r="W717" s="275"/>
      <c r="X717" s="510"/>
      <c r="Y717" s="275"/>
      <c r="Z717" s="510"/>
      <c r="AA717" s="275"/>
      <c r="AB717" s="510"/>
      <c r="AC717" s="275"/>
      <c r="AD717" s="510"/>
      <c r="AE717" s="275"/>
      <c r="AF717" s="510"/>
      <c r="AG717" s="275"/>
      <c r="AH717" s="510"/>
      <c r="AI717" s="275"/>
      <c r="AJ717" s="510"/>
      <c r="AK717" s="275"/>
      <c r="AL717" s="510"/>
      <c r="AM717" s="275"/>
      <c r="AN717" s="510"/>
    </row>
    <row r="718" spans="1:40" s="183" customFormat="1" ht="15" customHeight="1">
      <c r="A718" s="189" t="s">
        <v>534</v>
      </c>
      <c r="B718" s="312" t="s">
        <v>998</v>
      </c>
      <c r="C718" s="313">
        <v>237330</v>
      </c>
      <c r="D718" s="191">
        <v>6</v>
      </c>
      <c r="E718" s="275">
        <v>4204</v>
      </c>
      <c r="F718" s="510">
        <v>4414</v>
      </c>
      <c r="G718" s="275">
        <v>9338</v>
      </c>
      <c r="H718" s="510">
        <v>9806</v>
      </c>
      <c r="I718" s="275">
        <v>4520</v>
      </c>
      <c r="J718" s="510">
        <f>2373*2</f>
        <v>4746</v>
      </c>
      <c r="K718" s="275">
        <v>7940</v>
      </c>
      <c r="L718" s="510">
        <f>4168*2</f>
        <v>8336</v>
      </c>
      <c r="M718" s="275"/>
      <c r="N718" s="510"/>
      <c r="O718" s="275"/>
      <c r="P718" s="510"/>
      <c r="Q718" s="275"/>
      <c r="R718" s="510"/>
      <c r="S718" s="275"/>
      <c r="T718" s="510"/>
      <c r="U718" s="275"/>
      <c r="V718" s="510"/>
      <c r="W718" s="275"/>
      <c r="X718" s="510"/>
      <c r="Y718" s="275"/>
      <c r="Z718" s="510"/>
      <c r="AA718" s="275"/>
      <c r="AB718" s="510"/>
      <c r="AC718" s="275"/>
      <c r="AD718" s="510"/>
      <c r="AE718" s="275"/>
      <c r="AF718" s="510"/>
      <c r="AG718" s="275"/>
      <c r="AH718" s="510"/>
      <c r="AI718" s="275"/>
      <c r="AJ718" s="510"/>
      <c r="AK718" s="275"/>
      <c r="AL718" s="510"/>
      <c r="AM718" s="275"/>
      <c r="AN718" s="510"/>
    </row>
    <row r="719" spans="1:40" s="183" customFormat="1" ht="15" customHeight="1">
      <c r="A719" s="189" t="s">
        <v>534</v>
      </c>
      <c r="B719" s="192" t="s">
        <v>411</v>
      </c>
      <c r="C719" s="313">
        <v>237367</v>
      </c>
      <c r="D719" s="191">
        <v>6</v>
      </c>
      <c r="E719" s="275">
        <v>4332</v>
      </c>
      <c r="F719" s="510">
        <v>4614</v>
      </c>
      <c r="G719" s="275">
        <v>9266</v>
      </c>
      <c r="H719" s="510">
        <v>9960</v>
      </c>
      <c r="I719" s="275">
        <v>4694</v>
      </c>
      <c r="J719" s="510">
        <f>2517*2</f>
        <v>5034</v>
      </c>
      <c r="K719" s="275">
        <v>10188</v>
      </c>
      <c r="L719" s="510">
        <f>5491*2</f>
        <v>10982</v>
      </c>
      <c r="M719" s="275"/>
      <c r="N719" s="510"/>
      <c r="O719" s="275"/>
      <c r="P719" s="510"/>
      <c r="Q719" s="275"/>
      <c r="R719" s="510"/>
      <c r="S719" s="275"/>
      <c r="T719" s="510"/>
      <c r="U719" s="275"/>
      <c r="V719" s="510"/>
      <c r="W719" s="275"/>
      <c r="X719" s="510"/>
      <c r="Y719" s="275"/>
      <c r="Z719" s="510"/>
      <c r="AA719" s="275"/>
      <c r="AB719" s="510"/>
      <c r="AC719" s="275"/>
      <c r="AD719" s="510"/>
      <c r="AE719" s="275"/>
      <c r="AF719" s="510"/>
      <c r="AG719" s="275"/>
      <c r="AH719" s="510"/>
      <c r="AI719" s="275"/>
      <c r="AJ719" s="510"/>
      <c r="AK719" s="275"/>
      <c r="AL719" s="510"/>
      <c r="AM719" s="275"/>
      <c r="AN719" s="510"/>
    </row>
    <row r="720" spans="1:40" s="183" customFormat="1" ht="15" customHeight="1">
      <c r="A720" s="189" t="s">
        <v>534</v>
      </c>
      <c r="B720" s="312" t="s">
        <v>999</v>
      </c>
      <c r="C720" s="313">
        <v>237385</v>
      </c>
      <c r="D720" s="191">
        <v>6</v>
      </c>
      <c r="E720" s="275">
        <v>3682</v>
      </c>
      <c r="F720" s="510">
        <v>4174</v>
      </c>
      <c r="G720" s="275">
        <v>9294</v>
      </c>
      <c r="H720" s="510">
        <v>9990</v>
      </c>
      <c r="I720" s="275"/>
      <c r="J720" s="510"/>
      <c r="K720" s="275"/>
      <c r="L720" s="510"/>
      <c r="M720" s="275"/>
      <c r="N720" s="510"/>
      <c r="O720" s="275"/>
      <c r="P720" s="510"/>
      <c r="Q720" s="275"/>
      <c r="R720" s="510"/>
      <c r="S720" s="275"/>
      <c r="T720" s="510"/>
      <c r="U720" s="275"/>
      <c r="V720" s="510"/>
      <c r="W720" s="275"/>
      <c r="X720" s="510"/>
      <c r="Y720" s="275"/>
      <c r="Z720" s="510"/>
      <c r="AA720" s="275"/>
      <c r="AB720" s="510"/>
      <c r="AC720" s="275"/>
      <c r="AD720" s="510"/>
      <c r="AE720" s="275"/>
      <c r="AF720" s="510"/>
      <c r="AG720" s="275"/>
      <c r="AH720" s="510"/>
      <c r="AI720" s="275"/>
      <c r="AJ720" s="510"/>
      <c r="AK720" s="275"/>
      <c r="AL720" s="510"/>
      <c r="AM720" s="275"/>
      <c r="AN720" s="510"/>
    </row>
    <row r="721" spans="1:40" s="183" customFormat="1" ht="15" customHeight="1">
      <c r="A721" s="189" t="s">
        <v>534</v>
      </c>
      <c r="B721" s="312" t="s">
        <v>1000</v>
      </c>
      <c r="C721" s="313">
        <v>237792</v>
      </c>
      <c r="D721" s="191">
        <v>6</v>
      </c>
      <c r="E721" s="275">
        <v>4348</v>
      </c>
      <c r="F721" s="510">
        <v>4564</v>
      </c>
      <c r="G721" s="275">
        <v>11464</v>
      </c>
      <c r="H721" s="510">
        <v>12036</v>
      </c>
      <c r="I721" s="275">
        <v>5640</v>
      </c>
      <c r="J721" s="510">
        <f>2331*2</f>
        <v>4662</v>
      </c>
      <c r="K721" s="275">
        <v>8040</v>
      </c>
      <c r="L721" s="510">
        <f>3366*2</f>
        <v>6732</v>
      </c>
      <c r="M721" s="275"/>
      <c r="N721" s="510"/>
      <c r="O721" s="275"/>
      <c r="P721" s="510"/>
      <c r="Q721" s="275"/>
      <c r="R721" s="510"/>
      <c r="S721" s="275"/>
      <c r="T721" s="510"/>
      <c r="U721" s="275"/>
      <c r="V721" s="510"/>
      <c r="W721" s="275"/>
      <c r="X721" s="510"/>
      <c r="Y721" s="275"/>
      <c r="Z721" s="510"/>
      <c r="AA721" s="275"/>
      <c r="AB721" s="510"/>
      <c r="AC721" s="275"/>
      <c r="AD721" s="510"/>
      <c r="AE721" s="275"/>
      <c r="AF721" s="510"/>
      <c r="AG721" s="275"/>
      <c r="AH721" s="510"/>
      <c r="AI721" s="275"/>
      <c r="AJ721" s="510"/>
      <c r="AK721" s="275"/>
      <c r="AL721" s="510"/>
      <c r="AM721" s="275"/>
      <c r="AN721" s="510"/>
    </row>
    <row r="722" spans="1:40" s="183" customFormat="1" ht="15" customHeight="1">
      <c r="A722" s="189" t="s">
        <v>534</v>
      </c>
      <c r="B722" s="312" t="s">
        <v>1001</v>
      </c>
      <c r="C722" s="313">
        <v>237932</v>
      </c>
      <c r="D722" s="191">
        <v>6</v>
      </c>
      <c r="E722" s="275">
        <v>3796</v>
      </c>
      <c r="F722" s="510">
        <v>4172</v>
      </c>
      <c r="G722" s="275">
        <v>9632</v>
      </c>
      <c r="H722" s="510">
        <v>10192</v>
      </c>
      <c r="I722" s="275"/>
      <c r="J722" s="510"/>
      <c r="K722" s="275"/>
      <c r="L722" s="510"/>
      <c r="M722" s="275"/>
      <c r="N722" s="510"/>
      <c r="O722" s="275"/>
      <c r="P722" s="510"/>
      <c r="Q722" s="275"/>
      <c r="R722" s="510"/>
      <c r="S722" s="275"/>
      <c r="T722" s="510"/>
      <c r="U722" s="275"/>
      <c r="V722" s="510"/>
      <c r="W722" s="275"/>
      <c r="X722" s="510"/>
      <c r="Y722" s="275"/>
      <c r="Z722" s="510"/>
      <c r="AA722" s="275"/>
      <c r="AB722" s="510"/>
      <c r="AC722" s="275"/>
      <c r="AD722" s="510"/>
      <c r="AE722" s="275"/>
      <c r="AF722" s="510"/>
      <c r="AG722" s="275"/>
      <c r="AH722" s="510"/>
      <c r="AI722" s="275"/>
      <c r="AJ722" s="510"/>
      <c r="AK722" s="275"/>
      <c r="AL722" s="510"/>
      <c r="AM722" s="275"/>
      <c r="AN722" s="510"/>
    </row>
    <row r="723" spans="1:40" s="183" customFormat="1" ht="15" customHeight="1">
      <c r="A723" s="189" t="s">
        <v>534</v>
      </c>
      <c r="B723" s="312" t="s">
        <v>1002</v>
      </c>
      <c r="C723" s="313">
        <v>237899</v>
      </c>
      <c r="D723" s="191">
        <v>6</v>
      </c>
      <c r="E723" s="275">
        <v>3796</v>
      </c>
      <c r="F723" s="510">
        <v>4156</v>
      </c>
      <c r="G723" s="275">
        <v>8894</v>
      </c>
      <c r="H723" s="510">
        <v>9738</v>
      </c>
      <c r="I723" s="275">
        <v>4174</v>
      </c>
      <c r="J723" s="510">
        <f>2285*2</f>
        <v>4570</v>
      </c>
      <c r="K723" s="275">
        <v>9782</v>
      </c>
      <c r="L723" s="510">
        <f>5355*2</f>
        <v>10710</v>
      </c>
      <c r="M723" s="275"/>
      <c r="N723" s="510"/>
      <c r="O723" s="275"/>
      <c r="P723" s="510"/>
      <c r="Q723" s="275"/>
      <c r="R723" s="510"/>
      <c r="S723" s="275"/>
      <c r="T723" s="510"/>
      <c r="U723" s="275"/>
      <c r="V723" s="510"/>
      <c r="W723" s="275"/>
      <c r="X723" s="510"/>
      <c r="Y723" s="275"/>
      <c r="Z723" s="510"/>
      <c r="AA723" s="275"/>
      <c r="AB723" s="510"/>
      <c r="AC723" s="275"/>
      <c r="AD723" s="510"/>
      <c r="AE723" s="275"/>
      <c r="AF723" s="510"/>
      <c r="AG723" s="275"/>
      <c r="AH723" s="510"/>
      <c r="AI723" s="275"/>
      <c r="AJ723" s="510"/>
      <c r="AK723" s="275"/>
      <c r="AL723" s="510"/>
      <c r="AM723" s="275"/>
      <c r="AN723" s="510"/>
    </row>
    <row r="724" spans="1:40" s="183" customFormat="1" ht="15" customHeight="1">
      <c r="A724" s="189" t="s">
        <v>534</v>
      </c>
      <c r="B724" s="312" t="s">
        <v>1003</v>
      </c>
      <c r="C724" s="313">
        <v>237950</v>
      </c>
      <c r="D724" s="191">
        <v>6</v>
      </c>
      <c r="E724" s="275">
        <v>4358</v>
      </c>
      <c r="F724" s="510">
        <v>4598</v>
      </c>
      <c r="G724" s="275">
        <v>11192</v>
      </c>
      <c r="H724" s="510">
        <v>11808</v>
      </c>
      <c r="I724" s="275">
        <v>4836</v>
      </c>
      <c r="J724" s="510">
        <v>5102</v>
      </c>
      <c r="K724" s="275">
        <v>12300</v>
      </c>
      <c r="L724" s="510">
        <v>12976</v>
      </c>
      <c r="M724" s="275"/>
      <c r="N724" s="510"/>
      <c r="O724" s="275"/>
      <c r="P724" s="510"/>
      <c r="Q724" s="275"/>
      <c r="R724" s="510"/>
      <c r="S724" s="275"/>
      <c r="T724" s="510"/>
      <c r="U724" s="275"/>
      <c r="V724" s="510"/>
      <c r="W724" s="275"/>
      <c r="X724" s="510"/>
      <c r="Y724" s="275"/>
      <c r="Z724" s="510"/>
      <c r="AA724" s="275"/>
      <c r="AB724" s="510"/>
      <c r="AC724" s="275"/>
      <c r="AD724" s="510"/>
      <c r="AE724" s="275"/>
      <c r="AF724" s="510"/>
      <c r="AG724" s="275"/>
      <c r="AH724" s="510"/>
      <c r="AI724" s="275"/>
      <c r="AJ724" s="510"/>
      <c r="AK724" s="275"/>
      <c r="AL724" s="510"/>
      <c r="AM724" s="275"/>
      <c r="AN724" s="510"/>
    </row>
    <row r="725" spans="1:40" s="183" customFormat="1" ht="15" customHeight="1">
      <c r="A725" s="189" t="s">
        <v>534</v>
      </c>
      <c r="B725" s="312" t="s">
        <v>376</v>
      </c>
      <c r="C725" s="313">
        <v>237686</v>
      </c>
      <c r="D725" s="191">
        <v>7</v>
      </c>
      <c r="E725" s="275">
        <v>1746</v>
      </c>
      <c r="F725" s="510">
        <v>1825</v>
      </c>
      <c r="G725" s="275">
        <v>6168</v>
      </c>
      <c r="H725" s="510">
        <v>6460</v>
      </c>
      <c r="I725" s="275"/>
      <c r="J725" s="510"/>
      <c r="K725" s="275"/>
      <c r="L725" s="510"/>
      <c r="M725" s="275"/>
      <c r="N725" s="510"/>
      <c r="O725" s="275"/>
      <c r="P725" s="510"/>
      <c r="Q725" s="275"/>
      <c r="R725" s="510"/>
      <c r="S725" s="275"/>
      <c r="T725" s="510"/>
      <c r="U725" s="275"/>
      <c r="V725" s="510"/>
      <c r="W725" s="275"/>
      <c r="X725" s="510"/>
      <c r="Y725" s="275"/>
      <c r="Z725" s="510"/>
      <c r="AA725" s="275"/>
      <c r="AB725" s="510"/>
      <c r="AC725" s="275"/>
      <c r="AD725" s="510"/>
      <c r="AE725" s="275"/>
      <c r="AF725" s="510"/>
      <c r="AG725" s="275"/>
      <c r="AH725" s="510"/>
      <c r="AI725" s="275"/>
      <c r="AJ725" s="510"/>
      <c r="AK725" s="275"/>
      <c r="AL725" s="510"/>
      <c r="AM725" s="275"/>
      <c r="AN725" s="510"/>
    </row>
    <row r="726" spans="1:40" s="183" customFormat="1" ht="15" customHeight="1">
      <c r="A726" s="189" t="s">
        <v>534</v>
      </c>
      <c r="B726" s="192" t="s">
        <v>377</v>
      </c>
      <c r="C726" s="311">
        <v>443492</v>
      </c>
      <c r="D726" s="216">
        <v>9</v>
      </c>
      <c r="E726" s="275">
        <v>3212</v>
      </c>
      <c r="F726" s="510">
        <v>3212</v>
      </c>
      <c r="G726" s="275">
        <v>7394</v>
      </c>
      <c r="H726" s="510">
        <v>7966</v>
      </c>
      <c r="I726" s="275"/>
      <c r="J726" s="510"/>
      <c r="K726" s="275"/>
      <c r="L726" s="510"/>
      <c r="M726" s="275"/>
      <c r="N726" s="510"/>
      <c r="O726" s="275"/>
      <c r="P726" s="510"/>
      <c r="Q726" s="275"/>
      <c r="R726" s="510"/>
      <c r="S726" s="275"/>
      <c r="T726" s="510"/>
      <c r="U726" s="275"/>
      <c r="V726" s="510"/>
      <c r="W726" s="275"/>
      <c r="X726" s="510"/>
      <c r="Y726" s="275"/>
      <c r="Z726" s="510"/>
      <c r="AA726" s="275"/>
      <c r="AB726" s="510"/>
      <c r="AC726" s="275"/>
      <c r="AD726" s="510"/>
      <c r="AE726" s="275"/>
      <c r="AF726" s="510"/>
      <c r="AG726" s="275"/>
      <c r="AH726" s="510"/>
      <c r="AI726" s="275"/>
      <c r="AJ726" s="510"/>
      <c r="AK726" s="275"/>
      <c r="AL726" s="510"/>
      <c r="AM726" s="275"/>
      <c r="AN726" s="510"/>
    </row>
    <row r="727" spans="1:40" s="183" customFormat="1" ht="15" customHeight="1">
      <c r="A727" s="314" t="s">
        <v>534</v>
      </c>
      <c r="B727" s="192" t="s">
        <v>378</v>
      </c>
      <c r="C727" s="311">
        <v>446774</v>
      </c>
      <c r="D727" s="216">
        <v>10</v>
      </c>
      <c r="E727" s="275">
        <v>2944</v>
      </c>
      <c r="F727" s="510">
        <v>2944</v>
      </c>
      <c r="G727" s="275">
        <v>8518</v>
      </c>
      <c r="H727" s="510">
        <v>8518</v>
      </c>
      <c r="I727" s="275"/>
      <c r="J727" s="510"/>
      <c r="K727" s="275"/>
      <c r="L727" s="510"/>
      <c r="M727" s="275"/>
      <c r="N727" s="510"/>
      <c r="O727" s="275"/>
      <c r="P727" s="510"/>
      <c r="Q727" s="275"/>
      <c r="R727" s="510"/>
      <c r="S727" s="275"/>
      <c r="T727" s="510"/>
      <c r="U727" s="275"/>
      <c r="V727" s="510"/>
      <c r="W727" s="275"/>
      <c r="X727" s="510"/>
      <c r="Y727" s="275"/>
      <c r="Z727" s="510"/>
      <c r="AA727" s="275"/>
      <c r="AB727" s="510"/>
      <c r="AC727" s="275"/>
      <c r="AD727" s="510"/>
      <c r="AE727" s="275"/>
      <c r="AF727" s="510"/>
      <c r="AG727" s="275"/>
      <c r="AH727" s="510"/>
      <c r="AI727" s="275"/>
      <c r="AJ727" s="510"/>
      <c r="AK727" s="275"/>
      <c r="AL727" s="510"/>
      <c r="AM727" s="275"/>
      <c r="AN727" s="510"/>
    </row>
    <row r="728" spans="1:40" s="183" customFormat="1" ht="15" customHeight="1">
      <c r="A728" s="189" t="s">
        <v>534</v>
      </c>
      <c r="B728" s="192" t="s">
        <v>379</v>
      </c>
      <c r="C728" s="311">
        <v>445674</v>
      </c>
      <c r="D728" s="216">
        <v>10</v>
      </c>
      <c r="E728" s="275">
        <v>3266</v>
      </c>
      <c r="F728" s="510">
        <v>3266</v>
      </c>
      <c r="G728" s="275">
        <v>10882</v>
      </c>
      <c r="H728" s="510">
        <v>11208</v>
      </c>
      <c r="I728" s="275"/>
      <c r="J728" s="510"/>
      <c r="K728" s="275"/>
      <c r="L728" s="510"/>
      <c r="M728" s="275"/>
      <c r="N728" s="510"/>
      <c r="O728" s="275"/>
      <c r="P728" s="510"/>
      <c r="Q728" s="275"/>
      <c r="R728" s="510"/>
      <c r="S728" s="275"/>
      <c r="T728" s="510"/>
      <c r="U728" s="275"/>
      <c r="V728" s="510"/>
      <c r="W728" s="275"/>
      <c r="X728" s="510"/>
      <c r="Y728" s="275"/>
      <c r="Z728" s="510"/>
      <c r="AA728" s="275"/>
      <c r="AB728" s="510"/>
      <c r="AC728" s="275"/>
      <c r="AD728" s="510"/>
      <c r="AE728" s="275"/>
      <c r="AF728" s="510"/>
      <c r="AG728" s="275"/>
      <c r="AH728" s="510"/>
      <c r="AI728" s="275"/>
      <c r="AJ728" s="510"/>
      <c r="AK728" s="275"/>
      <c r="AL728" s="510"/>
      <c r="AM728" s="275"/>
      <c r="AN728" s="510"/>
    </row>
    <row r="729" spans="1:40" s="183" customFormat="1" ht="15" customHeight="1">
      <c r="A729" s="314" t="s">
        <v>534</v>
      </c>
      <c r="B729" s="192" t="s">
        <v>380</v>
      </c>
      <c r="C729" s="215">
        <v>438708</v>
      </c>
      <c r="D729" s="216">
        <v>10</v>
      </c>
      <c r="E729" s="275">
        <v>1704</v>
      </c>
      <c r="F729" s="510">
        <v>1776</v>
      </c>
      <c r="G729" s="275">
        <v>6822</v>
      </c>
      <c r="H729" s="510">
        <v>6816</v>
      </c>
      <c r="I729" s="275"/>
      <c r="J729" s="510"/>
      <c r="K729" s="275"/>
      <c r="L729" s="510"/>
      <c r="M729" s="275"/>
      <c r="N729" s="510"/>
      <c r="O729" s="275"/>
      <c r="P729" s="510"/>
      <c r="Q729" s="275"/>
      <c r="R729" s="510"/>
      <c r="S729" s="275"/>
      <c r="T729" s="510"/>
      <c r="U729" s="275"/>
      <c r="V729" s="510"/>
      <c r="W729" s="275"/>
      <c r="X729" s="510"/>
      <c r="Y729" s="275"/>
      <c r="Z729" s="510"/>
      <c r="AA729" s="275"/>
      <c r="AB729" s="510"/>
      <c r="AC729" s="275"/>
      <c r="AD729" s="510"/>
      <c r="AE729" s="275"/>
      <c r="AF729" s="510"/>
      <c r="AG729" s="275"/>
      <c r="AH729" s="510"/>
      <c r="AI729" s="275"/>
      <c r="AJ729" s="510"/>
      <c r="AK729" s="275"/>
      <c r="AL729" s="510"/>
      <c r="AM729" s="275"/>
      <c r="AN729" s="510"/>
    </row>
    <row r="730" spans="1:40" s="183" customFormat="1" ht="15" customHeight="1">
      <c r="A730" s="189" t="s">
        <v>534</v>
      </c>
      <c r="B730" s="192" t="s">
        <v>381</v>
      </c>
      <c r="C730" s="311">
        <v>444954</v>
      </c>
      <c r="D730" s="216">
        <v>10</v>
      </c>
      <c r="E730" s="275">
        <v>2898</v>
      </c>
      <c r="F730" s="510">
        <v>2898</v>
      </c>
      <c r="G730" s="275">
        <v>8142</v>
      </c>
      <c r="H730" s="510">
        <v>8142</v>
      </c>
      <c r="I730" s="275"/>
      <c r="J730" s="510"/>
      <c r="K730" s="275"/>
      <c r="L730" s="510"/>
      <c r="M730" s="275"/>
      <c r="N730" s="510"/>
      <c r="O730" s="275"/>
      <c r="P730" s="510"/>
      <c r="Q730" s="275"/>
      <c r="R730" s="510"/>
      <c r="S730" s="275"/>
      <c r="T730" s="510"/>
      <c r="U730" s="275"/>
      <c r="V730" s="510"/>
      <c r="W730" s="275"/>
      <c r="X730" s="510"/>
      <c r="Y730" s="275"/>
      <c r="Z730" s="510"/>
      <c r="AA730" s="275"/>
      <c r="AB730" s="510"/>
      <c r="AC730" s="275"/>
      <c r="AD730" s="510"/>
      <c r="AE730" s="275"/>
      <c r="AF730" s="510"/>
      <c r="AG730" s="275"/>
      <c r="AH730" s="510"/>
      <c r="AI730" s="275"/>
      <c r="AJ730" s="510"/>
      <c r="AK730" s="275"/>
      <c r="AL730" s="510"/>
      <c r="AM730" s="275"/>
      <c r="AN730" s="510"/>
    </row>
    <row r="731" spans="1:40" s="183" customFormat="1" ht="15" customHeight="1">
      <c r="A731" s="314" t="s">
        <v>534</v>
      </c>
      <c r="B731" s="192" t="s">
        <v>382</v>
      </c>
      <c r="C731" s="311">
        <v>447582</v>
      </c>
      <c r="D731" s="216">
        <v>10</v>
      </c>
      <c r="E731" s="275">
        <v>2748</v>
      </c>
      <c r="F731" s="510">
        <v>2748</v>
      </c>
      <c r="G731" s="275">
        <v>6150</v>
      </c>
      <c r="H731" s="510">
        <v>6002</v>
      </c>
      <c r="I731" s="275"/>
      <c r="J731" s="510"/>
      <c r="K731" s="275"/>
      <c r="L731" s="510"/>
      <c r="M731" s="275"/>
      <c r="N731" s="510"/>
      <c r="O731" s="275"/>
      <c r="P731" s="510"/>
      <c r="Q731" s="275"/>
      <c r="R731" s="510"/>
      <c r="S731" s="275"/>
      <c r="T731" s="510"/>
      <c r="U731" s="275"/>
      <c r="V731" s="510"/>
      <c r="W731" s="275"/>
      <c r="X731" s="510"/>
      <c r="Y731" s="275"/>
      <c r="Z731" s="510"/>
      <c r="AA731" s="275"/>
      <c r="AB731" s="510"/>
      <c r="AC731" s="275"/>
      <c r="AD731" s="510"/>
      <c r="AE731" s="275"/>
      <c r="AF731" s="510"/>
      <c r="AG731" s="275"/>
      <c r="AH731" s="510"/>
      <c r="AI731" s="275"/>
      <c r="AJ731" s="510"/>
      <c r="AK731" s="275"/>
      <c r="AL731" s="510"/>
      <c r="AM731" s="275"/>
      <c r="AN731" s="510"/>
    </row>
    <row r="732" spans="1:40" s="183" customFormat="1" ht="15" customHeight="1">
      <c r="A732" s="189" t="s">
        <v>534</v>
      </c>
      <c r="B732" s="192" t="s">
        <v>383</v>
      </c>
      <c r="C732" s="313">
        <v>237701</v>
      </c>
      <c r="D732" s="191">
        <v>10</v>
      </c>
      <c r="E732" s="275">
        <v>2474</v>
      </c>
      <c r="F732" s="510">
        <v>2596</v>
      </c>
      <c r="G732" s="275">
        <v>8066</v>
      </c>
      <c r="H732" s="510">
        <v>8360</v>
      </c>
      <c r="I732" s="275"/>
      <c r="J732" s="510"/>
      <c r="K732" s="275"/>
      <c r="L732" s="510"/>
      <c r="M732" s="275"/>
      <c r="N732" s="510"/>
      <c r="O732" s="275"/>
      <c r="P732" s="510"/>
      <c r="Q732" s="275"/>
      <c r="R732" s="510"/>
      <c r="S732" s="275"/>
      <c r="T732" s="510"/>
      <c r="U732" s="275"/>
      <c r="V732" s="510"/>
      <c r="W732" s="275"/>
      <c r="X732" s="510"/>
      <c r="Y732" s="275"/>
      <c r="Z732" s="510"/>
      <c r="AA732" s="275"/>
      <c r="AB732" s="510"/>
      <c r="AC732" s="275"/>
      <c r="AD732" s="510"/>
      <c r="AE732" s="275"/>
      <c r="AF732" s="510"/>
      <c r="AG732" s="275"/>
      <c r="AH732" s="510"/>
      <c r="AI732" s="275"/>
      <c r="AJ732" s="510"/>
      <c r="AK732" s="275"/>
      <c r="AL732" s="510"/>
      <c r="AM732" s="275"/>
      <c r="AN732" s="510"/>
    </row>
    <row r="733" spans="1:40" s="183" customFormat="1" ht="15" customHeight="1">
      <c r="A733" s="189" t="s">
        <v>534</v>
      </c>
      <c r="B733" s="314" t="s">
        <v>384</v>
      </c>
      <c r="C733" s="313">
        <v>237817</v>
      </c>
      <c r="D733" s="191">
        <v>10</v>
      </c>
      <c r="E733" s="275">
        <v>1704</v>
      </c>
      <c r="F733" s="510">
        <v>1776</v>
      </c>
      <c r="G733" s="275">
        <v>6822</v>
      </c>
      <c r="H733" s="510">
        <v>6816</v>
      </c>
      <c r="I733" s="275"/>
      <c r="J733" s="510"/>
      <c r="K733" s="275"/>
      <c r="L733" s="510"/>
      <c r="M733" s="275"/>
      <c r="N733" s="510"/>
      <c r="O733" s="275"/>
      <c r="P733" s="510"/>
      <c r="Q733" s="275"/>
      <c r="R733" s="510"/>
      <c r="S733" s="275"/>
      <c r="T733" s="510"/>
      <c r="U733" s="275"/>
      <c r="V733" s="510"/>
      <c r="W733" s="275"/>
      <c r="X733" s="510"/>
      <c r="Y733" s="275"/>
      <c r="Z733" s="510"/>
      <c r="AA733" s="275"/>
      <c r="AB733" s="510"/>
      <c r="AC733" s="275"/>
      <c r="AD733" s="510"/>
      <c r="AE733" s="275"/>
      <c r="AF733" s="510"/>
      <c r="AG733" s="275"/>
      <c r="AH733" s="510"/>
      <c r="AI733" s="275"/>
      <c r="AJ733" s="510"/>
      <c r="AK733" s="275"/>
      <c r="AL733" s="510"/>
      <c r="AM733" s="275"/>
      <c r="AN733" s="510"/>
    </row>
    <row r="734" spans="1:40" s="183" customFormat="1" ht="15" customHeight="1">
      <c r="A734" s="189" t="s">
        <v>534</v>
      </c>
      <c r="B734" s="192" t="s">
        <v>385</v>
      </c>
      <c r="C734" s="311">
        <v>238014</v>
      </c>
      <c r="D734" s="216">
        <v>10</v>
      </c>
      <c r="E734" s="275">
        <v>1834</v>
      </c>
      <c r="F734" s="510">
        <v>1916</v>
      </c>
      <c r="G734" s="275">
        <v>5818</v>
      </c>
      <c r="H734" s="510">
        <v>6096</v>
      </c>
      <c r="I734" s="275"/>
      <c r="J734" s="510"/>
      <c r="K734" s="275"/>
      <c r="L734" s="510"/>
      <c r="M734" s="275"/>
      <c r="N734" s="510"/>
      <c r="O734" s="275"/>
      <c r="P734" s="510"/>
      <c r="Q734" s="275"/>
      <c r="R734" s="510"/>
      <c r="S734" s="275"/>
      <c r="T734" s="510"/>
      <c r="U734" s="275"/>
      <c r="V734" s="510"/>
      <c r="W734" s="275"/>
      <c r="X734" s="510"/>
      <c r="Y734" s="275"/>
      <c r="Z734" s="510"/>
      <c r="AA734" s="275"/>
      <c r="AB734" s="510"/>
      <c r="AC734" s="275"/>
      <c r="AD734" s="510"/>
      <c r="AE734" s="275"/>
      <c r="AF734" s="510"/>
      <c r="AG734" s="275"/>
      <c r="AH734" s="510"/>
      <c r="AI734" s="275"/>
      <c r="AJ734" s="510"/>
      <c r="AK734" s="275"/>
      <c r="AL734" s="510"/>
      <c r="AM734" s="275"/>
      <c r="AN734" s="510"/>
    </row>
    <row r="735" spans="1:40" s="183" customFormat="1" ht="15" customHeight="1">
      <c r="A735" s="314" t="s">
        <v>534</v>
      </c>
      <c r="B735" s="192" t="s">
        <v>386</v>
      </c>
      <c r="C735" s="311">
        <v>445018</v>
      </c>
      <c r="D735" s="216">
        <v>10</v>
      </c>
      <c r="E735" s="275">
        <v>2766</v>
      </c>
      <c r="F735" s="510">
        <v>2766</v>
      </c>
      <c r="G735" s="275">
        <v>7718</v>
      </c>
      <c r="H735" s="510">
        <v>8084</v>
      </c>
      <c r="I735" s="275"/>
      <c r="J735" s="510"/>
      <c r="K735" s="275"/>
      <c r="L735" s="510"/>
      <c r="M735" s="275"/>
      <c r="N735" s="510"/>
      <c r="O735" s="275"/>
      <c r="P735" s="510"/>
      <c r="Q735" s="275"/>
      <c r="R735" s="510"/>
      <c r="S735" s="275"/>
      <c r="T735" s="510"/>
      <c r="U735" s="275"/>
      <c r="V735" s="510"/>
      <c r="W735" s="275"/>
      <c r="X735" s="510"/>
      <c r="Y735" s="275"/>
      <c r="Z735" s="510"/>
      <c r="AA735" s="275"/>
      <c r="AB735" s="510"/>
      <c r="AC735" s="275"/>
      <c r="AD735" s="510"/>
      <c r="AE735" s="275"/>
      <c r="AF735" s="510"/>
      <c r="AG735" s="275"/>
      <c r="AH735" s="510"/>
      <c r="AI735" s="275"/>
      <c r="AJ735" s="510"/>
      <c r="AK735" s="275"/>
      <c r="AL735" s="510"/>
      <c r="AM735" s="275"/>
      <c r="AN735" s="510"/>
    </row>
    <row r="736" spans="1:40" s="183" customFormat="1" ht="15" customHeight="1">
      <c r="A736" s="189" t="s">
        <v>534</v>
      </c>
      <c r="B736" s="314" t="s">
        <v>387</v>
      </c>
      <c r="C736" s="191">
        <v>237880</v>
      </c>
      <c r="D736" s="191">
        <v>15</v>
      </c>
      <c r="E736" s="275"/>
      <c r="F736" s="510"/>
      <c r="G736" s="275"/>
      <c r="H736" s="510"/>
      <c r="I736" s="275"/>
      <c r="J736" s="510"/>
      <c r="K736" s="275"/>
      <c r="L736" s="510"/>
      <c r="M736" s="275"/>
      <c r="N736" s="510"/>
      <c r="O736" s="275"/>
      <c r="P736" s="510"/>
      <c r="Q736" s="275"/>
      <c r="R736" s="510"/>
      <c r="S736" s="275"/>
      <c r="T736" s="510"/>
      <c r="U736" s="275"/>
      <c r="V736" s="510"/>
      <c r="W736" s="275"/>
      <c r="X736" s="510"/>
      <c r="Y736" s="275"/>
      <c r="Z736" s="510"/>
      <c r="AA736" s="275"/>
      <c r="AB736" s="510"/>
      <c r="AC736" s="275"/>
      <c r="AD736" s="510"/>
      <c r="AE736" s="275"/>
      <c r="AF736" s="510"/>
      <c r="AG736" s="275">
        <v>18886</v>
      </c>
      <c r="AH736" s="510">
        <v>19830</v>
      </c>
      <c r="AI736" s="275">
        <v>46736</v>
      </c>
      <c r="AJ736" s="510">
        <v>49073</v>
      </c>
      <c r="AK736" s="275"/>
      <c r="AL736" s="510"/>
      <c r="AM736" s="275"/>
      <c r="AN736" s="510"/>
    </row>
    <row r="737" spans="1:40" ht="15" customHeight="1">
      <c r="A737"/>
      <c r="B737"/>
      <c r="C737"/>
      <c r="D737"/>
      <c r="E737"/>
      <c r="F737"/>
      <c r="G737"/>
      <c r="H737"/>
      <c r="I737"/>
      <c r="J737"/>
      <c r="K737"/>
      <c r="L737"/>
      <c r="M737"/>
      <c r="N737"/>
      <c r="O737"/>
      <c r="P737"/>
      <c r="Q737"/>
      <c r="R737"/>
      <c r="S737"/>
      <c r="T737"/>
      <c r="U737"/>
      <c r="V737"/>
      <c r="W737"/>
      <c r="X737"/>
      <c r="Y737"/>
      <c r="Z737"/>
      <c r="AA737"/>
      <c r="AB737"/>
      <c r="AC737"/>
      <c r="AD737"/>
      <c r="AE737"/>
      <c r="AF737"/>
      <c r="AG737"/>
      <c r="AH737"/>
      <c r="AI737"/>
      <c r="AJ737"/>
      <c r="AK737"/>
      <c r="AL737"/>
      <c r="AM737"/>
      <c r="AN737"/>
    </row>
    <row r="738" spans="1:40" ht="15" customHeight="1">
      <c r="A738"/>
      <c r="B738"/>
      <c r="C738"/>
      <c r="D738"/>
      <c r="E738"/>
      <c r="F738"/>
      <c r="G738"/>
      <c r="H738"/>
      <c r="I738"/>
      <c r="J738"/>
      <c r="K738"/>
      <c r="L738"/>
      <c r="M738"/>
      <c r="N738"/>
      <c r="O738"/>
      <c r="P738"/>
      <c r="Q738"/>
      <c r="R738"/>
      <c r="S738"/>
      <c r="T738"/>
      <c r="U738"/>
      <c r="V738"/>
      <c r="W738"/>
      <c r="X738"/>
      <c r="Y738"/>
      <c r="Z738"/>
      <c r="AA738"/>
      <c r="AB738"/>
      <c r="AC738"/>
      <c r="AD738"/>
      <c r="AE738"/>
      <c r="AF738"/>
      <c r="AG738"/>
      <c r="AH738"/>
      <c r="AI738"/>
      <c r="AJ738"/>
      <c r="AK738"/>
      <c r="AL738"/>
      <c r="AM738"/>
      <c r="AN738"/>
    </row>
    <row r="739" spans="1:40" ht="15" customHeight="1">
      <c r="A739"/>
      <c r="B739"/>
      <c r="C739"/>
      <c r="D739"/>
      <c r="E739"/>
      <c r="F739"/>
      <c r="G739"/>
      <c r="H739"/>
      <c r="I739"/>
      <c r="J739"/>
      <c r="K739"/>
      <c r="L739"/>
      <c r="M739"/>
      <c r="N739"/>
      <c r="O739"/>
      <c r="P739"/>
      <c r="Q739"/>
      <c r="R739"/>
      <c r="S739"/>
      <c r="T739"/>
      <c r="U739"/>
      <c r="V739"/>
      <c r="W739"/>
      <c r="X739"/>
      <c r="Y739"/>
      <c r="Z739"/>
      <c r="AA739"/>
      <c r="AB739"/>
      <c r="AC739"/>
      <c r="AD739"/>
      <c r="AE739"/>
      <c r="AF739"/>
      <c r="AG739"/>
      <c r="AH739"/>
      <c r="AI739"/>
      <c r="AJ739"/>
      <c r="AK739"/>
      <c r="AL739"/>
      <c r="AM739"/>
      <c r="AN739"/>
    </row>
    <row r="740" spans="1:40" ht="15" customHeight="1">
      <c r="A740"/>
      <c r="B740"/>
      <c r="C740"/>
      <c r="D740"/>
      <c r="E740"/>
      <c r="F740"/>
      <c r="G740"/>
      <c r="H740"/>
      <c r="I740"/>
      <c r="J740"/>
      <c r="K740"/>
      <c r="L740"/>
      <c r="M740"/>
      <c r="N740"/>
      <c r="O740"/>
      <c r="P740"/>
      <c r="Q740"/>
      <c r="R740"/>
      <c r="S740"/>
      <c r="T740"/>
      <c r="U740"/>
      <c r="V740"/>
      <c r="W740"/>
      <c r="X740"/>
      <c r="Y740"/>
      <c r="Z740"/>
      <c r="AA740"/>
      <c r="AB740"/>
      <c r="AC740"/>
      <c r="AD740"/>
      <c r="AE740"/>
      <c r="AF740"/>
      <c r="AG740"/>
      <c r="AH740"/>
      <c r="AI740"/>
      <c r="AJ740"/>
      <c r="AK740"/>
      <c r="AL740"/>
      <c r="AM740"/>
      <c r="AN740"/>
    </row>
    <row r="741" spans="1:40" ht="15" customHeight="1">
      <c r="A741"/>
      <c r="B741"/>
      <c r="C741"/>
      <c r="D741"/>
      <c r="E741"/>
      <c r="F741"/>
      <c r="G741"/>
      <c r="H741"/>
      <c r="I741"/>
      <c r="J741"/>
      <c r="K741"/>
      <c r="L741"/>
      <c r="M741"/>
      <c r="N741"/>
      <c r="O741"/>
      <c r="P741"/>
      <c r="Q741"/>
      <c r="R741"/>
      <c r="S741"/>
      <c r="T741"/>
      <c r="U741"/>
      <c r="V741"/>
      <c r="W741"/>
      <c r="X741"/>
      <c r="Y741"/>
      <c r="Z741"/>
      <c r="AA741"/>
      <c r="AB741"/>
      <c r="AC741"/>
      <c r="AD741"/>
      <c r="AE741"/>
      <c r="AF741"/>
      <c r="AG741"/>
      <c r="AH741"/>
      <c r="AI741"/>
      <c r="AJ741"/>
      <c r="AK741"/>
      <c r="AL741"/>
      <c r="AM741"/>
      <c r="AN741"/>
    </row>
    <row r="742" spans="1:40" ht="15" customHeight="1">
      <c r="A742"/>
      <c r="B742"/>
      <c r="C742"/>
      <c r="D742"/>
      <c r="E742"/>
      <c r="F742"/>
      <c r="G742"/>
      <c r="H742"/>
      <c r="I742"/>
      <c r="J742"/>
      <c r="K742"/>
      <c r="L742"/>
      <c r="M742"/>
      <c r="N742"/>
      <c r="O742"/>
      <c r="P742"/>
      <c r="Q742"/>
      <c r="R742"/>
      <c r="S742"/>
      <c r="T742"/>
      <c r="U742"/>
      <c r="V742"/>
      <c r="W742"/>
      <c r="X742"/>
      <c r="Y742"/>
      <c r="Z742"/>
      <c r="AA742"/>
      <c r="AB742"/>
      <c r="AC742"/>
      <c r="AD742"/>
      <c r="AE742"/>
      <c r="AF742"/>
      <c r="AG742"/>
      <c r="AH742"/>
      <c r="AI742"/>
      <c r="AJ742"/>
      <c r="AK742"/>
      <c r="AL742"/>
      <c r="AM742"/>
      <c r="AN742"/>
    </row>
    <row r="743" spans="1:40" ht="15" customHeight="1">
      <c r="A743"/>
      <c r="B743"/>
      <c r="C743"/>
      <c r="D743"/>
      <c r="E743"/>
      <c r="F743"/>
      <c r="G743"/>
      <c r="H743"/>
      <c r="I743"/>
      <c r="J743"/>
      <c r="K743"/>
      <c r="L743"/>
      <c r="M743"/>
      <c r="N743"/>
      <c r="O743"/>
      <c r="P743"/>
      <c r="Q743"/>
      <c r="R743"/>
      <c r="S743"/>
      <c r="T743"/>
      <c r="U743"/>
      <c r="V743"/>
      <c r="W743"/>
      <c r="X743"/>
      <c r="Y743"/>
      <c r="Z743"/>
      <c r="AA743"/>
      <c r="AB743"/>
      <c r="AC743"/>
      <c r="AD743"/>
      <c r="AE743"/>
      <c r="AF743"/>
      <c r="AG743"/>
      <c r="AH743"/>
      <c r="AI743"/>
      <c r="AJ743"/>
      <c r="AK743"/>
      <c r="AL743"/>
      <c r="AM743"/>
      <c r="AN743"/>
    </row>
    <row r="744" spans="1:40" ht="15" customHeight="1">
      <c r="A744"/>
      <c r="B744"/>
      <c r="C744"/>
      <c r="D744"/>
      <c r="E744"/>
      <c r="F744"/>
      <c r="G744"/>
      <c r="H744"/>
      <c r="I744"/>
      <c r="J744"/>
      <c r="K744"/>
      <c r="L744"/>
      <c r="M744"/>
      <c r="N744"/>
      <c r="O744"/>
      <c r="P744"/>
      <c r="Q744"/>
      <c r="R744"/>
      <c r="S744"/>
      <c r="T744"/>
      <c r="U744"/>
      <c r="V744"/>
      <c r="W744"/>
      <c r="X744"/>
      <c r="Y744"/>
      <c r="Z744"/>
      <c r="AA744"/>
      <c r="AB744"/>
      <c r="AC744"/>
      <c r="AD744"/>
      <c r="AE744"/>
      <c r="AF744"/>
      <c r="AG744"/>
      <c r="AH744"/>
      <c r="AI744"/>
      <c r="AJ744"/>
      <c r="AK744"/>
      <c r="AL744"/>
      <c r="AM744"/>
      <c r="AN744"/>
    </row>
    <row r="745" spans="1:40" ht="15" customHeight="1">
      <c r="A745"/>
      <c r="B745"/>
      <c r="C745"/>
      <c r="D745"/>
      <c r="E745"/>
      <c r="F745"/>
      <c r="G745"/>
      <c r="H745"/>
      <c r="I745"/>
      <c r="J745"/>
      <c r="K745"/>
      <c r="L745"/>
      <c r="M745"/>
      <c r="N745"/>
      <c r="O745"/>
      <c r="P745"/>
      <c r="Q745"/>
      <c r="R745"/>
      <c r="S745"/>
      <c r="T745"/>
      <c r="U745"/>
      <c r="V745"/>
      <c r="W745"/>
      <c r="X745"/>
      <c r="Y745"/>
      <c r="Z745"/>
      <c r="AA745"/>
      <c r="AB745"/>
      <c r="AC745"/>
      <c r="AD745"/>
      <c r="AE745"/>
      <c r="AF745"/>
      <c r="AG745"/>
      <c r="AH745"/>
      <c r="AI745"/>
      <c r="AJ745"/>
      <c r="AK745"/>
      <c r="AL745"/>
      <c r="AM745"/>
      <c r="AN745"/>
    </row>
    <row r="746" spans="1:40" ht="15" customHeight="1">
      <c r="A746"/>
      <c r="B746"/>
      <c r="C746"/>
      <c r="D746"/>
      <c r="E746"/>
      <c r="F746"/>
      <c r="G746"/>
      <c r="H746"/>
      <c r="I746"/>
      <c r="J746"/>
      <c r="K746"/>
      <c r="L746"/>
      <c r="M746"/>
      <c r="N746"/>
      <c r="O746"/>
      <c r="P746"/>
      <c r="Q746"/>
      <c r="R746"/>
      <c r="S746"/>
      <c r="T746"/>
      <c r="U746"/>
      <c r="V746"/>
      <c r="W746"/>
      <c r="X746"/>
      <c r="Y746"/>
      <c r="Z746"/>
      <c r="AA746"/>
      <c r="AB746"/>
      <c r="AC746"/>
      <c r="AD746"/>
      <c r="AE746"/>
      <c r="AF746"/>
      <c r="AG746"/>
      <c r="AH746"/>
      <c r="AI746"/>
      <c r="AJ746"/>
      <c r="AK746"/>
      <c r="AL746"/>
      <c r="AM746"/>
      <c r="AN746"/>
    </row>
    <row r="747" spans="1:40" ht="15" customHeight="1">
      <c r="A747"/>
      <c r="B747"/>
      <c r="C747"/>
      <c r="D747"/>
      <c r="E747"/>
      <c r="F747"/>
      <c r="G747"/>
      <c r="H747"/>
      <c r="I747"/>
      <c r="J747"/>
      <c r="K747"/>
      <c r="L747"/>
      <c r="M747"/>
      <c r="N747"/>
      <c r="O747"/>
      <c r="P747"/>
      <c r="Q747"/>
      <c r="R747"/>
      <c r="S747"/>
      <c r="T747"/>
      <c r="U747"/>
      <c r="V747"/>
      <c r="W747"/>
      <c r="X747"/>
      <c r="Y747"/>
      <c r="Z747"/>
      <c r="AA747"/>
      <c r="AB747"/>
      <c r="AC747"/>
      <c r="AD747"/>
      <c r="AE747"/>
      <c r="AF747"/>
      <c r="AG747"/>
      <c r="AH747"/>
      <c r="AI747"/>
      <c r="AJ747"/>
      <c r="AK747"/>
      <c r="AL747"/>
      <c r="AM747"/>
      <c r="AN747"/>
    </row>
    <row r="748" spans="1:40" ht="15" customHeight="1">
      <c r="A748"/>
      <c r="B748"/>
      <c r="C748"/>
      <c r="D748"/>
      <c r="E748"/>
      <c r="F748"/>
      <c r="G748"/>
      <c r="H748"/>
      <c r="I748"/>
      <c r="J748"/>
      <c r="K748"/>
      <c r="L748"/>
      <c r="M748"/>
      <c r="N748"/>
      <c r="O748"/>
      <c r="P748"/>
      <c r="Q748"/>
      <c r="R748"/>
      <c r="S748"/>
      <c r="T748"/>
      <c r="U748"/>
      <c r="V748"/>
      <c r="W748"/>
      <c r="X748"/>
      <c r="Y748"/>
      <c r="Z748"/>
      <c r="AA748"/>
      <c r="AB748"/>
      <c r="AC748"/>
      <c r="AD748"/>
      <c r="AE748"/>
      <c r="AF748"/>
      <c r="AG748"/>
      <c r="AH748"/>
      <c r="AI748"/>
      <c r="AJ748"/>
      <c r="AK748"/>
      <c r="AL748"/>
      <c r="AM748"/>
      <c r="AN748"/>
    </row>
    <row r="749" spans="1:40" ht="15" customHeight="1">
      <c r="A749"/>
      <c r="B749"/>
      <c r="C749"/>
      <c r="D749"/>
      <c r="E749"/>
      <c r="F749"/>
      <c r="G749"/>
      <c r="H749"/>
      <c r="I749"/>
      <c r="J749"/>
      <c r="K749"/>
      <c r="L749"/>
      <c r="M749"/>
      <c r="N749"/>
      <c r="O749"/>
      <c r="P749"/>
      <c r="Q749"/>
      <c r="R749"/>
      <c r="S749"/>
      <c r="T749"/>
      <c r="U749"/>
      <c r="V749"/>
      <c r="W749"/>
      <c r="X749"/>
      <c r="Y749"/>
      <c r="Z749"/>
      <c r="AA749"/>
      <c r="AB749"/>
      <c r="AC749"/>
      <c r="AD749"/>
      <c r="AE749"/>
      <c r="AF749"/>
      <c r="AG749"/>
      <c r="AH749"/>
      <c r="AI749"/>
      <c r="AJ749"/>
      <c r="AK749"/>
      <c r="AL749"/>
      <c r="AM749"/>
      <c r="AN749"/>
    </row>
    <row r="750" spans="1:40" ht="15" customHeight="1">
      <c r="A750"/>
      <c r="B750"/>
      <c r="C750"/>
      <c r="D750"/>
      <c r="E750"/>
      <c r="F750"/>
      <c r="G750"/>
      <c r="H750"/>
      <c r="I750"/>
      <c r="J750"/>
      <c r="K750"/>
      <c r="L750"/>
      <c r="M750"/>
      <c r="N750"/>
      <c r="O750"/>
      <c r="P750"/>
      <c r="Q750"/>
      <c r="R750"/>
      <c r="S750"/>
      <c r="T750"/>
      <c r="U750"/>
      <c r="V750"/>
      <c r="W750"/>
      <c r="X750"/>
      <c r="Y750"/>
      <c r="Z750"/>
      <c r="AA750"/>
      <c r="AB750"/>
      <c r="AC750"/>
      <c r="AD750"/>
      <c r="AE750"/>
      <c r="AF750"/>
      <c r="AG750"/>
      <c r="AH750"/>
      <c r="AI750"/>
      <c r="AJ750"/>
      <c r="AK750"/>
      <c r="AL750"/>
      <c r="AM750"/>
      <c r="AN750"/>
    </row>
    <row r="751" spans="1:40" ht="15" customHeight="1">
      <c r="A751"/>
      <c r="B751"/>
      <c r="C751"/>
      <c r="D751"/>
      <c r="E751"/>
      <c r="F751"/>
      <c r="G751"/>
      <c r="H751"/>
      <c r="I751"/>
      <c r="J751"/>
      <c r="K751"/>
      <c r="L751"/>
      <c r="M751"/>
      <c r="N751"/>
      <c r="O751"/>
      <c r="P751"/>
      <c r="Q751"/>
      <c r="R751"/>
      <c r="S751"/>
      <c r="T751"/>
      <c r="U751"/>
      <c r="V751"/>
      <c r="W751"/>
      <c r="X751"/>
      <c r="Y751"/>
      <c r="Z751"/>
      <c r="AA751"/>
      <c r="AB751"/>
      <c r="AC751"/>
      <c r="AD751"/>
      <c r="AE751"/>
      <c r="AF751"/>
      <c r="AG751"/>
      <c r="AH751"/>
      <c r="AI751"/>
      <c r="AJ751"/>
      <c r="AK751"/>
      <c r="AL751"/>
      <c r="AM751"/>
      <c r="AN751"/>
    </row>
    <row r="752" spans="1:40" ht="15" customHeight="1">
      <c r="A752"/>
      <c r="B752"/>
      <c r="C752"/>
      <c r="D752"/>
      <c r="E752"/>
      <c r="F752"/>
      <c r="G752"/>
      <c r="H752"/>
      <c r="I752"/>
      <c r="J752"/>
      <c r="K752"/>
      <c r="L752"/>
      <c r="M752"/>
      <c r="N752"/>
      <c r="O752"/>
      <c r="P752"/>
      <c r="Q752"/>
      <c r="R752"/>
      <c r="S752"/>
      <c r="T752"/>
      <c r="U752"/>
      <c r="V752"/>
      <c r="W752"/>
      <c r="X752"/>
      <c r="Y752"/>
      <c r="Z752"/>
      <c r="AA752"/>
      <c r="AB752"/>
      <c r="AC752"/>
      <c r="AD752"/>
      <c r="AE752"/>
      <c r="AF752"/>
      <c r="AG752"/>
      <c r="AH752"/>
      <c r="AI752"/>
      <c r="AJ752"/>
      <c r="AK752"/>
      <c r="AL752"/>
      <c r="AM752"/>
      <c r="AN752"/>
    </row>
    <row r="753" spans="1:40" ht="15" customHeight="1">
      <c r="A753"/>
      <c r="B753"/>
      <c r="C753"/>
      <c r="D753"/>
      <c r="E753"/>
      <c r="F753"/>
      <c r="G753"/>
      <c r="H753"/>
      <c r="I753"/>
      <c r="J753"/>
      <c r="K753"/>
      <c r="L753"/>
      <c r="M753"/>
      <c r="N753"/>
      <c r="O753"/>
      <c r="P753"/>
      <c r="Q753"/>
      <c r="R753"/>
      <c r="S753"/>
      <c r="T753"/>
      <c r="U753"/>
      <c r="V753"/>
      <c r="W753"/>
      <c r="X753"/>
      <c r="Y753"/>
      <c r="Z753"/>
      <c r="AA753"/>
      <c r="AB753"/>
      <c r="AC753"/>
      <c r="AD753"/>
      <c r="AE753"/>
      <c r="AF753"/>
      <c r="AG753"/>
      <c r="AH753"/>
      <c r="AI753"/>
      <c r="AJ753"/>
      <c r="AK753"/>
      <c r="AL753"/>
      <c r="AM753"/>
      <c r="AN753"/>
    </row>
    <row r="754" spans="1:40" ht="15" customHeight="1">
      <c r="A754"/>
      <c r="B754"/>
      <c r="C754"/>
      <c r="D754"/>
      <c r="E754"/>
      <c r="F754"/>
      <c r="G754"/>
      <c r="H754"/>
      <c r="I754"/>
      <c r="J754"/>
      <c r="K754"/>
      <c r="L754"/>
      <c r="M754"/>
      <c r="N754"/>
      <c r="O754"/>
      <c r="P754"/>
      <c r="Q754"/>
      <c r="R754"/>
      <c r="S754"/>
      <c r="T754"/>
      <c r="U754"/>
      <c r="V754"/>
      <c r="W754"/>
      <c r="X754"/>
      <c r="Y754"/>
      <c r="Z754"/>
      <c r="AA754"/>
      <c r="AB754"/>
      <c r="AC754"/>
      <c r="AD754"/>
      <c r="AE754"/>
      <c r="AF754"/>
      <c r="AG754"/>
      <c r="AH754"/>
      <c r="AI754"/>
      <c r="AJ754"/>
      <c r="AK754"/>
      <c r="AL754"/>
      <c r="AM754"/>
      <c r="AN754"/>
    </row>
    <row r="755" spans="1:40" ht="15" customHeight="1">
      <c r="A755"/>
      <c r="B755"/>
      <c r="C755"/>
      <c r="D755"/>
      <c r="E755"/>
      <c r="F755"/>
      <c r="G755"/>
      <c r="H755"/>
      <c r="I755"/>
      <c r="J755"/>
      <c r="K755"/>
      <c r="L755"/>
      <c r="M755"/>
      <c r="N755"/>
      <c r="O755"/>
      <c r="P755"/>
      <c r="Q755"/>
      <c r="R755"/>
      <c r="S755"/>
      <c r="T755"/>
      <c r="U755"/>
      <c r="V755"/>
      <c r="W755"/>
      <c r="X755"/>
      <c r="Y755"/>
      <c r="Z755"/>
      <c r="AA755"/>
      <c r="AB755"/>
      <c r="AC755"/>
      <c r="AD755"/>
      <c r="AE755"/>
      <c r="AF755"/>
      <c r="AG755"/>
      <c r="AH755"/>
      <c r="AI755"/>
      <c r="AJ755"/>
      <c r="AK755"/>
      <c r="AL755"/>
      <c r="AM755"/>
      <c r="AN755"/>
    </row>
    <row r="756" spans="1:40" ht="15" customHeight="1">
      <c r="A756"/>
      <c r="B756"/>
      <c r="C756"/>
      <c r="D756"/>
      <c r="E756"/>
      <c r="F756"/>
      <c r="G756"/>
      <c r="H756"/>
      <c r="I756"/>
      <c r="J756"/>
      <c r="K756"/>
      <c r="L756"/>
      <c r="M756"/>
      <c r="N756"/>
      <c r="O756"/>
      <c r="P756"/>
      <c r="Q756"/>
      <c r="R756"/>
      <c r="S756"/>
      <c r="T756"/>
      <c r="U756"/>
      <c r="V756"/>
      <c r="W756"/>
      <c r="X756"/>
      <c r="Y756"/>
      <c r="Z756"/>
      <c r="AA756"/>
      <c r="AB756"/>
      <c r="AC756"/>
      <c r="AD756"/>
      <c r="AE756"/>
      <c r="AF756"/>
      <c r="AG756"/>
      <c r="AH756"/>
      <c r="AI756"/>
      <c r="AJ756"/>
      <c r="AK756"/>
      <c r="AL756"/>
      <c r="AM756"/>
      <c r="AN756"/>
    </row>
    <row r="757" spans="1:40" ht="15" customHeight="1">
      <c r="A757"/>
      <c r="B757"/>
      <c r="C757"/>
      <c r="D757"/>
      <c r="E757"/>
      <c r="F757"/>
      <c r="G757"/>
      <c r="H757"/>
      <c r="I757"/>
      <c r="J757"/>
      <c r="K757"/>
      <c r="L757"/>
      <c r="M757"/>
      <c r="N757"/>
      <c r="O757"/>
      <c r="P757"/>
      <c r="Q757"/>
      <c r="R757"/>
      <c r="S757"/>
      <c r="T757"/>
      <c r="U757"/>
      <c r="V757"/>
      <c r="W757"/>
      <c r="X757"/>
      <c r="Y757"/>
      <c r="Z757"/>
      <c r="AA757"/>
      <c r="AB757"/>
      <c r="AC757"/>
      <c r="AD757"/>
      <c r="AE757"/>
      <c r="AF757"/>
      <c r="AG757"/>
      <c r="AH757"/>
      <c r="AI757"/>
      <c r="AJ757"/>
      <c r="AK757"/>
      <c r="AL757"/>
      <c r="AM757"/>
      <c r="AN757"/>
    </row>
    <row r="758" spans="1:40" ht="15" customHeight="1">
      <c r="A758"/>
      <c r="B758"/>
      <c r="C758"/>
      <c r="D758"/>
      <c r="E758"/>
      <c r="F758"/>
      <c r="G758"/>
      <c r="H758"/>
      <c r="I758"/>
      <c r="J758"/>
      <c r="K758"/>
      <c r="L758"/>
      <c r="M758"/>
      <c r="N758"/>
      <c r="O758"/>
      <c r="P758"/>
      <c r="Q758"/>
      <c r="R758"/>
      <c r="S758"/>
      <c r="T758"/>
      <c r="U758"/>
      <c r="V758"/>
      <c r="W758"/>
      <c r="X758"/>
      <c r="Y758"/>
      <c r="Z758"/>
      <c r="AA758"/>
      <c r="AB758"/>
      <c r="AC758"/>
      <c r="AD758"/>
      <c r="AE758"/>
      <c r="AF758"/>
      <c r="AG758"/>
      <c r="AH758"/>
      <c r="AI758"/>
      <c r="AJ758"/>
      <c r="AK758"/>
      <c r="AL758"/>
      <c r="AM758"/>
      <c r="AN758"/>
    </row>
    <row r="759" spans="1:40" ht="15" customHeight="1">
      <c r="A759"/>
      <c r="B759"/>
      <c r="C759"/>
      <c r="D759"/>
      <c r="E759"/>
      <c r="F759"/>
      <c r="G759"/>
      <c r="H759"/>
      <c r="I759"/>
      <c r="J759"/>
      <c r="K759"/>
      <c r="L759"/>
      <c r="M759"/>
      <c r="N759"/>
      <c r="O759"/>
      <c r="P759"/>
      <c r="Q759"/>
      <c r="R759"/>
      <c r="S759"/>
      <c r="T759"/>
      <c r="U759"/>
      <c r="V759"/>
      <c r="W759"/>
      <c r="X759"/>
      <c r="Y759"/>
      <c r="Z759"/>
      <c r="AA759"/>
      <c r="AB759"/>
      <c r="AC759"/>
      <c r="AD759"/>
      <c r="AE759"/>
      <c r="AF759"/>
      <c r="AG759"/>
      <c r="AH759"/>
      <c r="AI759"/>
      <c r="AJ759"/>
      <c r="AK759"/>
      <c r="AL759"/>
      <c r="AM759"/>
      <c r="AN759"/>
    </row>
    <row r="760" spans="1:40" ht="15" customHeight="1">
      <c r="A760"/>
      <c r="B760"/>
      <c r="C760"/>
      <c r="D760"/>
      <c r="E760"/>
      <c r="F760"/>
      <c r="G760"/>
      <c r="H760"/>
      <c r="I760"/>
      <c r="J760"/>
      <c r="K760"/>
      <c r="L760"/>
      <c r="M760"/>
      <c r="N760"/>
      <c r="O760"/>
      <c r="P760"/>
      <c r="Q760"/>
      <c r="R760"/>
      <c r="S760"/>
      <c r="T760"/>
      <c r="U760"/>
      <c r="V760"/>
      <c r="W760"/>
      <c r="X760"/>
      <c r="Y760"/>
      <c r="Z760"/>
      <c r="AA760"/>
      <c r="AB760"/>
      <c r="AC760"/>
      <c r="AD760"/>
      <c r="AE760"/>
      <c r="AF760"/>
      <c r="AG760"/>
      <c r="AH760"/>
      <c r="AI760"/>
      <c r="AJ760"/>
      <c r="AK760"/>
      <c r="AL760"/>
      <c r="AM760"/>
      <c r="AN760"/>
    </row>
    <row r="761" spans="1:40" ht="15" customHeight="1">
      <c r="A761"/>
      <c r="B761"/>
      <c r="C761"/>
      <c r="D761"/>
      <c r="E761"/>
      <c r="F761"/>
      <c r="G761"/>
      <c r="H761"/>
      <c r="I761"/>
      <c r="J761"/>
      <c r="K761"/>
      <c r="L761"/>
      <c r="M761"/>
      <c r="N761"/>
      <c r="O761"/>
      <c r="P761"/>
      <c r="Q761"/>
      <c r="R761"/>
      <c r="S761"/>
      <c r="T761"/>
      <c r="U761"/>
      <c r="V761"/>
      <c r="W761"/>
      <c r="X761"/>
      <c r="Y761"/>
      <c r="Z761"/>
      <c r="AA761"/>
      <c r="AB761"/>
      <c r="AC761"/>
      <c r="AD761"/>
      <c r="AE761"/>
      <c r="AF761"/>
      <c r="AG761"/>
      <c r="AH761"/>
      <c r="AI761"/>
      <c r="AJ761"/>
      <c r="AK761"/>
      <c r="AL761"/>
      <c r="AM761"/>
      <c r="AN761"/>
    </row>
    <row r="762" spans="1:40" ht="15" customHeight="1">
      <c r="A762"/>
      <c r="B762"/>
      <c r="C762"/>
      <c r="D762"/>
      <c r="E762"/>
      <c r="F762"/>
      <c r="G762"/>
      <c r="H762"/>
      <c r="I762"/>
      <c r="J762"/>
      <c r="K762"/>
      <c r="L762"/>
      <c r="M762"/>
      <c r="N762"/>
      <c r="O762"/>
      <c r="P762"/>
      <c r="Q762"/>
      <c r="R762"/>
      <c r="S762"/>
      <c r="T762"/>
      <c r="U762"/>
      <c r="V762"/>
      <c r="W762"/>
      <c r="X762"/>
      <c r="Y762"/>
      <c r="Z762"/>
      <c r="AA762"/>
      <c r="AB762"/>
      <c r="AC762"/>
      <c r="AD762"/>
      <c r="AE762"/>
      <c r="AF762"/>
      <c r="AG762"/>
      <c r="AH762"/>
      <c r="AI762"/>
      <c r="AJ762"/>
      <c r="AK762"/>
      <c r="AL762"/>
      <c r="AM762"/>
      <c r="AN762"/>
    </row>
    <row r="763" spans="1:40" ht="15" customHeight="1">
      <c r="A763"/>
      <c r="B763"/>
      <c r="C763"/>
      <c r="D763"/>
      <c r="E763"/>
      <c r="F763"/>
      <c r="G763"/>
      <c r="H763"/>
      <c r="I763"/>
      <c r="J763"/>
      <c r="K763"/>
      <c r="L763"/>
      <c r="M763"/>
      <c r="N763"/>
      <c r="O763"/>
      <c r="P763"/>
      <c r="Q763"/>
      <c r="R763"/>
      <c r="S763"/>
      <c r="T763"/>
      <c r="U763"/>
      <c r="V763"/>
      <c r="W763"/>
      <c r="X763"/>
      <c r="Y763"/>
      <c r="Z763"/>
      <c r="AA763"/>
      <c r="AB763"/>
      <c r="AC763"/>
      <c r="AD763"/>
      <c r="AE763"/>
      <c r="AF763"/>
      <c r="AG763"/>
      <c r="AH763"/>
      <c r="AI763"/>
      <c r="AJ763"/>
      <c r="AK763"/>
      <c r="AL763"/>
      <c r="AM763"/>
      <c r="AN763"/>
    </row>
    <row r="764" spans="1:40" ht="15" customHeight="1">
      <c r="A764"/>
      <c r="B764"/>
      <c r="C764"/>
      <c r="D764"/>
      <c r="E764"/>
      <c r="F764"/>
      <c r="G764"/>
      <c r="H764"/>
      <c r="I764"/>
      <c r="J764"/>
      <c r="K764"/>
      <c r="L764"/>
      <c r="M764"/>
      <c r="N764"/>
      <c r="O764"/>
      <c r="P764"/>
      <c r="Q764"/>
      <c r="R764"/>
      <c r="S764"/>
      <c r="T764"/>
      <c r="U764"/>
      <c r="V764"/>
      <c r="W764"/>
      <c r="X764"/>
      <c r="Y764"/>
      <c r="Z764"/>
      <c r="AA764"/>
      <c r="AB764"/>
      <c r="AC764"/>
      <c r="AD764"/>
      <c r="AE764"/>
      <c r="AF764"/>
      <c r="AG764"/>
      <c r="AH764"/>
      <c r="AI764"/>
      <c r="AJ764"/>
      <c r="AK764"/>
      <c r="AL764"/>
      <c r="AM764"/>
      <c r="AN764"/>
    </row>
    <row r="765" spans="1:40" ht="15" customHeight="1">
      <c r="A765"/>
      <c r="B765"/>
      <c r="C765"/>
      <c r="D765"/>
      <c r="E765"/>
      <c r="F765"/>
      <c r="G765"/>
      <c r="H765"/>
      <c r="I765"/>
      <c r="J765"/>
      <c r="K765"/>
      <c r="L765"/>
      <c r="M765"/>
      <c r="N765"/>
      <c r="O765"/>
      <c r="P765"/>
      <c r="Q765"/>
      <c r="R765"/>
      <c r="S765"/>
      <c r="T765"/>
      <c r="U765"/>
      <c r="V765"/>
      <c r="W765"/>
      <c r="X765"/>
      <c r="Y765"/>
      <c r="Z765"/>
      <c r="AA765"/>
      <c r="AB765"/>
      <c r="AC765"/>
      <c r="AD765"/>
      <c r="AE765"/>
      <c r="AF765"/>
      <c r="AG765"/>
      <c r="AH765"/>
      <c r="AI765"/>
      <c r="AJ765"/>
      <c r="AK765"/>
      <c r="AL765"/>
      <c r="AM765"/>
      <c r="AN765"/>
    </row>
    <row r="766" spans="1:40" ht="15" customHeight="1">
      <c r="A766"/>
      <c r="B766"/>
      <c r="C766"/>
      <c r="D766"/>
      <c r="E766"/>
      <c r="F766"/>
      <c r="G766"/>
      <c r="H766"/>
      <c r="I766"/>
      <c r="J766"/>
      <c r="K766"/>
      <c r="L766"/>
      <c r="M766"/>
      <c r="N766"/>
      <c r="O766"/>
      <c r="P766"/>
      <c r="Q766"/>
      <c r="R766"/>
      <c r="S766"/>
      <c r="T766"/>
      <c r="U766"/>
      <c r="V766"/>
      <c r="W766"/>
      <c r="X766"/>
      <c r="Y766"/>
      <c r="Z766"/>
      <c r="AA766"/>
      <c r="AB766"/>
      <c r="AC766"/>
      <c r="AD766"/>
      <c r="AE766"/>
      <c r="AF766"/>
      <c r="AG766"/>
      <c r="AH766"/>
      <c r="AI766"/>
      <c r="AJ766"/>
      <c r="AK766"/>
      <c r="AL766"/>
      <c r="AM766"/>
      <c r="AN766"/>
    </row>
    <row r="767" spans="1:40" ht="15" customHeight="1">
      <c r="A767"/>
      <c r="B767"/>
      <c r="C767"/>
      <c r="D767"/>
      <c r="E767"/>
      <c r="F767"/>
      <c r="G767"/>
      <c r="H767"/>
      <c r="I767"/>
      <c r="J767"/>
      <c r="K767"/>
      <c r="L767"/>
      <c r="M767"/>
      <c r="N767"/>
      <c r="O767"/>
      <c r="P767"/>
      <c r="Q767"/>
      <c r="R767"/>
      <c r="S767"/>
      <c r="T767"/>
      <c r="U767"/>
      <c r="V767"/>
      <c r="W767"/>
      <c r="X767"/>
      <c r="Y767"/>
      <c r="Z767"/>
      <c r="AA767"/>
      <c r="AB767"/>
      <c r="AC767"/>
      <c r="AD767"/>
      <c r="AE767"/>
      <c r="AF767"/>
      <c r="AG767"/>
      <c r="AH767"/>
      <c r="AI767"/>
      <c r="AJ767"/>
      <c r="AK767"/>
      <c r="AL767"/>
      <c r="AM767"/>
      <c r="AN767"/>
    </row>
    <row r="768" spans="1:40" ht="15" customHeight="1">
      <c r="A768"/>
      <c r="B768"/>
      <c r="C768"/>
      <c r="D768"/>
      <c r="E768"/>
      <c r="F768"/>
      <c r="G768"/>
      <c r="H768"/>
      <c r="I768"/>
      <c r="J768"/>
      <c r="K768"/>
      <c r="L768"/>
      <c r="M768"/>
      <c r="N768"/>
      <c r="O768"/>
      <c r="P768"/>
      <c r="Q768"/>
      <c r="R768"/>
      <c r="S768"/>
      <c r="T768"/>
      <c r="U768"/>
      <c r="V768"/>
      <c r="W768"/>
      <c r="X768"/>
      <c r="Y768"/>
      <c r="Z768"/>
      <c r="AA768"/>
      <c r="AB768"/>
      <c r="AC768"/>
      <c r="AD768"/>
      <c r="AE768"/>
      <c r="AF768"/>
      <c r="AG768"/>
      <c r="AH768"/>
      <c r="AI768"/>
      <c r="AJ768"/>
      <c r="AK768"/>
      <c r="AL768"/>
      <c r="AM768"/>
      <c r="AN768"/>
    </row>
    <row r="769" spans="1:40" ht="15" customHeight="1">
      <c r="A769"/>
      <c r="B769"/>
      <c r="C769"/>
      <c r="D769"/>
      <c r="E769"/>
      <c r="F769"/>
      <c r="G769"/>
      <c r="H769"/>
      <c r="I769"/>
      <c r="J769"/>
      <c r="K769"/>
      <c r="L769"/>
      <c r="M769"/>
      <c r="N769"/>
      <c r="O769"/>
      <c r="P769"/>
      <c r="Q769"/>
      <c r="R769"/>
      <c r="S769"/>
      <c r="T769"/>
      <c r="U769"/>
      <c r="V769"/>
      <c r="W769"/>
      <c r="X769"/>
      <c r="Y769"/>
      <c r="Z769"/>
      <c r="AA769"/>
      <c r="AB769"/>
      <c r="AC769"/>
      <c r="AD769"/>
      <c r="AE769"/>
      <c r="AF769"/>
      <c r="AG769"/>
      <c r="AH769"/>
      <c r="AI769"/>
      <c r="AJ769"/>
      <c r="AK769"/>
      <c r="AL769"/>
      <c r="AM769"/>
      <c r="AN769"/>
    </row>
    <row r="770" spans="1:40" ht="15" customHeight="1">
      <c r="A770"/>
      <c r="B770"/>
      <c r="C770"/>
      <c r="D770"/>
      <c r="E770"/>
      <c r="F770"/>
      <c r="G770"/>
      <c r="H770"/>
      <c r="I770"/>
      <c r="J770"/>
      <c r="K770"/>
      <c r="L770"/>
      <c r="M770"/>
      <c r="N770"/>
      <c r="O770"/>
      <c r="P770"/>
      <c r="Q770"/>
      <c r="R770"/>
      <c r="S770"/>
      <c r="T770"/>
      <c r="U770"/>
      <c r="V770"/>
      <c r="W770"/>
      <c r="X770"/>
      <c r="Y770"/>
      <c r="Z770"/>
      <c r="AA770"/>
      <c r="AB770"/>
      <c r="AC770"/>
      <c r="AD770"/>
      <c r="AE770"/>
      <c r="AF770"/>
      <c r="AG770"/>
      <c r="AH770"/>
      <c r="AI770"/>
      <c r="AJ770"/>
      <c r="AK770"/>
      <c r="AL770"/>
      <c r="AM770"/>
      <c r="AN770"/>
    </row>
    <row r="771" spans="1:40" ht="15" customHeight="1">
      <c r="A771"/>
      <c r="B771"/>
      <c r="C771"/>
      <c r="D771"/>
      <c r="E771"/>
      <c r="F771"/>
      <c r="G771"/>
      <c r="H771"/>
      <c r="I771"/>
      <c r="J771"/>
      <c r="K771"/>
      <c r="L771"/>
      <c r="M771"/>
      <c r="N771"/>
      <c r="O771"/>
      <c r="P771"/>
      <c r="Q771"/>
      <c r="R771"/>
      <c r="S771"/>
      <c r="T771"/>
      <c r="U771"/>
      <c r="V771"/>
      <c r="W771"/>
      <c r="X771"/>
      <c r="Y771"/>
      <c r="Z771"/>
      <c r="AA771"/>
      <c r="AB771"/>
      <c r="AC771"/>
      <c r="AD771"/>
      <c r="AE771"/>
      <c r="AF771"/>
      <c r="AG771"/>
      <c r="AH771"/>
      <c r="AI771"/>
      <c r="AJ771"/>
      <c r="AK771"/>
      <c r="AL771"/>
      <c r="AM771"/>
      <c r="AN771"/>
    </row>
    <row r="772" spans="1:40" ht="15" customHeight="1">
      <c r="A772"/>
      <c r="B772"/>
      <c r="C772"/>
      <c r="D772"/>
      <c r="E772"/>
      <c r="F772"/>
      <c r="G772"/>
      <c r="H772"/>
      <c r="I772"/>
      <c r="J772"/>
      <c r="K772"/>
      <c r="L772"/>
      <c r="M772"/>
      <c r="N772"/>
      <c r="O772"/>
      <c r="P772"/>
      <c r="Q772"/>
      <c r="R772"/>
      <c r="S772"/>
      <c r="T772"/>
      <c r="U772"/>
      <c r="V772"/>
      <c r="W772"/>
      <c r="X772"/>
      <c r="Y772"/>
      <c r="Z772"/>
      <c r="AA772"/>
      <c r="AB772"/>
      <c r="AC772"/>
      <c r="AD772"/>
      <c r="AE772"/>
      <c r="AF772"/>
      <c r="AG772"/>
      <c r="AH772"/>
      <c r="AI772"/>
      <c r="AJ772"/>
      <c r="AK772"/>
      <c r="AL772"/>
      <c r="AM772"/>
      <c r="AN772"/>
    </row>
    <row r="773" spans="1:40" ht="15" customHeight="1">
      <c r="A773"/>
      <c r="B773"/>
      <c r="C773"/>
      <c r="D773"/>
      <c r="E773"/>
      <c r="F773"/>
      <c r="G773"/>
      <c r="H773"/>
      <c r="I773"/>
      <c r="J773"/>
      <c r="K773"/>
      <c r="L773"/>
      <c r="M773"/>
      <c r="N773"/>
      <c r="O773"/>
      <c r="P773"/>
      <c r="Q773"/>
      <c r="R773"/>
      <c r="S773"/>
      <c r="T773"/>
      <c r="U773"/>
      <c r="V773"/>
      <c r="W773"/>
      <c r="X773"/>
      <c r="Y773"/>
      <c r="Z773"/>
      <c r="AA773"/>
      <c r="AB773"/>
      <c r="AC773"/>
      <c r="AD773"/>
      <c r="AE773"/>
      <c r="AF773"/>
      <c r="AG773"/>
      <c r="AH773"/>
      <c r="AI773"/>
      <c r="AJ773"/>
      <c r="AK773"/>
      <c r="AL773"/>
      <c r="AM773"/>
      <c r="AN773"/>
    </row>
    <row r="774" spans="1:40" ht="15" customHeight="1">
      <c r="A774"/>
      <c r="B774"/>
      <c r="C774"/>
      <c r="D774"/>
      <c r="E774"/>
      <c r="F774"/>
      <c r="G774"/>
      <c r="H774"/>
      <c r="I774"/>
      <c r="J774"/>
      <c r="K774"/>
      <c r="L774"/>
      <c r="M774"/>
      <c r="N774"/>
      <c r="O774"/>
      <c r="P774"/>
      <c r="Q774"/>
      <c r="R774"/>
      <c r="S774"/>
      <c r="T774"/>
      <c r="U774"/>
      <c r="V774"/>
      <c r="W774"/>
      <c r="X774"/>
      <c r="Y774"/>
      <c r="Z774"/>
      <c r="AA774"/>
      <c r="AB774"/>
      <c r="AC774"/>
      <c r="AD774"/>
      <c r="AE774"/>
      <c r="AF774"/>
      <c r="AG774"/>
      <c r="AH774"/>
      <c r="AI774"/>
      <c r="AJ774"/>
      <c r="AK774"/>
      <c r="AL774"/>
      <c r="AM774"/>
      <c r="AN774"/>
    </row>
    <row r="775" spans="1:40" ht="15" customHeight="1">
      <c r="A775"/>
      <c r="B775"/>
      <c r="C775"/>
      <c r="D775"/>
      <c r="E775"/>
      <c r="F775"/>
      <c r="G775"/>
      <c r="H775"/>
      <c r="I775"/>
      <c r="J775"/>
      <c r="K775"/>
      <c r="L775"/>
      <c r="M775"/>
      <c r="N775"/>
      <c r="O775"/>
      <c r="P775"/>
      <c r="Q775"/>
      <c r="R775"/>
      <c r="S775"/>
      <c r="T775"/>
      <c r="U775"/>
      <c r="V775"/>
      <c r="W775"/>
      <c r="X775"/>
      <c r="Y775"/>
      <c r="Z775"/>
      <c r="AA775"/>
      <c r="AB775"/>
      <c r="AC775"/>
      <c r="AD775"/>
      <c r="AE775"/>
      <c r="AF775"/>
      <c r="AG775"/>
      <c r="AH775"/>
      <c r="AI775"/>
      <c r="AJ775"/>
      <c r="AK775"/>
      <c r="AL775"/>
      <c r="AM775"/>
      <c r="AN775"/>
    </row>
    <row r="776" spans="1:40" ht="15" customHeight="1">
      <c r="A776"/>
      <c r="B776"/>
      <c r="C776"/>
      <c r="D776"/>
      <c r="E776"/>
      <c r="F776"/>
      <c r="G776"/>
      <c r="H776"/>
      <c r="I776"/>
      <c r="J776"/>
      <c r="K776"/>
      <c r="L776"/>
      <c r="M776"/>
      <c r="N776"/>
      <c r="O776"/>
      <c r="P776"/>
      <c r="Q776"/>
      <c r="R776"/>
      <c r="S776"/>
      <c r="T776"/>
      <c r="U776"/>
      <c r="V776"/>
      <c r="W776"/>
      <c r="X776"/>
      <c r="Y776"/>
      <c r="Z776"/>
      <c r="AA776"/>
      <c r="AB776"/>
      <c r="AC776"/>
      <c r="AD776"/>
      <c r="AE776"/>
      <c r="AF776"/>
      <c r="AG776"/>
      <c r="AH776"/>
      <c r="AI776"/>
      <c r="AJ776"/>
      <c r="AK776"/>
      <c r="AL776"/>
      <c r="AM776"/>
      <c r="AN776"/>
    </row>
    <row r="777" spans="1:40" ht="15" customHeight="1">
      <c r="A777"/>
      <c r="B777"/>
      <c r="C777"/>
      <c r="D777"/>
      <c r="E777"/>
      <c r="F777"/>
      <c r="G777"/>
      <c r="H777"/>
      <c r="I777"/>
      <c r="J777"/>
      <c r="K777"/>
      <c r="L777"/>
      <c r="M777"/>
      <c r="N777"/>
      <c r="O777"/>
      <c r="P777"/>
      <c r="Q777"/>
      <c r="R777"/>
      <c r="S777"/>
      <c r="T777"/>
      <c r="U777"/>
      <c r="V777"/>
      <c r="W777"/>
      <c r="X777"/>
      <c r="Y777"/>
      <c r="Z777"/>
      <c r="AA777"/>
      <c r="AB777"/>
      <c r="AC777"/>
      <c r="AD777"/>
      <c r="AE777"/>
      <c r="AF777"/>
      <c r="AG777"/>
      <c r="AH777"/>
      <c r="AI777"/>
      <c r="AJ777"/>
      <c r="AK777"/>
      <c r="AL777"/>
      <c r="AM777"/>
      <c r="AN777"/>
    </row>
    <row r="778" spans="1:40" ht="15" customHeight="1">
      <c r="A778"/>
      <c r="B778"/>
      <c r="C778"/>
      <c r="D778"/>
      <c r="E778"/>
      <c r="F778"/>
      <c r="G778"/>
      <c r="H778"/>
      <c r="I778"/>
      <c r="J778"/>
      <c r="K778"/>
      <c r="L778"/>
      <c r="M778"/>
      <c r="N778"/>
      <c r="O778"/>
      <c r="P778"/>
      <c r="Q778"/>
      <c r="R778"/>
      <c r="S778"/>
      <c r="T778"/>
      <c r="U778"/>
      <c r="V778"/>
      <c r="W778"/>
      <c r="X778"/>
      <c r="Y778"/>
      <c r="Z778"/>
      <c r="AA778"/>
      <c r="AB778"/>
      <c r="AC778"/>
      <c r="AD778"/>
      <c r="AE778"/>
      <c r="AF778"/>
      <c r="AG778"/>
      <c r="AH778"/>
      <c r="AI778"/>
      <c r="AJ778"/>
      <c r="AK778"/>
      <c r="AL778"/>
      <c r="AM778"/>
      <c r="AN778"/>
    </row>
    <row r="779" spans="1:40" ht="15" customHeight="1">
      <c r="A779"/>
      <c r="B779"/>
      <c r="C779"/>
      <c r="D779"/>
      <c r="E779"/>
      <c r="F779"/>
      <c r="G779"/>
      <c r="H779"/>
      <c r="I779"/>
      <c r="J779"/>
      <c r="K779"/>
      <c r="L779"/>
      <c r="M779"/>
      <c r="N779"/>
      <c r="O779"/>
      <c r="P779"/>
      <c r="Q779"/>
      <c r="R779"/>
      <c r="S779"/>
      <c r="T779"/>
      <c r="U779"/>
      <c r="V779"/>
      <c r="W779"/>
      <c r="X779"/>
      <c r="Y779"/>
      <c r="Z779"/>
      <c r="AA779"/>
      <c r="AB779"/>
      <c r="AC779"/>
      <c r="AD779"/>
      <c r="AE779"/>
      <c r="AF779"/>
      <c r="AG779"/>
      <c r="AH779"/>
      <c r="AI779"/>
      <c r="AJ779"/>
      <c r="AK779"/>
      <c r="AL779"/>
      <c r="AM779"/>
      <c r="AN779"/>
    </row>
    <row r="780" spans="1:40" ht="15" customHeight="1">
      <c r="A780"/>
      <c r="B780"/>
      <c r="C780"/>
      <c r="D780"/>
      <c r="E780"/>
      <c r="F780"/>
      <c r="G780"/>
      <c r="H780"/>
      <c r="I780"/>
      <c r="J780"/>
      <c r="K780"/>
      <c r="L780"/>
      <c r="M780"/>
      <c r="N780"/>
      <c r="O780"/>
      <c r="P780"/>
      <c r="Q780"/>
      <c r="R780"/>
      <c r="S780"/>
      <c r="T780"/>
      <c r="U780"/>
      <c r="V780"/>
      <c r="W780"/>
      <c r="X780"/>
      <c r="Y780"/>
      <c r="Z780"/>
      <c r="AA780"/>
      <c r="AB780"/>
      <c r="AC780"/>
      <c r="AD780"/>
      <c r="AE780"/>
      <c r="AF780"/>
      <c r="AG780"/>
      <c r="AH780"/>
      <c r="AI780"/>
      <c r="AJ780"/>
      <c r="AK780"/>
      <c r="AL780"/>
      <c r="AM780"/>
      <c r="AN780"/>
    </row>
    <row r="781" spans="1:40" ht="15" customHeight="1">
      <c r="A781"/>
      <c r="B781"/>
      <c r="C781"/>
      <c r="D781"/>
      <c r="E781"/>
      <c r="F781"/>
      <c r="G781"/>
      <c r="H781"/>
      <c r="I781"/>
      <c r="J781"/>
      <c r="K781"/>
      <c r="L781"/>
      <c r="M781"/>
      <c r="N781"/>
      <c r="O781"/>
      <c r="P781"/>
      <c r="Q781"/>
      <c r="R781"/>
      <c r="S781"/>
      <c r="T781"/>
      <c r="U781"/>
      <c r="V781"/>
      <c r="W781"/>
      <c r="X781"/>
      <c r="Y781"/>
      <c r="Z781"/>
      <c r="AA781"/>
      <c r="AB781"/>
      <c r="AC781"/>
      <c r="AD781"/>
      <c r="AE781"/>
      <c r="AF781"/>
      <c r="AG781"/>
      <c r="AH781"/>
      <c r="AI781"/>
      <c r="AJ781"/>
      <c r="AK781"/>
      <c r="AL781"/>
      <c r="AM781"/>
      <c r="AN781"/>
    </row>
    <row r="782" spans="1:40" ht="15" customHeight="1">
      <c r="A782"/>
      <c r="B782"/>
      <c r="C782"/>
      <c r="D782"/>
      <c r="E782"/>
      <c r="F782"/>
      <c r="G782"/>
      <c r="H782"/>
      <c r="I782"/>
      <c r="J782"/>
      <c r="K782"/>
      <c r="L782"/>
      <c r="M782"/>
      <c r="N782"/>
      <c r="O782"/>
      <c r="P782"/>
      <c r="Q782"/>
      <c r="R782"/>
      <c r="S782"/>
      <c r="T782"/>
      <c r="U782"/>
      <c r="V782"/>
      <c r="W782"/>
      <c r="X782"/>
      <c r="Y782"/>
      <c r="Z782"/>
      <c r="AA782"/>
      <c r="AB782"/>
      <c r="AC782"/>
      <c r="AD782"/>
      <c r="AE782"/>
      <c r="AF782"/>
      <c r="AG782"/>
      <c r="AH782"/>
      <c r="AI782"/>
      <c r="AJ782"/>
      <c r="AK782"/>
      <c r="AL782"/>
      <c r="AM782"/>
      <c r="AN782"/>
    </row>
    <row r="783" spans="1:40" ht="15" customHeight="1">
      <c r="A783"/>
      <c r="B783"/>
      <c r="C783"/>
      <c r="D783"/>
      <c r="E783"/>
      <c r="F783"/>
      <c r="G783"/>
      <c r="H783"/>
      <c r="I783"/>
      <c r="J783"/>
      <c r="K783"/>
      <c r="L783"/>
      <c r="M783"/>
      <c r="N783"/>
      <c r="O783"/>
      <c r="P783"/>
      <c r="Q783"/>
      <c r="R783"/>
      <c r="S783"/>
      <c r="T783"/>
      <c r="U783"/>
      <c r="V783"/>
      <c r="W783"/>
      <c r="X783"/>
      <c r="Y783"/>
      <c r="Z783"/>
      <c r="AA783"/>
      <c r="AB783"/>
      <c r="AC783"/>
      <c r="AD783"/>
      <c r="AE783"/>
      <c r="AF783"/>
      <c r="AG783"/>
      <c r="AH783"/>
      <c r="AI783"/>
      <c r="AJ783"/>
      <c r="AK783"/>
      <c r="AL783"/>
      <c r="AM783"/>
      <c r="AN783"/>
    </row>
    <row r="784" spans="1:40" ht="15" customHeight="1">
      <c r="A784"/>
      <c r="B784"/>
      <c r="C784"/>
      <c r="D784"/>
      <c r="E784"/>
      <c r="F784"/>
      <c r="G784"/>
      <c r="H784"/>
      <c r="I784"/>
      <c r="J784"/>
      <c r="K784"/>
      <c r="L784"/>
      <c r="M784"/>
      <c r="N784"/>
      <c r="O784"/>
      <c r="P784"/>
      <c r="Q784"/>
      <c r="R784"/>
      <c r="S784"/>
      <c r="T784"/>
      <c r="U784"/>
      <c r="V784"/>
      <c r="W784"/>
      <c r="X784"/>
      <c r="Y784"/>
      <c r="Z784"/>
      <c r="AA784"/>
      <c r="AB784"/>
      <c r="AC784"/>
      <c r="AD784"/>
      <c r="AE784"/>
      <c r="AF784"/>
      <c r="AG784"/>
      <c r="AH784"/>
      <c r="AI784"/>
      <c r="AJ784"/>
      <c r="AK784"/>
      <c r="AL784"/>
      <c r="AM784"/>
      <c r="AN784"/>
    </row>
    <row r="785" spans="1:40" ht="15" customHeight="1">
      <c r="A785"/>
      <c r="B785"/>
      <c r="C785"/>
      <c r="D785"/>
      <c r="E785"/>
      <c r="F785"/>
      <c r="G785"/>
      <c r="H785"/>
      <c r="I785"/>
      <c r="J785"/>
      <c r="K785"/>
      <c r="L785"/>
      <c r="M785"/>
      <c r="N785"/>
      <c r="O785"/>
      <c r="P785"/>
      <c r="Q785"/>
      <c r="R785"/>
      <c r="S785"/>
      <c r="T785"/>
      <c r="U785"/>
      <c r="V785"/>
      <c r="W785"/>
      <c r="X785"/>
      <c r="Y785"/>
      <c r="Z785"/>
      <c r="AA785"/>
      <c r="AB785"/>
      <c r="AC785"/>
      <c r="AD785"/>
      <c r="AE785"/>
      <c r="AF785"/>
      <c r="AG785"/>
      <c r="AH785"/>
      <c r="AI785"/>
      <c r="AJ785"/>
      <c r="AK785"/>
      <c r="AL785"/>
      <c r="AM785"/>
      <c r="AN785"/>
    </row>
    <row r="786" spans="1:40" ht="15" customHeight="1">
      <c r="A786"/>
      <c r="B786"/>
      <c r="C786"/>
      <c r="D786"/>
      <c r="E786"/>
      <c r="F786"/>
      <c r="G786"/>
      <c r="H786"/>
      <c r="I786"/>
      <c r="J786"/>
      <c r="K786"/>
      <c r="L786"/>
      <c r="M786"/>
      <c r="N786"/>
      <c r="O786"/>
      <c r="P786"/>
      <c r="Q786"/>
      <c r="R786"/>
      <c r="S786"/>
      <c r="T786"/>
      <c r="U786"/>
      <c r="V786"/>
      <c r="W786"/>
      <c r="X786"/>
      <c r="Y786"/>
      <c r="Z786"/>
      <c r="AA786"/>
      <c r="AB786"/>
      <c r="AC786"/>
      <c r="AD786"/>
      <c r="AE786"/>
      <c r="AF786"/>
      <c r="AG786"/>
      <c r="AH786"/>
      <c r="AI786"/>
      <c r="AJ786"/>
      <c r="AK786"/>
      <c r="AL786"/>
      <c r="AM786"/>
      <c r="AN786"/>
    </row>
    <row r="787" spans="1:40" ht="15" customHeight="1">
      <c r="A787"/>
      <c r="B787"/>
      <c r="C787"/>
      <c r="D787"/>
      <c r="E787"/>
      <c r="F787"/>
      <c r="G787"/>
      <c r="H787"/>
      <c r="I787"/>
      <c r="J787"/>
      <c r="K787"/>
      <c r="L787"/>
      <c r="M787"/>
      <c r="N787"/>
      <c r="O787"/>
      <c r="P787"/>
      <c r="Q787"/>
      <c r="R787"/>
      <c r="S787"/>
      <c r="T787"/>
      <c r="U787"/>
      <c r="V787"/>
      <c r="W787"/>
      <c r="X787"/>
      <c r="Y787"/>
      <c r="Z787"/>
      <c r="AA787"/>
      <c r="AB787"/>
      <c r="AC787"/>
      <c r="AD787"/>
      <c r="AE787"/>
      <c r="AF787"/>
      <c r="AG787"/>
      <c r="AH787"/>
      <c r="AI787"/>
      <c r="AJ787"/>
      <c r="AK787"/>
      <c r="AL787"/>
      <c r="AM787"/>
      <c r="AN787"/>
    </row>
    <row r="788" spans="1:40" ht="15" customHeight="1">
      <c r="A788"/>
      <c r="B788"/>
      <c r="C788"/>
      <c r="D788"/>
      <c r="E788"/>
      <c r="F788"/>
      <c r="G788"/>
      <c r="H788"/>
      <c r="I788"/>
      <c r="J788"/>
      <c r="K788"/>
      <c r="L788"/>
      <c r="M788"/>
      <c r="N788"/>
      <c r="O788"/>
      <c r="P788"/>
      <c r="Q788"/>
      <c r="R788"/>
      <c r="S788"/>
      <c r="T788"/>
      <c r="U788"/>
      <c r="V788"/>
      <c r="W788"/>
      <c r="X788"/>
      <c r="Y788"/>
      <c r="Z788"/>
      <c r="AA788"/>
      <c r="AB788"/>
      <c r="AC788"/>
      <c r="AD788"/>
      <c r="AE788"/>
      <c r="AF788"/>
      <c r="AG788"/>
      <c r="AH788"/>
      <c r="AI788"/>
      <c r="AJ788"/>
      <c r="AK788"/>
      <c r="AL788"/>
      <c r="AM788"/>
      <c r="AN788"/>
    </row>
    <row r="789" spans="1:40" ht="15" customHeight="1">
      <c r="A789"/>
      <c r="B789"/>
      <c r="C789"/>
      <c r="D789"/>
      <c r="E789"/>
      <c r="F789"/>
      <c r="G789"/>
      <c r="H789"/>
      <c r="I789"/>
      <c r="J789"/>
      <c r="K789"/>
      <c r="L789"/>
      <c r="M789"/>
      <c r="N789"/>
      <c r="O789"/>
      <c r="P789"/>
      <c r="Q789"/>
      <c r="R789"/>
      <c r="S789"/>
      <c r="T789"/>
      <c r="U789"/>
      <c r="V789"/>
      <c r="W789"/>
      <c r="X789"/>
      <c r="Y789"/>
      <c r="Z789"/>
      <c r="AA789"/>
      <c r="AB789"/>
      <c r="AC789"/>
      <c r="AD789"/>
      <c r="AE789"/>
      <c r="AF789"/>
      <c r="AG789"/>
      <c r="AH789"/>
      <c r="AI789"/>
      <c r="AJ789"/>
      <c r="AK789"/>
      <c r="AL789"/>
      <c r="AM789"/>
      <c r="AN789"/>
    </row>
    <row r="790" spans="1:40" ht="15" customHeight="1">
      <c r="A790"/>
      <c r="B790"/>
      <c r="C790"/>
      <c r="D790"/>
      <c r="E790"/>
      <c r="F790"/>
      <c r="G790"/>
      <c r="H790"/>
      <c r="I790"/>
      <c r="J790"/>
      <c r="K790"/>
      <c r="L790"/>
      <c r="M790"/>
      <c r="N790"/>
      <c r="O790"/>
      <c r="P790"/>
      <c r="Q790"/>
      <c r="R790"/>
      <c r="S790"/>
      <c r="T790"/>
      <c r="U790"/>
      <c r="V790"/>
      <c r="W790"/>
      <c r="X790"/>
      <c r="Y790"/>
      <c r="Z790"/>
      <c r="AA790"/>
      <c r="AB790"/>
      <c r="AC790"/>
      <c r="AD790"/>
      <c r="AE790"/>
      <c r="AF790"/>
      <c r="AG790"/>
      <c r="AH790"/>
      <c r="AI790"/>
      <c r="AJ790"/>
      <c r="AK790"/>
      <c r="AL790"/>
      <c r="AM790"/>
      <c r="AN790"/>
    </row>
    <row r="791" spans="1:40" ht="15" customHeight="1">
      <c r="A791"/>
      <c r="B791"/>
      <c r="C791"/>
      <c r="D791"/>
      <c r="E791"/>
      <c r="F791"/>
      <c r="G791"/>
      <c r="H791"/>
      <c r="I791"/>
      <c r="J791"/>
      <c r="K791"/>
      <c r="L791"/>
      <c r="M791"/>
      <c r="N791"/>
      <c r="O791"/>
      <c r="P791"/>
      <c r="Q791"/>
      <c r="R791"/>
      <c r="S791"/>
      <c r="T791"/>
      <c r="U791"/>
      <c r="V791"/>
      <c r="W791"/>
      <c r="X791"/>
      <c r="Y791"/>
      <c r="Z791"/>
      <c r="AA791"/>
      <c r="AB791"/>
      <c r="AC791"/>
      <c r="AD791"/>
      <c r="AE791"/>
      <c r="AF791"/>
      <c r="AG791"/>
      <c r="AH791"/>
      <c r="AI791"/>
      <c r="AJ791"/>
      <c r="AK791"/>
      <c r="AL791"/>
      <c r="AM791"/>
      <c r="AN791"/>
    </row>
    <row r="792" spans="1:40" ht="15" customHeight="1">
      <c r="A792"/>
      <c r="B792"/>
      <c r="C792"/>
      <c r="D792"/>
      <c r="E792"/>
      <c r="F792"/>
      <c r="G792"/>
      <c r="H792"/>
      <c r="I792"/>
      <c r="J792"/>
      <c r="K792"/>
      <c r="L792"/>
      <c r="M792"/>
      <c r="N792"/>
      <c r="O792"/>
      <c r="P792"/>
      <c r="Q792"/>
      <c r="R792"/>
      <c r="S792"/>
      <c r="T792"/>
      <c r="U792"/>
      <c r="V792"/>
      <c r="W792"/>
      <c r="X792"/>
      <c r="Y792"/>
      <c r="Z792"/>
      <c r="AA792"/>
      <c r="AB792"/>
      <c r="AC792"/>
      <c r="AD792"/>
      <c r="AE792"/>
      <c r="AF792"/>
      <c r="AG792"/>
      <c r="AH792"/>
      <c r="AI792"/>
      <c r="AJ792"/>
      <c r="AK792"/>
      <c r="AL792"/>
      <c r="AM792"/>
      <c r="AN792"/>
    </row>
    <row r="793" spans="1:40" ht="15" customHeight="1">
      <c r="A793"/>
      <c r="B793"/>
      <c r="C793"/>
      <c r="D793"/>
      <c r="E793"/>
      <c r="F793"/>
      <c r="G793"/>
      <c r="H793"/>
      <c r="I793"/>
      <c r="J793"/>
      <c r="K793"/>
      <c r="L793"/>
      <c r="M793"/>
      <c r="N793"/>
      <c r="O793"/>
      <c r="P793"/>
      <c r="Q793"/>
      <c r="R793"/>
      <c r="S793"/>
      <c r="T793"/>
      <c r="U793"/>
      <c r="V793"/>
      <c r="W793"/>
      <c r="X793"/>
      <c r="Y793"/>
      <c r="Z793"/>
      <c r="AA793"/>
      <c r="AB793"/>
      <c r="AC793"/>
      <c r="AD793"/>
      <c r="AE793"/>
      <c r="AF793"/>
      <c r="AG793"/>
      <c r="AH793"/>
      <c r="AI793"/>
      <c r="AJ793"/>
      <c r="AK793"/>
      <c r="AL793"/>
      <c r="AM793"/>
      <c r="AN793"/>
    </row>
    <row r="794" spans="1:40" ht="15" customHeight="1">
      <c r="A794"/>
      <c r="B794"/>
      <c r="C794"/>
      <c r="D794"/>
      <c r="E794"/>
      <c r="F794"/>
      <c r="G794"/>
      <c r="H794"/>
      <c r="I794"/>
      <c r="J794"/>
      <c r="K794"/>
      <c r="L794"/>
      <c r="M794"/>
      <c r="N794"/>
      <c r="O794"/>
      <c r="P794"/>
      <c r="Q794"/>
      <c r="R794"/>
      <c r="S794"/>
      <c r="T794"/>
      <c r="U794"/>
      <c r="V794"/>
      <c r="W794"/>
      <c r="X794"/>
      <c r="Y794"/>
      <c r="Z794"/>
      <c r="AA794"/>
      <c r="AB794"/>
      <c r="AC794"/>
      <c r="AD794"/>
      <c r="AE794"/>
      <c r="AF794"/>
      <c r="AG794"/>
      <c r="AH794"/>
      <c r="AI794"/>
      <c r="AJ794"/>
      <c r="AK794"/>
      <c r="AL794"/>
      <c r="AM794"/>
      <c r="AN794"/>
    </row>
    <row r="795" spans="1:40" ht="15" customHeight="1">
      <c r="A795"/>
      <c r="B795"/>
      <c r="C795"/>
      <c r="D795"/>
      <c r="E795"/>
      <c r="F795"/>
      <c r="G795"/>
      <c r="H795"/>
      <c r="I795"/>
      <c r="J795"/>
      <c r="K795"/>
      <c r="L795"/>
      <c r="M795"/>
      <c r="N795"/>
      <c r="O795"/>
      <c r="P795"/>
      <c r="Q795"/>
      <c r="R795"/>
      <c r="S795"/>
      <c r="T795"/>
      <c r="U795"/>
      <c r="V795"/>
      <c r="W795"/>
      <c r="X795"/>
      <c r="Y795"/>
      <c r="Z795"/>
      <c r="AA795"/>
      <c r="AB795"/>
      <c r="AC795"/>
      <c r="AD795"/>
      <c r="AE795"/>
      <c r="AF795"/>
      <c r="AG795"/>
      <c r="AH795"/>
      <c r="AI795"/>
      <c r="AJ795"/>
      <c r="AK795"/>
      <c r="AL795"/>
      <c r="AM795"/>
      <c r="AN795"/>
    </row>
    <row r="796" spans="1:40" ht="15" customHeight="1">
      <c r="A796"/>
      <c r="B796"/>
      <c r="C796"/>
      <c r="D796"/>
      <c r="E796"/>
      <c r="F796"/>
      <c r="G796"/>
      <c r="H796"/>
      <c r="I796"/>
      <c r="J796"/>
      <c r="K796"/>
      <c r="L796"/>
      <c r="M796"/>
      <c r="N796"/>
      <c r="O796"/>
      <c r="P796"/>
      <c r="Q796"/>
      <c r="R796"/>
      <c r="S796"/>
      <c r="T796"/>
      <c r="U796"/>
      <c r="V796"/>
      <c r="W796"/>
      <c r="X796"/>
      <c r="Y796"/>
      <c r="Z796"/>
      <c r="AA796"/>
      <c r="AB796"/>
      <c r="AC796"/>
      <c r="AD796"/>
      <c r="AE796"/>
      <c r="AF796"/>
      <c r="AG796"/>
      <c r="AH796"/>
      <c r="AI796"/>
      <c r="AJ796"/>
      <c r="AK796"/>
      <c r="AL796"/>
      <c r="AM796"/>
      <c r="AN796"/>
    </row>
    <row r="797" spans="1:40" ht="15" customHeight="1">
      <c r="A797"/>
      <c r="B797"/>
      <c r="C797"/>
      <c r="D797"/>
      <c r="E797"/>
      <c r="F797"/>
      <c r="G797"/>
      <c r="H797"/>
      <c r="I797"/>
      <c r="J797"/>
      <c r="K797"/>
      <c r="L797"/>
      <c r="M797"/>
      <c r="N797"/>
      <c r="O797"/>
      <c r="P797"/>
      <c r="Q797"/>
      <c r="R797"/>
      <c r="S797"/>
      <c r="T797"/>
      <c r="U797"/>
      <c r="V797"/>
      <c r="W797"/>
      <c r="X797"/>
      <c r="Y797"/>
      <c r="Z797"/>
      <c r="AA797"/>
      <c r="AB797"/>
      <c r="AC797"/>
      <c r="AD797"/>
      <c r="AE797"/>
      <c r="AF797"/>
      <c r="AG797"/>
      <c r="AH797"/>
      <c r="AI797"/>
      <c r="AJ797"/>
      <c r="AK797"/>
      <c r="AL797"/>
      <c r="AM797"/>
      <c r="AN797"/>
    </row>
    <row r="798" spans="1:40" ht="15" customHeight="1">
      <c r="A798"/>
      <c r="B798"/>
      <c r="C798"/>
      <c r="D798"/>
      <c r="E798"/>
      <c r="F798"/>
      <c r="G798"/>
      <c r="H798"/>
      <c r="I798"/>
      <c r="J798"/>
      <c r="K798"/>
      <c r="L798"/>
      <c r="M798"/>
      <c r="N798"/>
      <c r="O798"/>
      <c r="P798"/>
      <c r="Q798"/>
      <c r="R798"/>
      <c r="S798"/>
      <c r="T798"/>
      <c r="U798"/>
      <c r="V798"/>
      <c r="W798"/>
      <c r="X798"/>
      <c r="Y798"/>
      <c r="Z798"/>
      <c r="AA798"/>
      <c r="AB798"/>
      <c r="AC798"/>
      <c r="AD798"/>
      <c r="AE798"/>
      <c r="AF798"/>
      <c r="AG798"/>
      <c r="AH798"/>
      <c r="AI798"/>
      <c r="AJ798"/>
      <c r="AK798"/>
      <c r="AL798"/>
      <c r="AM798"/>
      <c r="AN798"/>
    </row>
    <row r="799" spans="1:40" ht="15" customHeight="1">
      <c r="A799"/>
      <c r="B799"/>
      <c r="C799"/>
      <c r="D799"/>
      <c r="E799"/>
      <c r="F799"/>
      <c r="G799"/>
      <c r="H799"/>
      <c r="I799"/>
      <c r="J799"/>
      <c r="K799"/>
      <c r="L799"/>
      <c r="M799"/>
      <c r="N799"/>
      <c r="O799"/>
      <c r="P799"/>
      <c r="Q799"/>
      <c r="R799"/>
      <c r="S799"/>
      <c r="T799"/>
      <c r="U799"/>
      <c r="V799"/>
      <c r="W799"/>
      <c r="X799"/>
      <c r="Y799"/>
      <c r="Z799"/>
      <c r="AA799"/>
      <c r="AB799"/>
      <c r="AC799"/>
      <c r="AD799"/>
      <c r="AE799"/>
      <c r="AF799"/>
      <c r="AG799"/>
      <c r="AH799"/>
      <c r="AI799"/>
      <c r="AJ799"/>
      <c r="AK799"/>
      <c r="AL799"/>
      <c r="AM799"/>
      <c r="AN799"/>
    </row>
    <row r="800" spans="1:40" ht="15" customHeight="1">
      <c r="A800"/>
      <c r="B800"/>
      <c r="C800"/>
      <c r="D800"/>
      <c r="E800"/>
      <c r="F800"/>
      <c r="G800"/>
      <c r="H800"/>
      <c r="I800"/>
      <c r="J800"/>
      <c r="K800"/>
      <c r="L800"/>
      <c r="M800"/>
      <c r="N800"/>
      <c r="O800"/>
      <c r="P800"/>
      <c r="Q800"/>
      <c r="R800"/>
      <c r="S800"/>
      <c r="T800"/>
      <c r="U800"/>
      <c r="V800"/>
      <c r="W800"/>
      <c r="X800"/>
      <c r="Y800"/>
      <c r="Z800"/>
      <c r="AA800"/>
      <c r="AB800"/>
      <c r="AC800"/>
      <c r="AD800"/>
      <c r="AE800"/>
      <c r="AF800"/>
      <c r="AG800"/>
      <c r="AH800"/>
      <c r="AI800"/>
      <c r="AJ800"/>
      <c r="AK800"/>
      <c r="AL800"/>
      <c r="AM800"/>
      <c r="AN800"/>
    </row>
    <row r="801" spans="1:40" ht="15" customHeight="1">
      <c r="A801"/>
      <c r="B801"/>
      <c r="C801"/>
      <c r="D801"/>
      <c r="E801"/>
      <c r="F801"/>
      <c r="G801"/>
      <c r="H801"/>
      <c r="I801"/>
      <c r="J801"/>
      <c r="K801"/>
      <c r="L801"/>
      <c r="M801"/>
      <c r="N801"/>
      <c r="O801"/>
      <c r="P801"/>
      <c r="Q801"/>
      <c r="R801"/>
      <c r="S801"/>
      <c r="T801"/>
      <c r="U801"/>
      <c r="V801"/>
      <c r="W801"/>
      <c r="X801"/>
      <c r="Y801"/>
      <c r="Z801"/>
      <c r="AA801"/>
      <c r="AB801"/>
      <c r="AC801"/>
      <c r="AD801"/>
      <c r="AE801"/>
      <c r="AF801"/>
      <c r="AG801"/>
      <c r="AH801"/>
      <c r="AI801"/>
      <c r="AJ801"/>
      <c r="AK801"/>
      <c r="AL801"/>
      <c r="AM801"/>
      <c r="AN801"/>
    </row>
    <row r="802" spans="1:40" ht="15" customHeight="1">
      <c r="A802"/>
      <c r="B802"/>
      <c r="C802"/>
      <c r="D802"/>
      <c r="E802"/>
      <c r="F802"/>
      <c r="G802"/>
      <c r="H802"/>
      <c r="I802"/>
      <c r="J802"/>
      <c r="K802"/>
      <c r="L802"/>
      <c r="M802"/>
      <c r="N802"/>
      <c r="O802"/>
      <c r="P802"/>
      <c r="Q802"/>
      <c r="R802"/>
      <c r="S802"/>
      <c r="T802"/>
      <c r="U802"/>
      <c r="V802"/>
      <c r="W802"/>
      <c r="X802"/>
      <c r="Y802"/>
      <c r="Z802"/>
      <c r="AA802"/>
      <c r="AB802"/>
      <c r="AC802"/>
      <c r="AD802"/>
      <c r="AE802"/>
      <c r="AF802"/>
      <c r="AG802"/>
      <c r="AH802"/>
      <c r="AI802"/>
      <c r="AJ802"/>
      <c r="AK802"/>
      <c r="AL802"/>
      <c r="AM802"/>
      <c r="AN802"/>
    </row>
    <row r="803" spans="1:40" ht="15" customHeight="1">
      <c r="A803"/>
      <c r="B803"/>
      <c r="C803"/>
      <c r="D803"/>
      <c r="E803"/>
      <c r="F803"/>
      <c r="G803"/>
      <c r="H803"/>
      <c r="I803"/>
      <c r="J803"/>
      <c r="K803"/>
      <c r="L803"/>
      <c r="M803"/>
      <c r="N803"/>
      <c r="O803"/>
      <c r="P803"/>
      <c r="Q803"/>
      <c r="R803"/>
      <c r="S803"/>
      <c r="T803"/>
      <c r="U803"/>
      <c r="V803"/>
      <c r="W803"/>
      <c r="X803"/>
      <c r="Y803"/>
      <c r="Z803"/>
      <c r="AA803"/>
      <c r="AB803"/>
      <c r="AC803"/>
      <c r="AD803"/>
      <c r="AE803"/>
      <c r="AF803"/>
      <c r="AG803"/>
      <c r="AH803"/>
      <c r="AI803"/>
      <c r="AJ803"/>
      <c r="AK803"/>
      <c r="AL803"/>
      <c r="AM803"/>
      <c r="AN803"/>
    </row>
    <row r="804" spans="1:40" ht="15" customHeight="1">
      <c r="A804"/>
      <c r="B804"/>
      <c r="C804"/>
      <c r="D804"/>
      <c r="E804"/>
      <c r="F804"/>
      <c r="G804"/>
      <c r="H804"/>
      <c r="I804"/>
      <c r="J804"/>
      <c r="K804"/>
      <c r="L804"/>
      <c r="M804"/>
      <c r="N804"/>
      <c r="O804"/>
      <c r="P804"/>
      <c r="Q804"/>
      <c r="R804"/>
      <c r="S804"/>
      <c r="T804"/>
      <c r="U804"/>
      <c r="V804"/>
      <c r="W804"/>
      <c r="X804"/>
      <c r="Y804"/>
      <c r="Z804"/>
      <c r="AA804"/>
      <c r="AB804"/>
      <c r="AC804"/>
      <c r="AD804"/>
      <c r="AE804"/>
      <c r="AF804"/>
      <c r="AG804"/>
      <c r="AH804"/>
      <c r="AI804"/>
      <c r="AJ804"/>
      <c r="AK804"/>
      <c r="AL804"/>
      <c r="AM804"/>
      <c r="AN804"/>
    </row>
    <row r="805" spans="1:40" ht="15" customHeight="1">
      <c r="A805"/>
      <c r="B805"/>
      <c r="C805"/>
      <c r="D805"/>
      <c r="E805"/>
      <c r="F805"/>
      <c r="G805"/>
      <c r="H805"/>
      <c r="I805"/>
      <c r="J805"/>
      <c r="K805"/>
      <c r="L805"/>
      <c r="M805"/>
      <c r="N805"/>
      <c r="O805"/>
      <c r="P805"/>
      <c r="Q805"/>
      <c r="R805"/>
      <c r="S805"/>
      <c r="T805"/>
      <c r="U805"/>
      <c r="V805"/>
      <c r="W805"/>
      <c r="X805"/>
      <c r="Y805"/>
      <c r="Z805"/>
      <c r="AA805"/>
      <c r="AB805"/>
      <c r="AC805"/>
      <c r="AD805"/>
      <c r="AE805"/>
      <c r="AF805"/>
      <c r="AG805"/>
      <c r="AH805"/>
      <c r="AI805"/>
      <c r="AJ805"/>
      <c r="AK805"/>
      <c r="AL805"/>
      <c r="AM805"/>
      <c r="AN805"/>
    </row>
    <row r="806" spans="1:40" ht="15" customHeight="1">
      <c r="A806"/>
      <c r="B806"/>
      <c r="C806"/>
      <c r="D806"/>
      <c r="E806"/>
      <c r="F806"/>
      <c r="G806"/>
      <c r="H806"/>
      <c r="I806"/>
      <c r="J806"/>
      <c r="K806"/>
      <c r="L806"/>
      <c r="M806"/>
      <c r="N806"/>
      <c r="O806"/>
      <c r="P806"/>
      <c r="Q806"/>
      <c r="R806"/>
      <c r="S806"/>
      <c r="T806"/>
      <c r="U806"/>
      <c r="V806"/>
      <c r="W806"/>
      <c r="X806"/>
      <c r="Y806"/>
      <c r="Z806"/>
      <c r="AA806"/>
      <c r="AB806"/>
      <c r="AC806"/>
      <c r="AD806"/>
      <c r="AE806"/>
      <c r="AF806"/>
      <c r="AG806"/>
      <c r="AH806"/>
      <c r="AI806"/>
      <c r="AJ806"/>
      <c r="AK806"/>
      <c r="AL806"/>
      <c r="AM806"/>
      <c r="AN806"/>
    </row>
    <row r="807" spans="1:40" ht="15" customHeight="1">
      <c r="A807"/>
      <c r="B807"/>
      <c r="C807"/>
      <c r="D807"/>
      <c r="E807"/>
      <c r="F807"/>
      <c r="G807"/>
      <c r="H807"/>
      <c r="I807"/>
      <c r="J807"/>
      <c r="K807"/>
      <c r="L807"/>
      <c r="M807"/>
      <c r="N807"/>
      <c r="O807"/>
      <c r="P807"/>
      <c r="Q807"/>
      <c r="R807"/>
      <c r="S807"/>
      <c r="T807"/>
      <c r="U807"/>
      <c r="V807"/>
      <c r="W807"/>
      <c r="X807"/>
      <c r="Y807"/>
      <c r="Z807"/>
      <c r="AA807"/>
      <c r="AB807"/>
      <c r="AC807"/>
      <c r="AD807"/>
      <c r="AE807"/>
      <c r="AF807"/>
      <c r="AG807"/>
      <c r="AH807"/>
      <c r="AI807"/>
      <c r="AJ807"/>
      <c r="AK807"/>
      <c r="AL807"/>
      <c r="AM807"/>
      <c r="AN807"/>
    </row>
    <row r="808" spans="1:40" ht="15" customHeight="1">
      <c r="A808"/>
      <c r="B808"/>
      <c r="C808"/>
      <c r="D808"/>
      <c r="E808"/>
      <c r="F808"/>
      <c r="G808"/>
      <c r="H808"/>
      <c r="I808"/>
      <c r="J808"/>
      <c r="K808"/>
      <c r="L808"/>
      <c r="M808"/>
      <c r="N808"/>
      <c r="O808"/>
      <c r="P808"/>
      <c r="Q808"/>
      <c r="R808"/>
      <c r="S808"/>
      <c r="T808"/>
      <c r="U808"/>
      <c r="V808"/>
      <c r="W808"/>
      <c r="X808"/>
      <c r="Y808"/>
      <c r="Z808"/>
      <c r="AA808"/>
      <c r="AB808"/>
      <c r="AC808"/>
      <c r="AD808"/>
      <c r="AE808"/>
      <c r="AF808"/>
      <c r="AG808"/>
      <c r="AH808"/>
      <c r="AI808"/>
      <c r="AJ808"/>
      <c r="AK808"/>
      <c r="AL808"/>
      <c r="AM808"/>
      <c r="AN808"/>
    </row>
    <row r="809" spans="1:40" ht="15" customHeight="1">
      <c r="A809"/>
      <c r="B809"/>
      <c r="C809"/>
      <c r="D809"/>
      <c r="E809"/>
      <c r="F809"/>
      <c r="G809"/>
      <c r="H809"/>
      <c r="I809"/>
      <c r="J809"/>
      <c r="K809"/>
      <c r="L809"/>
      <c r="M809"/>
      <c r="N809"/>
      <c r="O809"/>
      <c r="P809"/>
      <c r="Q809"/>
      <c r="R809"/>
      <c r="S809"/>
      <c r="T809"/>
      <c r="U809"/>
      <c r="V809"/>
      <c r="W809"/>
      <c r="X809"/>
      <c r="Y809"/>
      <c r="Z809"/>
      <c r="AA809"/>
      <c r="AB809"/>
      <c r="AC809"/>
      <c r="AD809"/>
      <c r="AE809"/>
      <c r="AF809"/>
      <c r="AG809"/>
      <c r="AH809"/>
      <c r="AI809"/>
      <c r="AJ809"/>
      <c r="AK809"/>
      <c r="AL809"/>
      <c r="AM809"/>
      <c r="AN809"/>
    </row>
    <row r="810" spans="1:40" ht="15" customHeight="1">
      <c r="A810"/>
      <c r="B810"/>
      <c r="C810"/>
      <c r="D810"/>
      <c r="E810"/>
      <c r="F810"/>
      <c r="G810"/>
      <c r="H810"/>
      <c r="I810"/>
      <c r="J810"/>
      <c r="K810"/>
      <c r="L810"/>
      <c r="M810"/>
      <c r="N810"/>
      <c r="O810"/>
      <c r="P810"/>
      <c r="Q810"/>
      <c r="R810"/>
      <c r="S810"/>
      <c r="T810"/>
      <c r="U810"/>
      <c r="V810"/>
      <c r="W810"/>
      <c r="X810"/>
      <c r="Y810"/>
      <c r="Z810"/>
      <c r="AA810"/>
      <c r="AB810"/>
      <c r="AC810"/>
      <c r="AD810"/>
      <c r="AE810"/>
      <c r="AF810"/>
      <c r="AG810"/>
      <c r="AH810"/>
      <c r="AI810"/>
      <c r="AJ810"/>
      <c r="AK810"/>
      <c r="AL810"/>
      <c r="AM810"/>
      <c r="AN810"/>
    </row>
    <row r="811" spans="1:40" ht="15" customHeight="1">
      <c r="A811"/>
      <c r="B811"/>
      <c r="C811"/>
      <c r="D811"/>
      <c r="E811"/>
      <c r="F811"/>
      <c r="G811"/>
      <c r="H811"/>
      <c r="I811"/>
      <c r="J811"/>
      <c r="K811"/>
      <c r="L811"/>
      <c r="M811"/>
      <c r="N811"/>
      <c r="O811"/>
      <c r="P811"/>
      <c r="Q811"/>
      <c r="R811"/>
      <c r="S811"/>
      <c r="T811"/>
      <c r="U811"/>
      <c r="V811"/>
      <c r="W811"/>
      <c r="X811"/>
      <c r="Y811"/>
      <c r="Z811"/>
      <c r="AA811"/>
      <c r="AB811"/>
      <c r="AC811"/>
      <c r="AD811"/>
      <c r="AE811"/>
      <c r="AF811"/>
      <c r="AG811"/>
      <c r="AH811"/>
      <c r="AI811"/>
      <c r="AJ811"/>
      <c r="AK811"/>
      <c r="AL811"/>
      <c r="AM811"/>
      <c r="AN811"/>
    </row>
    <row r="812" spans="1:40" ht="15" customHeight="1">
      <c r="A812"/>
      <c r="B812"/>
      <c r="C812"/>
      <c r="D812"/>
      <c r="E812"/>
      <c r="F812"/>
      <c r="G812"/>
      <c r="H812"/>
      <c r="I812"/>
      <c r="J812"/>
      <c r="K812"/>
      <c r="L812"/>
      <c r="M812"/>
      <c r="N812"/>
      <c r="O812"/>
      <c r="P812"/>
      <c r="Q812"/>
      <c r="R812"/>
      <c r="S812"/>
      <c r="T812"/>
      <c r="U812"/>
      <c r="V812"/>
      <c r="W812"/>
      <c r="X812"/>
      <c r="Y812"/>
      <c r="Z812"/>
      <c r="AA812"/>
      <c r="AB812"/>
      <c r="AC812"/>
      <c r="AD812"/>
      <c r="AE812"/>
      <c r="AF812"/>
      <c r="AG812"/>
      <c r="AH812"/>
      <c r="AI812"/>
      <c r="AJ812"/>
      <c r="AK812"/>
      <c r="AL812"/>
      <c r="AM812"/>
      <c r="AN812"/>
    </row>
    <row r="813" spans="1:40" ht="15" customHeight="1">
      <c r="A813"/>
      <c r="B813"/>
      <c r="C813"/>
      <c r="D813"/>
      <c r="E813"/>
      <c r="F813"/>
      <c r="G813"/>
      <c r="H813"/>
      <c r="I813"/>
      <c r="J813"/>
      <c r="K813"/>
      <c r="L813"/>
      <c r="M813"/>
      <c r="N813"/>
      <c r="O813"/>
      <c r="P813"/>
      <c r="Q813"/>
      <c r="R813"/>
      <c r="S813"/>
      <c r="T813"/>
      <c r="U813"/>
      <c r="V813"/>
      <c r="W813"/>
      <c r="X813"/>
      <c r="Y813"/>
      <c r="Z813"/>
      <c r="AA813"/>
      <c r="AB813"/>
      <c r="AC813"/>
      <c r="AD813"/>
      <c r="AE813"/>
      <c r="AF813"/>
      <c r="AG813"/>
      <c r="AH813"/>
      <c r="AI813"/>
      <c r="AJ813"/>
      <c r="AK813"/>
      <c r="AL813"/>
      <c r="AM813"/>
      <c r="AN813"/>
    </row>
    <row r="814" spans="1:40" ht="15" customHeight="1">
      <c r="A814"/>
      <c r="B814"/>
      <c r="C814"/>
      <c r="D814"/>
      <c r="E814"/>
      <c r="F814"/>
      <c r="G814"/>
      <c r="H814"/>
      <c r="I814"/>
      <c r="J814"/>
      <c r="K814"/>
      <c r="L814"/>
      <c r="M814"/>
      <c r="N814"/>
      <c r="O814"/>
      <c r="P814"/>
      <c r="Q814"/>
      <c r="R814"/>
      <c r="S814"/>
      <c r="T814"/>
      <c r="U814"/>
      <c r="V814"/>
      <c r="W814"/>
      <c r="X814"/>
      <c r="Y814"/>
      <c r="Z814"/>
      <c r="AA814"/>
      <c r="AB814"/>
      <c r="AC814"/>
      <c r="AD814"/>
      <c r="AE814"/>
      <c r="AF814"/>
      <c r="AG814"/>
      <c r="AH814"/>
      <c r="AI814"/>
      <c r="AJ814"/>
      <c r="AK814"/>
      <c r="AL814"/>
      <c r="AM814"/>
      <c r="AN814"/>
    </row>
    <row r="815" spans="1:40" ht="15" customHeight="1">
      <c r="A815"/>
      <c r="B815"/>
      <c r="C815"/>
      <c r="D815"/>
      <c r="E815"/>
      <c r="F815"/>
      <c r="G815"/>
      <c r="H815"/>
      <c r="I815"/>
      <c r="J815"/>
      <c r="K815"/>
      <c r="L815"/>
      <c r="M815"/>
      <c r="N815"/>
      <c r="O815"/>
      <c r="P815"/>
      <c r="Q815"/>
      <c r="R815"/>
      <c r="S815"/>
      <c r="T815"/>
      <c r="U815"/>
      <c r="V815"/>
      <c r="W815"/>
      <c r="X815"/>
      <c r="Y815"/>
      <c r="Z815"/>
      <c r="AA815"/>
      <c r="AB815"/>
      <c r="AC815"/>
      <c r="AD815"/>
      <c r="AE815"/>
      <c r="AF815"/>
      <c r="AG815"/>
      <c r="AH815"/>
      <c r="AI815"/>
      <c r="AJ815"/>
      <c r="AK815"/>
      <c r="AL815"/>
      <c r="AM815"/>
      <c r="AN815"/>
    </row>
    <row r="816" spans="1:40" ht="15" customHeight="1">
      <c r="A816"/>
      <c r="B816"/>
      <c r="C816"/>
      <c r="D816"/>
      <c r="E816"/>
      <c r="F816"/>
      <c r="G816"/>
      <c r="H816"/>
      <c r="I816"/>
      <c r="J816"/>
      <c r="K816"/>
      <c r="L816"/>
      <c r="M816"/>
      <c r="N816"/>
      <c r="O816"/>
      <c r="P816"/>
      <c r="Q816"/>
      <c r="R816"/>
      <c r="S816"/>
      <c r="T816"/>
      <c r="U816"/>
      <c r="V816"/>
      <c r="W816"/>
      <c r="X816"/>
      <c r="Y816"/>
      <c r="Z816"/>
      <c r="AA816"/>
      <c r="AB816"/>
      <c r="AC816"/>
      <c r="AD816"/>
      <c r="AE816"/>
      <c r="AF816"/>
      <c r="AG816"/>
      <c r="AH816"/>
      <c r="AI816"/>
      <c r="AJ816"/>
      <c r="AK816"/>
      <c r="AL816"/>
      <c r="AM816"/>
      <c r="AN816"/>
    </row>
    <row r="817" spans="1:40" ht="15" customHeight="1">
      <c r="A817"/>
      <c r="B817"/>
      <c r="C817"/>
      <c r="D817"/>
      <c r="E817"/>
      <c r="F817"/>
      <c r="G817"/>
      <c r="H817"/>
      <c r="I817"/>
      <c r="J817"/>
      <c r="K817"/>
      <c r="L817"/>
      <c r="M817"/>
      <c r="N817"/>
      <c r="O817"/>
      <c r="P817"/>
      <c r="Q817"/>
      <c r="R817"/>
      <c r="S817"/>
      <c r="T817"/>
      <c r="U817"/>
      <c r="V817"/>
      <c r="W817"/>
      <c r="X817"/>
      <c r="Y817"/>
      <c r="Z817"/>
      <c r="AA817"/>
      <c r="AB817"/>
      <c r="AC817"/>
      <c r="AD817"/>
      <c r="AE817"/>
      <c r="AF817"/>
      <c r="AG817"/>
      <c r="AH817"/>
      <c r="AI817"/>
      <c r="AJ817"/>
      <c r="AK817"/>
      <c r="AL817"/>
      <c r="AM817"/>
      <c r="AN817"/>
    </row>
    <row r="818" spans="1:40" ht="15" customHeight="1">
      <c r="A818"/>
      <c r="B818"/>
      <c r="C818"/>
      <c r="D818"/>
      <c r="E818"/>
      <c r="F818"/>
      <c r="G818"/>
      <c r="H818"/>
      <c r="I818"/>
      <c r="J818"/>
      <c r="K818"/>
      <c r="L818"/>
      <c r="M818"/>
      <c r="N818"/>
      <c r="O818"/>
      <c r="P818"/>
      <c r="Q818"/>
      <c r="R818"/>
      <c r="S818"/>
      <c r="T818"/>
      <c r="U818"/>
      <c r="V818"/>
      <c r="W818"/>
      <c r="X818"/>
      <c r="Y818"/>
      <c r="Z818"/>
      <c r="AA818"/>
      <c r="AB818"/>
      <c r="AC818"/>
      <c r="AD818"/>
      <c r="AE818"/>
      <c r="AF818"/>
      <c r="AG818"/>
      <c r="AH818"/>
      <c r="AI818"/>
      <c r="AJ818"/>
      <c r="AK818"/>
      <c r="AL818"/>
      <c r="AM818"/>
      <c r="AN818"/>
    </row>
    <row r="819" spans="1:40" ht="15" customHeight="1">
      <c r="A819"/>
      <c r="B819"/>
      <c r="C819"/>
      <c r="D819"/>
      <c r="E819"/>
      <c r="F819"/>
      <c r="G819"/>
      <c r="H819"/>
      <c r="I819"/>
      <c r="J819"/>
      <c r="K819"/>
      <c r="L819"/>
      <c r="M819"/>
      <c r="N819"/>
      <c r="O819"/>
      <c r="P819"/>
      <c r="Q819"/>
      <c r="R819"/>
      <c r="S819"/>
      <c r="T819"/>
      <c r="U819"/>
      <c r="V819"/>
      <c r="W819"/>
      <c r="X819"/>
      <c r="Y819"/>
      <c r="Z819"/>
      <c r="AA819"/>
      <c r="AB819"/>
      <c r="AC819"/>
      <c r="AD819"/>
      <c r="AE819"/>
      <c r="AF819"/>
      <c r="AG819"/>
      <c r="AH819"/>
      <c r="AI819"/>
      <c r="AJ819"/>
      <c r="AK819"/>
      <c r="AL819"/>
      <c r="AM819"/>
      <c r="AN819"/>
    </row>
    <row r="820" spans="1:40" ht="15" customHeight="1">
      <c r="A820"/>
      <c r="B820"/>
      <c r="C820"/>
      <c r="D820"/>
      <c r="E820"/>
      <c r="F820"/>
      <c r="G820"/>
      <c r="H820"/>
      <c r="I820"/>
      <c r="J820"/>
      <c r="K820"/>
      <c r="L820"/>
      <c r="M820"/>
      <c r="N820"/>
      <c r="O820"/>
      <c r="P820"/>
      <c r="Q820"/>
      <c r="R820"/>
      <c r="S820"/>
      <c r="T820"/>
      <c r="U820"/>
      <c r="V820"/>
      <c r="W820"/>
      <c r="X820"/>
      <c r="Y820"/>
      <c r="Z820"/>
      <c r="AA820"/>
      <c r="AB820"/>
      <c r="AC820"/>
      <c r="AD820"/>
      <c r="AE820"/>
      <c r="AF820"/>
      <c r="AG820"/>
      <c r="AH820"/>
      <c r="AI820"/>
      <c r="AJ820"/>
      <c r="AK820"/>
      <c r="AL820"/>
      <c r="AM820"/>
      <c r="AN820"/>
    </row>
    <row r="821" spans="1:40" ht="15" customHeight="1">
      <c r="A821"/>
      <c r="B821"/>
      <c r="C821"/>
      <c r="D821"/>
      <c r="E821"/>
      <c r="F821"/>
      <c r="G821"/>
      <c r="H821"/>
      <c r="I821"/>
      <c r="J821"/>
      <c r="K821"/>
      <c r="L821"/>
      <c r="M821"/>
      <c r="N821"/>
      <c r="O821"/>
      <c r="P821"/>
      <c r="Q821"/>
      <c r="R821"/>
      <c r="S821"/>
      <c r="T821"/>
      <c r="U821"/>
      <c r="V821"/>
      <c r="W821"/>
      <c r="X821"/>
      <c r="Y821"/>
      <c r="Z821"/>
      <c r="AA821"/>
      <c r="AB821"/>
      <c r="AC821"/>
      <c r="AD821"/>
      <c r="AE821"/>
      <c r="AF821"/>
      <c r="AG821"/>
      <c r="AH821"/>
      <c r="AI821"/>
      <c r="AJ821"/>
      <c r="AK821"/>
      <c r="AL821"/>
      <c r="AM821"/>
      <c r="AN821"/>
    </row>
    <row r="822" spans="1:40" ht="15" customHeight="1">
      <c r="A822"/>
      <c r="B822"/>
      <c r="C822"/>
      <c r="D822"/>
      <c r="E822"/>
      <c r="F822"/>
      <c r="G822"/>
      <c r="H822"/>
      <c r="I822"/>
      <c r="J822"/>
      <c r="K822"/>
      <c r="L822"/>
      <c r="M822"/>
      <c r="N822"/>
      <c r="O822"/>
      <c r="P822"/>
      <c r="Q822"/>
      <c r="R822"/>
      <c r="S822"/>
      <c r="T822"/>
      <c r="U822"/>
      <c r="V822"/>
      <c r="W822"/>
      <c r="X822"/>
      <c r="Y822"/>
      <c r="Z822"/>
      <c r="AA822"/>
      <c r="AB822"/>
      <c r="AC822"/>
      <c r="AD822"/>
      <c r="AE822"/>
      <c r="AF822"/>
      <c r="AG822"/>
      <c r="AH822"/>
      <c r="AI822"/>
      <c r="AJ822"/>
      <c r="AK822"/>
      <c r="AL822"/>
      <c r="AM822"/>
      <c r="AN822"/>
    </row>
    <row r="823" spans="1:40" ht="15" customHeight="1">
      <c r="A823"/>
      <c r="B823"/>
      <c r="C823"/>
      <c r="D823"/>
      <c r="E823"/>
      <c r="F823"/>
      <c r="G823"/>
      <c r="H823"/>
      <c r="I823"/>
      <c r="J823"/>
      <c r="K823"/>
      <c r="L823"/>
      <c r="M823"/>
      <c r="N823"/>
      <c r="O823"/>
      <c r="P823"/>
      <c r="Q823"/>
      <c r="R823"/>
      <c r="S823"/>
      <c r="T823"/>
      <c r="U823"/>
      <c r="V823"/>
      <c r="W823"/>
      <c r="X823"/>
      <c r="Y823"/>
      <c r="Z823"/>
      <c r="AA823"/>
      <c r="AB823"/>
      <c r="AC823"/>
      <c r="AD823"/>
      <c r="AE823"/>
      <c r="AF823"/>
      <c r="AG823"/>
      <c r="AH823"/>
      <c r="AI823"/>
      <c r="AJ823"/>
      <c r="AK823"/>
      <c r="AL823"/>
      <c r="AM823"/>
      <c r="AN823"/>
    </row>
    <row r="824" spans="1:40" ht="15" customHeight="1">
      <c r="A824"/>
      <c r="B824"/>
      <c r="C824"/>
      <c r="D824"/>
      <c r="E824"/>
      <c r="F824"/>
      <c r="G824"/>
      <c r="H824"/>
      <c r="I824"/>
      <c r="J824"/>
      <c r="K824"/>
      <c r="L824"/>
      <c r="M824"/>
      <c r="N824"/>
      <c r="O824"/>
      <c r="P824"/>
      <c r="Q824"/>
      <c r="R824"/>
      <c r="S824"/>
      <c r="T824"/>
      <c r="U824"/>
      <c r="V824"/>
      <c r="W824"/>
      <c r="X824"/>
      <c r="Y824"/>
      <c r="Z824"/>
      <c r="AA824"/>
      <c r="AB824"/>
      <c r="AC824"/>
      <c r="AD824"/>
      <c r="AE824"/>
      <c r="AF824"/>
      <c r="AG824"/>
      <c r="AH824"/>
      <c r="AI824"/>
      <c r="AJ824"/>
      <c r="AK824"/>
      <c r="AL824"/>
      <c r="AM824"/>
      <c r="AN824"/>
    </row>
    <row r="825" spans="1:40" ht="15" customHeight="1">
      <c r="A825"/>
      <c r="B825"/>
      <c r="C825"/>
      <c r="D825"/>
      <c r="E825"/>
      <c r="F825"/>
      <c r="G825"/>
      <c r="H825"/>
      <c r="I825"/>
      <c r="J825"/>
      <c r="K825"/>
      <c r="L825"/>
      <c r="M825"/>
      <c r="N825"/>
      <c r="O825"/>
      <c r="P825"/>
      <c r="Q825"/>
      <c r="R825"/>
      <c r="S825"/>
      <c r="T825"/>
      <c r="U825"/>
      <c r="V825"/>
      <c r="W825"/>
      <c r="X825"/>
      <c r="Y825"/>
      <c r="Z825"/>
      <c r="AA825"/>
      <c r="AB825"/>
      <c r="AC825"/>
      <c r="AD825"/>
      <c r="AE825"/>
      <c r="AF825"/>
      <c r="AG825"/>
      <c r="AH825"/>
      <c r="AI825"/>
      <c r="AJ825"/>
      <c r="AK825"/>
      <c r="AL825"/>
      <c r="AM825"/>
      <c r="AN825"/>
    </row>
    <row r="826" spans="1:40" ht="15" customHeight="1">
      <c r="A826"/>
      <c r="B826"/>
      <c r="C826"/>
      <c r="D826"/>
      <c r="E826"/>
      <c r="F826"/>
      <c r="G826"/>
      <c r="H826"/>
      <c r="I826"/>
      <c r="J826"/>
      <c r="K826"/>
      <c r="L826"/>
      <c r="M826"/>
      <c r="N826"/>
      <c r="O826"/>
      <c r="P826"/>
      <c r="Q826"/>
      <c r="R826"/>
      <c r="S826"/>
      <c r="T826"/>
      <c r="U826"/>
      <c r="V826"/>
      <c r="W826"/>
      <c r="X826"/>
      <c r="Y826"/>
      <c r="Z826"/>
      <c r="AA826"/>
      <c r="AB826"/>
      <c r="AC826"/>
      <c r="AD826"/>
      <c r="AE826"/>
      <c r="AF826"/>
      <c r="AG826"/>
      <c r="AH826"/>
      <c r="AI826"/>
      <c r="AJ826"/>
      <c r="AK826"/>
      <c r="AL826"/>
      <c r="AM826"/>
      <c r="AN826"/>
    </row>
    <row r="827" spans="1:40" ht="15" customHeight="1">
      <c r="A827"/>
      <c r="B827"/>
      <c r="C827"/>
      <c r="D827"/>
      <c r="E827"/>
      <c r="F827"/>
      <c r="G827"/>
      <c r="H827"/>
      <c r="I827"/>
      <c r="J827"/>
      <c r="K827"/>
      <c r="L827"/>
      <c r="M827"/>
      <c r="N827"/>
      <c r="O827"/>
      <c r="P827"/>
      <c r="Q827"/>
      <c r="R827"/>
      <c r="S827"/>
      <c r="T827"/>
      <c r="U827"/>
      <c r="V827"/>
      <c r="W827"/>
      <c r="X827"/>
      <c r="Y827"/>
      <c r="Z827"/>
      <c r="AA827"/>
      <c r="AB827"/>
      <c r="AC827"/>
      <c r="AD827"/>
      <c r="AE827"/>
      <c r="AF827"/>
      <c r="AG827"/>
      <c r="AH827"/>
      <c r="AI827"/>
      <c r="AJ827"/>
      <c r="AK827"/>
      <c r="AL827"/>
      <c r="AM827"/>
      <c r="AN827"/>
    </row>
    <row r="828" spans="1:40" ht="15" customHeight="1">
      <c r="A828"/>
      <c r="B828"/>
      <c r="C828"/>
      <c r="D828"/>
      <c r="E828"/>
      <c r="F828"/>
      <c r="G828"/>
      <c r="H828"/>
      <c r="I828"/>
      <c r="J828"/>
      <c r="K828"/>
      <c r="L828"/>
      <c r="M828"/>
      <c r="N828"/>
      <c r="O828"/>
      <c r="P828"/>
      <c r="Q828"/>
      <c r="R828"/>
      <c r="S828"/>
      <c r="T828"/>
      <c r="U828"/>
      <c r="V828"/>
      <c r="W828"/>
      <c r="X828"/>
      <c r="Y828"/>
      <c r="Z828"/>
      <c r="AA828"/>
      <c r="AB828"/>
      <c r="AC828"/>
      <c r="AD828"/>
      <c r="AE828"/>
      <c r="AF828"/>
      <c r="AG828"/>
      <c r="AH828"/>
      <c r="AI828"/>
      <c r="AJ828"/>
      <c r="AK828"/>
      <c r="AL828"/>
      <c r="AM828"/>
      <c r="AN828"/>
    </row>
    <row r="829" spans="1:40" ht="15" customHeight="1">
      <c r="A829"/>
      <c r="B829"/>
      <c r="C829"/>
      <c r="D829"/>
      <c r="E829"/>
      <c r="F829"/>
      <c r="G829"/>
      <c r="H829"/>
      <c r="I829"/>
      <c r="J829"/>
      <c r="K829"/>
      <c r="L829"/>
      <c r="M829"/>
      <c r="N829"/>
      <c r="O829"/>
      <c r="P829"/>
      <c r="Q829"/>
      <c r="R829"/>
      <c r="S829"/>
      <c r="T829"/>
      <c r="U829"/>
      <c r="V829"/>
      <c r="W829"/>
      <c r="X829"/>
      <c r="Y829"/>
      <c r="Z829"/>
      <c r="AA829"/>
      <c r="AB829"/>
      <c r="AC829"/>
      <c r="AD829"/>
      <c r="AE829"/>
      <c r="AF829"/>
      <c r="AG829"/>
      <c r="AH829"/>
      <c r="AI829"/>
      <c r="AJ829"/>
      <c r="AK829"/>
      <c r="AL829"/>
      <c r="AM829"/>
      <c r="AN829"/>
    </row>
    <row r="830" spans="1:40" ht="15" customHeight="1">
      <c r="A830"/>
      <c r="B830"/>
      <c r="C830"/>
      <c r="D830"/>
      <c r="E830"/>
      <c r="F830"/>
      <c r="G830"/>
      <c r="H830"/>
      <c r="I830"/>
      <c r="J830"/>
      <c r="K830"/>
      <c r="L830"/>
      <c r="M830"/>
      <c r="N830"/>
      <c r="O830"/>
      <c r="P830"/>
      <c r="Q830"/>
      <c r="R830"/>
      <c r="S830"/>
      <c r="T830"/>
      <c r="U830"/>
      <c r="V830"/>
      <c r="W830"/>
      <c r="X830"/>
      <c r="Y830"/>
      <c r="Z830"/>
      <c r="AA830"/>
      <c r="AB830"/>
      <c r="AC830"/>
      <c r="AD830"/>
      <c r="AE830"/>
      <c r="AF830"/>
      <c r="AG830"/>
      <c r="AH830"/>
      <c r="AI830"/>
      <c r="AJ830"/>
      <c r="AK830"/>
      <c r="AL830"/>
      <c r="AM830"/>
      <c r="AN830"/>
    </row>
    <row r="831" spans="1:40" ht="15" customHeight="1">
      <c r="A831"/>
      <c r="B831"/>
      <c r="C831"/>
      <c r="D831"/>
      <c r="E831"/>
      <c r="F831"/>
      <c r="G831"/>
      <c r="H831"/>
      <c r="I831"/>
      <c r="J831"/>
      <c r="K831"/>
      <c r="L831"/>
      <c r="M831"/>
      <c r="N831"/>
      <c r="O831"/>
      <c r="P831"/>
      <c r="Q831"/>
      <c r="R831"/>
      <c r="S831"/>
      <c r="T831"/>
      <c r="U831"/>
      <c r="V831"/>
      <c r="W831"/>
      <c r="X831"/>
      <c r="Y831"/>
      <c r="Z831"/>
      <c r="AA831"/>
      <c r="AB831"/>
      <c r="AC831"/>
      <c r="AD831"/>
      <c r="AE831"/>
      <c r="AF831"/>
      <c r="AG831"/>
      <c r="AH831"/>
      <c r="AI831"/>
      <c r="AJ831"/>
      <c r="AK831"/>
      <c r="AL831"/>
      <c r="AM831"/>
      <c r="AN831"/>
    </row>
    <row r="832" spans="1:40" ht="15" customHeight="1">
      <c r="A832"/>
      <c r="B832"/>
      <c r="C832"/>
      <c r="D832"/>
      <c r="E832"/>
      <c r="F832"/>
      <c r="G832"/>
      <c r="H832"/>
      <c r="I832"/>
      <c r="J832"/>
      <c r="K832"/>
      <c r="L832"/>
      <c r="M832"/>
      <c r="N832"/>
      <c r="O832"/>
      <c r="P832"/>
      <c r="Q832"/>
      <c r="R832"/>
      <c r="S832"/>
      <c r="T832"/>
      <c r="U832"/>
      <c r="V832"/>
      <c r="W832"/>
      <c r="X832"/>
      <c r="Y832"/>
      <c r="Z832"/>
      <c r="AA832"/>
      <c r="AB832"/>
      <c r="AC832"/>
      <c r="AD832"/>
      <c r="AE832"/>
      <c r="AF832"/>
      <c r="AG832"/>
      <c r="AH832"/>
      <c r="AI832"/>
      <c r="AJ832"/>
      <c r="AK832"/>
      <c r="AL832"/>
      <c r="AM832"/>
      <c r="AN832"/>
    </row>
    <row r="833" spans="1:40" ht="15" customHeight="1">
      <c r="A833"/>
      <c r="B833"/>
      <c r="C833"/>
      <c r="D833"/>
      <c r="E833"/>
      <c r="F833"/>
      <c r="G833"/>
      <c r="H833"/>
      <c r="I833"/>
      <c r="J833"/>
      <c r="K833"/>
      <c r="L833"/>
      <c r="M833"/>
      <c r="N833"/>
      <c r="O833"/>
      <c r="P833"/>
      <c r="Q833"/>
      <c r="R833"/>
      <c r="S833"/>
      <c r="T833"/>
      <c r="U833"/>
      <c r="V833"/>
      <c r="W833"/>
      <c r="X833"/>
      <c r="Y833"/>
      <c r="Z833"/>
      <c r="AA833"/>
      <c r="AB833"/>
      <c r="AC833"/>
      <c r="AD833"/>
      <c r="AE833"/>
      <c r="AF833"/>
      <c r="AG833"/>
      <c r="AH833"/>
      <c r="AI833"/>
      <c r="AJ833"/>
      <c r="AK833"/>
      <c r="AL833"/>
      <c r="AM833"/>
      <c r="AN833"/>
    </row>
    <row r="834" spans="1:40" ht="15" customHeight="1">
      <c r="A834"/>
      <c r="B834"/>
      <c r="C834"/>
      <c r="D834"/>
      <c r="E834"/>
      <c r="F834"/>
      <c r="G834"/>
      <c r="H834"/>
      <c r="I834"/>
      <c r="J834"/>
      <c r="K834"/>
      <c r="L834"/>
      <c r="M834"/>
      <c r="N834"/>
      <c r="O834"/>
      <c r="P834"/>
      <c r="Q834"/>
      <c r="R834"/>
      <c r="S834"/>
      <c r="T834"/>
      <c r="U834"/>
      <c r="V834"/>
      <c r="W834"/>
      <c r="X834"/>
      <c r="Y834"/>
      <c r="Z834"/>
      <c r="AA834"/>
      <c r="AB834"/>
      <c r="AC834"/>
      <c r="AD834"/>
      <c r="AE834"/>
      <c r="AF834"/>
      <c r="AG834"/>
      <c r="AH834"/>
      <c r="AI834"/>
      <c r="AJ834"/>
      <c r="AK834"/>
      <c r="AL834"/>
      <c r="AM834"/>
      <c r="AN834"/>
    </row>
    <row r="835" spans="1:40" ht="15" customHeight="1">
      <c r="A835"/>
      <c r="B835"/>
      <c r="C835"/>
      <c r="D835"/>
      <c r="E835"/>
      <c r="F835"/>
      <c r="G835"/>
      <c r="H835"/>
      <c r="I835"/>
      <c r="J835"/>
      <c r="K835"/>
      <c r="L835"/>
      <c r="M835"/>
      <c r="N835"/>
      <c r="O835"/>
      <c r="P835"/>
      <c r="Q835"/>
      <c r="R835"/>
      <c r="S835"/>
      <c r="T835"/>
      <c r="U835"/>
      <c r="V835"/>
      <c r="W835"/>
      <c r="X835"/>
      <c r="Y835"/>
      <c r="Z835"/>
      <c r="AA835"/>
      <c r="AB835"/>
      <c r="AC835"/>
      <c r="AD835"/>
      <c r="AE835"/>
      <c r="AF835"/>
      <c r="AG835"/>
      <c r="AH835"/>
      <c r="AI835"/>
      <c r="AJ835"/>
      <c r="AK835"/>
      <c r="AL835"/>
      <c r="AM835"/>
      <c r="AN835"/>
    </row>
    <row r="836" spans="1:40" ht="15" customHeight="1">
      <c r="A836"/>
      <c r="B836"/>
      <c r="C836"/>
      <c r="D836"/>
      <c r="E836"/>
      <c r="F836"/>
      <c r="G836"/>
      <c r="H836"/>
      <c r="I836"/>
      <c r="J836"/>
      <c r="K836"/>
      <c r="L836"/>
      <c r="M836"/>
      <c r="N836"/>
      <c r="O836"/>
      <c r="P836"/>
      <c r="Q836"/>
      <c r="R836"/>
      <c r="S836"/>
      <c r="T836"/>
      <c r="U836"/>
      <c r="V836"/>
      <c r="W836"/>
      <c r="X836"/>
      <c r="Y836"/>
      <c r="Z836"/>
      <c r="AA836"/>
      <c r="AB836"/>
      <c r="AC836"/>
      <c r="AD836"/>
      <c r="AE836"/>
      <c r="AF836"/>
      <c r="AG836"/>
      <c r="AH836"/>
      <c r="AI836"/>
      <c r="AJ836"/>
      <c r="AK836"/>
      <c r="AL836"/>
      <c r="AM836"/>
      <c r="AN836"/>
    </row>
    <row r="837" spans="1:40" ht="15" customHeight="1">
      <c r="A837"/>
      <c r="B837"/>
      <c r="C837"/>
      <c r="D837"/>
      <c r="E837"/>
      <c r="F837"/>
      <c r="G837"/>
      <c r="H837"/>
      <c r="I837"/>
      <c r="J837"/>
      <c r="K837"/>
      <c r="L837"/>
      <c r="M837"/>
      <c r="N837"/>
      <c r="O837"/>
      <c r="P837"/>
      <c r="Q837"/>
      <c r="R837"/>
      <c r="S837"/>
      <c r="T837"/>
      <c r="U837"/>
      <c r="V837"/>
      <c r="W837"/>
      <c r="X837"/>
      <c r="Y837"/>
      <c r="Z837"/>
      <c r="AA837"/>
      <c r="AB837"/>
      <c r="AC837"/>
      <c r="AD837"/>
      <c r="AE837"/>
      <c r="AF837"/>
      <c r="AG837"/>
      <c r="AH837"/>
      <c r="AI837"/>
      <c r="AJ837"/>
      <c r="AK837"/>
      <c r="AL837"/>
      <c r="AM837"/>
      <c r="AN837"/>
    </row>
    <row r="838" spans="1:40" ht="15" customHeight="1">
      <c r="A838"/>
      <c r="B838"/>
      <c r="C838"/>
      <c r="D838"/>
      <c r="E838"/>
      <c r="F838"/>
      <c r="G838"/>
      <c r="H838"/>
      <c r="I838"/>
      <c r="J838"/>
      <c r="K838"/>
      <c r="L838"/>
      <c r="M838"/>
      <c r="N838"/>
      <c r="O838"/>
      <c r="P838"/>
      <c r="Q838"/>
      <c r="R838"/>
      <c r="S838"/>
      <c r="T838"/>
      <c r="U838"/>
      <c r="V838"/>
      <c r="W838"/>
      <c r="X838"/>
      <c r="Y838"/>
      <c r="Z838"/>
      <c r="AA838"/>
      <c r="AB838"/>
      <c r="AC838"/>
      <c r="AD838"/>
      <c r="AE838"/>
      <c r="AF838"/>
      <c r="AG838"/>
      <c r="AH838"/>
      <c r="AI838"/>
      <c r="AJ838"/>
      <c r="AK838"/>
      <c r="AL838"/>
      <c r="AM838"/>
      <c r="AN838"/>
    </row>
    <row r="839" spans="1:40" ht="15" customHeight="1">
      <c r="A839"/>
      <c r="B839"/>
      <c r="C839"/>
      <c r="D839"/>
      <c r="E839"/>
      <c r="F839"/>
      <c r="G839"/>
      <c r="H839"/>
      <c r="I839"/>
      <c r="J839"/>
      <c r="K839"/>
      <c r="L839"/>
      <c r="M839"/>
      <c r="N839"/>
      <c r="O839"/>
      <c r="P839"/>
      <c r="Q839"/>
      <c r="R839"/>
      <c r="S839"/>
      <c r="T839"/>
      <c r="U839"/>
      <c r="V839"/>
      <c r="W839"/>
      <c r="X839"/>
      <c r="Y839"/>
      <c r="Z839"/>
      <c r="AA839"/>
      <c r="AB839"/>
      <c r="AC839"/>
      <c r="AD839"/>
      <c r="AE839"/>
      <c r="AF839"/>
      <c r="AG839"/>
      <c r="AH839"/>
      <c r="AI839"/>
      <c r="AJ839"/>
      <c r="AK839"/>
      <c r="AL839"/>
      <c r="AM839"/>
      <c r="AN839"/>
    </row>
    <row r="840" spans="1:40" ht="15" customHeight="1">
      <c r="A840"/>
      <c r="B840"/>
      <c r="C840"/>
      <c r="D840"/>
      <c r="E840"/>
      <c r="F840"/>
      <c r="G840"/>
      <c r="H840"/>
      <c r="I840"/>
      <c r="J840"/>
      <c r="K840"/>
      <c r="L840"/>
      <c r="M840"/>
      <c r="N840"/>
      <c r="O840"/>
      <c r="P840"/>
      <c r="Q840"/>
      <c r="R840"/>
      <c r="S840"/>
      <c r="T840"/>
      <c r="U840"/>
      <c r="V840"/>
      <c r="W840"/>
      <c r="X840"/>
      <c r="Y840"/>
      <c r="Z840"/>
      <c r="AA840"/>
      <c r="AB840"/>
      <c r="AC840"/>
      <c r="AD840"/>
      <c r="AE840"/>
      <c r="AF840"/>
      <c r="AG840"/>
      <c r="AH840"/>
      <c r="AI840"/>
      <c r="AJ840"/>
      <c r="AK840"/>
      <c r="AL840"/>
      <c r="AM840"/>
      <c r="AN840"/>
    </row>
    <row r="841" spans="1:40" ht="15" customHeight="1">
      <c r="A841"/>
      <c r="B841"/>
      <c r="C841"/>
      <c r="D841"/>
      <c r="E841"/>
      <c r="F841"/>
      <c r="G841"/>
      <c r="H841"/>
      <c r="I841"/>
      <c r="J841"/>
      <c r="K841"/>
      <c r="L841"/>
      <c r="M841"/>
      <c r="N841"/>
      <c r="O841"/>
      <c r="P841"/>
      <c r="Q841"/>
      <c r="R841"/>
      <c r="S841"/>
      <c r="T841"/>
      <c r="U841"/>
      <c r="V841"/>
      <c r="W841"/>
      <c r="X841"/>
      <c r="Y841"/>
      <c r="Z841"/>
      <c r="AA841"/>
      <c r="AB841"/>
      <c r="AC841"/>
      <c r="AD841"/>
      <c r="AE841"/>
      <c r="AF841"/>
      <c r="AG841"/>
      <c r="AH841"/>
      <c r="AI841"/>
      <c r="AJ841"/>
      <c r="AK841"/>
      <c r="AL841"/>
      <c r="AM841"/>
      <c r="AN841"/>
    </row>
    <row r="842" spans="1:40" ht="15" customHeight="1">
      <c r="A842"/>
      <c r="B842"/>
      <c r="C842"/>
      <c r="D842"/>
      <c r="E842"/>
      <c r="F842"/>
      <c r="G842"/>
      <c r="H842"/>
      <c r="I842"/>
      <c r="J842"/>
      <c r="K842"/>
      <c r="L842"/>
      <c r="M842"/>
      <c r="N842"/>
      <c r="O842"/>
      <c r="P842"/>
      <c r="Q842"/>
      <c r="R842"/>
      <c r="S842"/>
      <c r="T842"/>
      <c r="U842"/>
      <c r="V842"/>
      <c r="W842"/>
      <c r="X842"/>
      <c r="Y842"/>
      <c r="Z842"/>
      <c r="AA842"/>
      <c r="AB842"/>
      <c r="AC842"/>
      <c r="AD842"/>
      <c r="AE842"/>
      <c r="AF842"/>
      <c r="AG842"/>
      <c r="AH842"/>
      <c r="AI842"/>
      <c r="AJ842"/>
      <c r="AK842"/>
      <c r="AL842"/>
      <c r="AM842"/>
      <c r="AN842"/>
    </row>
    <row r="843" spans="1:40" ht="15" customHeight="1">
      <c r="A843"/>
      <c r="B843"/>
      <c r="C843"/>
      <c r="D843"/>
      <c r="E843"/>
      <c r="F843"/>
      <c r="G843"/>
      <c r="H843"/>
      <c r="I843"/>
      <c r="J843"/>
      <c r="K843"/>
      <c r="L843"/>
      <c r="M843"/>
      <c r="N843"/>
      <c r="O843"/>
      <c r="P843"/>
      <c r="Q843"/>
      <c r="R843"/>
      <c r="S843"/>
      <c r="T843"/>
      <c r="U843"/>
      <c r="V843"/>
      <c r="W843"/>
      <c r="X843"/>
      <c r="Y843"/>
      <c r="Z843"/>
      <c r="AA843"/>
      <c r="AB843"/>
      <c r="AC843"/>
      <c r="AD843"/>
      <c r="AE843"/>
      <c r="AF843"/>
      <c r="AG843"/>
      <c r="AH843"/>
      <c r="AI843"/>
      <c r="AJ843"/>
      <c r="AK843"/>
      <c r="AL843"/>
      <c r="AM843"/>
      <c r="AN843"/>
    </row>
    <row r="844" spans="1:40" ht="15" customHeight="1">
      <c r="A844"/>
      <c r="B844"/>
      <c r="C844"/>
      <c r="D844"/>
      <c r="E844"/>
      <c r="F844"/>
      <c r="G844"/>
      <c r="H844"/>
      <c r="I844"/>
      <c r="J844"/>
      <c r="K844"/>
      <c r="L844"/>
      <c r="M844"/>
      <c r="N844"/>
      <c r="O844"/>
      <c r="P844"/>
      <c r="Q844"/>
      <c r="R844"/>
      <c r="S844"/>
      <c r="T844"/>
      <c r="U844"/>
      <c r="V844"/>
      <c r="W844"/>
      <c r="X844"/>
      <c r="Y844"/>
      <c r="Z844"/>
      <c r="AA844"/>
      <c r="AB844"/>
      <c r="AC844"/>
      <c r="AD844"/>
      <c r="AE844"/>
      <c r="AF844"/>
      <c r="AG844"/>
      <c r="AH844"/>
      <c r="AI844"/>
      <c r="AJ844"/>
      <c r="AK844"/>
      <c r="AL844"/>
      <c r="AM844"/>
      <c r="AN844"/>
    </row>
    <row r="845" spans="1:40" ht="15" customHeight="1">
      <c r="A845"/>
      <c r="B845"/>
      <c r="C845"/>
      <c r="D845"/>
      <c r="E845"/>
      <c r="F845"/>
      <c r="G845"/>
      <c r="H845"/>
      <c r="I845"/>
      <c r="J845"/>
      <c r="K845"/>
      <c r="L845"/>
      <c r="M845"/>
      <c r="N845"/>
      <c r="O845"/>
      <c r="P845"/>
      <c r="Q845"/>
      <c r="R845"/>
      <c r="S845"/>
      <c r="T845"/>
      <c r="U845"/>
      <c r="V845"/>
      <c r="W845"/>
      <c r="X845"/>
      <c r="Y845"/>
      <c r="Z845"/>
      <c r="AA845"/>
      <c r="AB845"/>
      <c r="AC845"/>
      <c r="AD845"/>
      <c r="AE845"/>
      <c r="AF845"/>
      <c r="AG845"/>
      <c r="AH845"/>
      <c r="AI845"/>
      <c r="AJ845"/>
      <c r="AK845"/>
      <c r="AL845"/>
      <c r="AM845"/>
      <c r="AN845"/>
    </row>
    <row r="846" spans="1:40" ht="15" customHeight="1">
      <c r="A846"/>
      <c r="B846"/>
      <c r="C846"/>
      <c r="D846"/>
      <c r="E846"/>
      <c r="F846"/>
      <c r="G846"/>
      <c r="H846"/>
      <c r="I846"/>
      <c r="J846"/>
      <c r="K846"/>
      <c r="L846"/>
      <c r="M846"/>
      <c r="N846"/>
      <c r="O846"/>
      <c r="P846"/>
      <c r="Q846"/>
      <c r="R846"/>
      <c r="S846"/>
      <c r="T846"/>
      <c r="U846"/>
      <c r="V846"/>
      <c r="W846"/>
      <c r="X846"/>
      <c r="Y846"/>
      <c r="Z846"/>
      <c r="AA846"/>
      <c r="AB846"/>
      <c r="AC846"/>
      <c r="AD846"/>
      <c r="AE846"/>
      <c r="AF846"/>
      <c r="AG846"/>
      <c r="AH846"/>
      <c r="AI846"/>
      <c r="AJ846"/>
      <c r="AK846"/>
      <c r="AL846"/>
      <c r="AM846"/>
      <c r="AN846"/>
    </row>
    <row r="847" spans="1:40" ht="15" customHeight="1">
      <c r="A847"/>
      <c r="B847"/>
      <c r="C847"/>
      <c r="D847"/>
      <c r="E847"/>
      <c r="F847"/>
      <c r="G847"/>
      <c r="H847"/>
      <c r="I847"/>
      <c r="J847"/>
      <c r="K847"/>
      <c r="L847"/>
      <c r="M847"/>
      <c r="N847"/>
      <c r="O847"/>
      <c r="P847"/>
      <c r="Q847"/>
      <c r="R847"/>
      <c r="S847"/>
      <c r="T847"/>
      <c r="U847"/>
      <c r="V847"/>
      <c r="W847"/>
      <c r="X847"/>
      <c r="Y847"/>
      <c r="Z847"/>
      <c r="AA847"/>
      <c r="AB847"/>
      <c r="AC847"/>
      <c r="AD847"/>
      <c r="AE847"/>
      <c r="AF847"/>
      <c r="AG847"/>
      <c r="AH847"/>
      <c r="AI847"/>
      <c r="AJ847"/>
      <c r="AK847"/>
      <c r="AL847"/>
      <c r="AM847"/>
      <c r="AN847"/>
    </row>
    <row r="848" spans="1:40" ht="15" customHeight="1">
      <c r="A848"/>
      <c r="B848"/>
      <c r="C848"/>
      <c r="D848"/>
      <c r="E848"/>
      <c r="F848"/>
      <c r="G848"/>
      <c r="H848"/>
      <c r="I848"/>
      <c r="J848"/>
      <c r="K848"/>
      <c r="L848"/>
      <c r="M848"/>
      <c r="N848"/>
      <c r="O848"/>
      <c r="P848"/>
      <c r="Q848"/>
      <c r="R848"/>
      <c r="S848"/>
      <c r="T848"/>
      <c r="U848"/>
      <c r="V848"/>
      <c r="W848"/>
      <c r="X848"/>
      <c r="Y848"/>
      <c r="Z848"/>
      <c r="AA848"/>
      <c r="AB848"/>
      <c r="AC848"/>
      <c r="AD848"/>
      <c r="AE848"/>
      <c r="AF848"/>
      <c r="AG848"/>
      <c r="AH848"/>
      <c r="AI848"/>
      <c r="AJ848"/>
      <c r="AK848"/>
      <c r="AL848"/>
      <c r="AM848"/>
      <c r="AN848"/>
    </row>
    <row r="849" spans="1:40" ht="15" customHeight="1">
      <c r="A849"/>
      <c r="B849"/>
      <c r="C849"/>
      <c r="D849"/>
      <c r="E849"/>
      <c r="F849"/>
      <c r="G849"/>
      <c r="H849"/>
      <c r="I849"/>
      <c r="J849"/>
      <c r="K849"/>
      <c r="L849"/>
      <c r="M849"/>
      <c r="N849"/>
      <c r="O849"/>
      <c r="P849"/>
      <c r="Q849"/>
      <c r="R849"/>
      <c r="S849"/>
      <c r="T849"/>
      <c r="U849"/>
      <c r="V849"/>
      <c r="W849"/>
      <c r="X849"/>
      <c r="Y849"/>
      <c r="Z849"/>
      <c r="AA849"/>
      <c r="AB849"/>
      <c r="AC849"/>
      <c r="AD849"/>
      <c r="AE849"/>
      <c r="AF849"/>
      <c r="AG849"/>
      <c r="AH849"/>
      <c r="AI849"/>
      <c r="AJ849"/>
      <c r="AK849"/>
      <c r="AL849"/>
      <c r="AM849"/>
      <c r="AN849"/>
    </row>
    <row r="850" spans="1:40" ht="15" customHeight="1">
      <c r="A850"/>
      <c r="B850"/>
      <c r="C850"/>
      <c r="D850"/>
      <c r="E850"/>
      <c r="F850"/>
      <c r="G850"/>
      <c r="H850"/>
      <c r="I850"/>
      <c r="J850"/>
      <c r="K850"/>
      <c r="L850"/>
      <c r="M850"/>
      <c r="N850"/>
      <c r="O850"/>
      <c r="P850"/>
      <c r="Q850"/>
      <c r="R850"/>
      <c r="S850"/>
      <c r="T850"/>
      <c r="U850"/>
      <c r="V850"/>
      <c r="W850"/>
      <c r="X850"/>
      <c r="Y850"/>
      <c r="Z850"/>
      <c r="AA850"/>
      <c r="AB850"/>
      <c r="AC850"/>
      <c r="AD850"/>
      <c r="AE850"/>
      <c r="AF850"/>
      <c r="AG850"/>
      <c r="AH850"/>
      <c r="AI850"/>
      <c r="AJ850"/>
      <c r="AK850"/>
      <c r="AL850"/>
      <c r="AM850"/>
      <c r="AN850"/>
    </row>
    <row r="851" spans="1:40" ht="15" customHeight="1">
      <c r="A851"/>
      <c r="B851"/>
      <c r="C851"/>
      <c r="D851"/>
      <c r="E851"/>
      <c r="F851"/>
      <c r="G851"/>
      <c r="H851"/>
      <c r="I851"/>
      <c r="J851"/>
      <c r="K851"/>
      <c r="L851"/>
      <c r="M851"/>
      <c r="N851"/>
      <c r="O851"/>
      <c r="P851"/>
      <c r="Q851"/>
      <c r="R851"/>
      <c r="S851"/>
      <c r="T851"/>
      <c r="U851"/>
      <c r="V851"/>
      <c r="W851"/>
      <c r="X851"/>
      <c r="Y851"/>
      <c r="Z851"/>
      <c r="AA851"/>
      <c r="AB851"/>
      <c r="AC851"/>
      <c r="AD851"/>
      <c r="AE851"/>
      <c r="AF851"/>
      <c r="AG851"/>
      <c r="AH851"/>
      <c r="AI851"/>
      <c r="AJ851"/>
      <c r="AK851"/>
      <c r="AL851"/>
      <c r="AM851"/>
      <c r="AN851"/>
    </row>
    <row r="852" spans="1:40" ht="15" customHeight="1">
      <c r="A852"/>
      <c r="B852"/>
      <c r="C852"/>
      <c r="D852"/>
      <c r="E852"/>
      <c r="F852"/>
      <c r="G852"/>
      <c r="H852"/>
      <c r="I852"/>
      <c r="J852"/>
      <c r="K852"/>
      <c r="L852"/>
      <c r="M852"/>
      <c r="N852"/>
      <c r="O852"/>
      <c r="P852"/>
      <c r="Q852"/>
      <c r="R852"/>
      <c r="S852"/>
      <c r="T852"/>
      <c r="U852"/>
      <c r="V852"/>
      <c r="W852"/>
      <c r="X852"/>
      <c r="Y852"/>
      <c r="Z852"/>
      <c r="AA852"/>
      <c r="AB852"/>
      <c r="AC852"/>
      <c r="AD852"/>
      <c r="AE852"/>
      <c r="AF852"/>
      <c r="AG852"/>
      <c r="AH852"/>
      <c r="AI852"/>
      <c r="AJ852"/>
      <c r="AK852"/>
      <c r="AL852"/>
      <c r="AM852"/>
      <c r="AN852"/>
    </row>
    <row r="853" spans="1:40" ht="15" customHeight="1">
      <c r="A853"/>
      <c r="B853"/>
      <c r="C853"/>
      <c r="D853"/>
      <c r="E853"/>
      <c r="F853"/>
      <c r="G853"/>
      <c r="H853"/>
      <c r="I853"/>
      <c r="J853"/>
      <c r="K853"/>
      <c r="L853"/>
      <c r="M853"/>
      <c r="N853"/>
      <c r="O853"/>
      <c r="P853"/>
      <c r="Q853"/>
      <c r="R853"/>
      <c r="S853"/>
      <c r="T853"/>
      <c r="U853"/>
      <c r="V853"/>
      <c r="W853"/>
      <c r="X853"/>
      <c r="Y853"/>
      <c r="Z853"/>
      <c r="AA853"/>
      <c r="AB853"/>
      <c r="AC853"/>
      <c r="AD853"/>
      <c r="AE853"/>
      <c r="AF853"/>
      <c r="AG853"/>
      <c r="AH853"/>
      <c r="AI853"/>
      <c r="AJ853"/>
      <c r="AK853"/>
      <c r="AL853"/>
      <c r="AM853"/>
      <c r="AN853"/>
    </row>
    <row r="854" spans="1:40" ht="15" customHeight="1">
      <c r="A854"/>
      <c r="B854"/>
      <c r="C854"/>
      <c r="D854"/>
      <c r="E854"/>
      <c r="F854"/>
      <c r="G854"/>
      <c r="H854"/>
      <c r="I854"/>
      <c r="J854"/>
      <c r="K854"/>
      <c r="L854"/>
      <c r="M854"/>
      <c r="N854"/>
      <c r="O854"/>
      <c r="P854"/>
      <c r="Q854"/>
      <c r="R854"/>
      <c r="S854"/>
      <c r="T854"/>
      <c r="U854"/>
      <c r="V854"/>
      <c r="W854"/>
      <c r="X854"/>
      <c r="Y854"/>
      <c r="Z854"/>
      <c r="AA854"/>
      <c r="AB854"/>
      <c r="AC854"/>
      <c r="AD854"/>
      <c r="AE854"/>
      <c r="AF854"/>
      <c r="AG854"/>
      <c r="AH854"/>
      <c r="AI854"/>
      <c r="AJ854"/>
      <c r="AK854"/>
      <c r="AL854"/>
      <c r="AM854"/>
      <c r="AN854"/>
    </row>
    <row r="855" spans="1:40" ht="15" customHeight="1">
      <c r="A855"/>
      <c r="B855"/>
      <c r="C855"/>
      <c r="D855"/>
      <c r="E855"/>
      <c r="F855"/>
      <c r="G855"/>
      <c r="H855"/>
      <c r="I855"/>
      <c r="J855"/>
      <c r="K855"/>
      <c r="L855"/>
      <c r="M855"/>
      <c r="N855"/>
      <c r="O855"/>
      <c r="P855"/>
      <c r="Q855"/>
      <c r="R855"/>
      <c r="S855"/>
      <c r="T855"/>
      <c r="U855"/>
      <c r="V855"/>
      <c r="W855"/>
      <c r="X855"/>
      <c r="Y855"/>
      <c r="Z855"/>
      <c r="AA855"/>
      <c r="AB855"/>
      <c r="AC855"/>
      <c r="AD855"/>
      <c r="AE855"/>
      <c r="AF855"/>
      <c r="AG855"/>
      <c r="AH855"/>
      <c r="AI855"/>
      <c r="AJ855"/>
      <c r="AK855"/>
      <c r="AL855"/>
      <c r="AM855"/>
      <c r="AN855"/>
    </row>
    <row r="856" spans="1:40" ht="15" customHeight="1">
      <c r="A856"/>
      <c r="B856"/>
      <c r="C856"/>
      <c r="D856"/>
      <c r="E856"/>
      <c r="F856"/>
      <c r="G856"/>
      <c r="H856"/>
      <c r="I856"/>
      <c r="J856"/>
      <c r="K856"/>
      <c r="L856"/>
      <c r="M856"/>
      <c r="N856"/>
      <c r="O856"/>
      <c r="P856"/>
      <c r="Q856"/>
      <c r="R856"/>
      <c r="S856"/>
      <c r="T856"/>
      <c r="U856"/>
      <c r="V856"/>
      <c r="W856"/>
      <c r="X856"/>
      <c r="Y856"/>
      <c r="Z856"/>
      <c r="AA856"/>
      <c r="AB856"/>
      <c r="AC856"/>
      <c r="AD856"/>
      <c r="AE856"/>
      <c r="AF856"/>
      <c r="AG856"/>
      <c r="AH856"/>
      <c r="AI856"/>
      <c r="AJ856"/>
      <c r="AK856"/>
      <c r="AL856"/>
      <c r="AM856"/>
      <c r="AN856"/>
    </row>
    <row r="857" spans="1:40" ht="15" customHeight="1">
      <c r="A857"/>
      <c r="B857"/>
      <c r="C857"/>
      <c r="D857"/>
      <c r="E857"/>
      <c r="F857"/>
      <c r="G857"/>
      <c r="H857"/>
      <c r="I857"/>
      <c r="J857"/>
      <c r="K857"/>
      <c r="L857"/>
      <c r="M857"/>
      <c r="N857"/>
      <c r="O857"/>
      <c r="P857"/>
      <c r="Q857"/>
      <c r="R857"/>
      <c r="S857"/>
      <c r="T857"/>
      <c r="U857"/>
      <c r="V857"/>
      <c r="W857"/>
      <c r="X857"/>
      <c r="Y857"/>
      <c r="Z857"/>
      <c r="AA857"/>
      <c r="AB857"/>
      <c r="AC857"/>
      <c r="AD857"/>
      <c r="AE857"/>
      <c r="AF857"/>
      <c r="AG857"/>
      <c r="AH857"/>
      <c r="AI857"/>
      <c r="AJ857"/>
      <c r="AK857"/>
      <c r="AL857"/>
      <c r="AM857"/>
      <c r="AN857"/>
    </row>
    <row r="858" spans="1:40" ht="15" customHeight="1">
      <c r="A858"/>
      <c r="B858"/>
      <c r="C858"/>
      <c r="D858"/>
      <c r="E858"/>
      <c r="F858"/>
      <c r="G858"/>
      <c r="H858"/>
      <c r="I858"/>
      <c r="J858"/>
      <c r="K858"/>
      <c r="L858"/>
      <c r="M858"/>
      <c r="N858"/>
      <c r="O858"/>
      <c r="P858"/>
      <c r="Q858"/>
      <c r="R858"/>
      <c r="S858"/>
      <c r="T858"/>
      <c r="U858"/>
      <c r="V858"/>
      <c r="W858"/>
      <c r="X858"/>
      <c r="Y858"/>
      <c r="Z858"/>
      <c r="AA858"/>
      <c r="AB858"/>
      <c r="AC858"/>
      <c r="AD858"/>
      <c r="AE858"/>
      <c r="AF858"/>
      <c r="AG858"/>
      <c r="AH858"/>
      <c r="AI858"/>
      <c r="AJ858"/>
      <c r="AK858"/>
      <c r="AL858"/>
      <c r="AM858"/>
      <c r="AN858"/>
    </row>
    <row r="859" spans="1:40" ht="15" customHeight="1">
      <c r="A859"/>
      <c r="B859"/>
      <c r="C859"/>
      <c r="D859"/>
      <c r="E859"/>
      <c r="F859"/>
      <c r="G859"/>
      <c r="H859"/>
      <c r="I859"/>
      <c r="J859"/>
      <c r="K859"/>
      <c r="L859"/>
      <c r="M859"/>
      <c r="N859"/>
      <c r="O859"/>
      <c r="P859"/>
      <c r="Q859"/>
      <c r="R859"/>
      <c r="S859"/>
      <c r="T859"/>
      <c r="U859"/>
      <c r="V859"/>
      <c r="W859"/>
      <c r="X859"/>
      <c r="Y859"/>
      <c r="Z859"/>
      <c r="AA859"/>
      <c r="AB859"/>
      <c r="AC859"/>
      <c r="AD859"/>
      <c r="AE859"/>
      <c r="AF859"/>
      <c r="AG859"/>
      <c r="AH859"/>
      <c r="AI859"/>
      <c r="AJ859"/>
      <c r="AK859"/>
      <c r="AL859"/>
      <c r="AM859"/>
      <c r="AN859"/>
    </row>
    <row r="860" spans="1:40" ht="15" customHeight="1">
      <c r="A860"/>
      <c r="B860"/>
      <c r="C860"/>
      <c r="D860"/>
      <c r="E860"/>
      <c r="F860"/>
      <c r="G860"/>
      <c r="H860"/>
      <c r="I860"/>
      <c r="J860"/>
      <c r="K860"/>
      <c r="L860"/>
      <c r="M860"/>
      <c r="N860"/>
      <c r="O860"/>
      <c r="P860"/>
      <c r="Q860"/>
      <c r="R860"/>
      <c r="S860"/>
      <c r="T860"/>
      <c r="U860"/>
      <c r="V860"/>
      <c r="W860"/>
      <c r="X860"/>
      <c r="Y860"/>
      <c r="Z860"/>
      <c r="AA860"/>
      <c r="AB860"/>
      <c r="AC860"/>
      <c r="AD860"/>
      <c r="AE860"/>
      <c r="AF860"/>
      <c r="AG860"/>
      <c r="AH860"/>
      <c r="AI860"/>
      <c r="AJ860"/>
      <c r="AK860"/>
      <c r="AL860"/>
      <c r="AM860"/>
      <c r="AN860"/>
    </row>
    <row r="861" spans="1:40" ht="15" customHeight="1">
      <c r="A861"/>
      <c r="B861"/>
      <c r="C861"/>
      <c r="D861"/>
      <c r="E861"/>
      <c r="F861"/>
      <c r="G861"/>
      <c r="H861"/>
      <c r="I861"/>
      <c r="J861"/>
      <c r="K861"/>
      <c r="L861"/>
      <c r="M861"/>
      <c r="N861"/>
      <c r="O861"/>
      <c r="P861"/>
      <c r="Q861"/>
      <c r="R861"/>
      <c r="S861"/>
      <c r="T861"/>
      <c r="U861"/>
      <c r="V861"/>
      <c r="W861"/>
      <c r="X861"/>
      <c r="Y861"/>
      <c r="Z861"/>
      <c r="AA861"/>
      <c r="AB861"/>
      <c r="AC861"/>
      <c r="AD861"/>
      <c r="AE861"/>
      <c r="AF861"/>
      <c r="AG861"/>
      <c r="AH861"/>
      <c r="AI861"/>
      <c r="AJ861"/>
      <c r="AK861"/>
      <c r="AL861"/>
      <c r="AM861"/>
      <c r="AN861"/>
    </row>
    <row r="862" spans="1:40" ht="15" customHeight="1">
      <c r="A862"/>
      <c r="B862"/>
      <c r="C862"/>
      <c r="D862"/>
      <c r="E862"/>
      <c r="F862"/>
      <c r="G862"/>
      <c r="H862"/>
      <c r="I862"/>
      <c r="J862"/>
      <c r="K862"/>
      <c r="L862"/>
      <c r="M862"/>
      <c r="N862"/>
      <c r="O862"/>
      <c r="P862"/>
      <c r="Q862"/>
      <c r="R862"/>
      <c r="S862"/>
      <c r="T862"/>
      <c r="U862"/>
      <c r="V862"/>
      <c r="W862"/>
      <c r="X862"/>
      <c r="Y862"/>
      <c r="Z862"/>
      <c r="AA862"/>
      <c r="AB862"/>
      <c r="AC862"/>
      <c r="AD862"/>
      <c r="AE862"/>
      <c r="AF862"/>
      <c r="AG862"/>
      <c r="AH862"/>
      <c r="AI862"/>
      <c r="AJ862"/>
      <c r="AK862"/>
      <c r="AL862"/>
      <c r="AM862"/>
      <c r="AN862"/>
    </row>
    <row r="863" spans="1:40" ht="15" customHeight="1">
      <c r="A863"/>
      <c r="B863"/>
      <c r="C863"/>
      <c r="D863"/>
      <c r="E863"/>
      <c r="F863"/>
      <c r="G863"/>
      <c r="H863"/>
      <c r="I863"/>
      <c r="J863"/>
      <c r="K863"/>
      <c r="L863"/>
      <c r="M863"/>
      <c r="N863"/>
      <c r="O863"/>
      <c r="P863"/>
      <c r="Q863"/>
      <c r="R863"/>
      <c r="S863"/>
      <c r="T863"/>
      <c r="U863"/>
      <c r="V863"/>
      <c r="W863"/>
      <c r="X863"/>
      <c r="Y863"/>
      <c r="Z863"/>
      <c r="AA863"/>
      <c r="AB863"/>
      <c r="AC863"/>
      <c r="AD863"/>
      <c r="AE863"/>
      <c r="AF863"/>
      <c r="AG863"/>
      <c r="AH863"/>
      <c r="AI863"/>
      <c r="AJ863"/>
      <c r="AK863"/>
      <c r="AL863"/>
      <c r="AM863"/>
      <c r="AN863"/>
    </row>
    <row r="864" spans="1:40" ht="15" customHeight="1">
      <c r="A864"/>
      <c r="B864"/>
      <c r="C864"/>
      <c r="D864"/>
      <c r="E864"/>
      <c r="F864"/>
      <c r="G864"/>
      <c r="H864"/>
      <c r="I864"/>
      <c r="J864"/>
      <c r="K864"/>
      <c r="L864"/>
      <c r="M864"/>
      <c r="N864"/>
      <c r="O864"/>
      <c r="P864"/>
      <c r="Q864"/>
      <c r="R864"/>
      <c r="S864"/>
      <c r="T864"/>
      <c r="U864"/>
      <c r="V864"/>
      <c r="W864"/>
      <c r="X864"/>
      <c r="Y864"/>
      <c r="Z864"/>
      <c r="AA864"/>
      <c r="AB864"/>
      <c r="AC864"/>
      <c r="AD864"/>
      <c r="AE864"/>
      <c r="AF864"/>
      <c r="AG864"/>
      <c r="AH864"/>
      <c r="AI864"/>
      <c r="AJ864"/>
      <c r="AK864"/>
      <c r="AL864"/>
      <c r="AM864"/>
      <c r="AN864"/>
    </row>
    <row r="865" spans="1:40" ht="15" customHeight="1">
      <c r="A865"/>
      <c r="B865"/>
      <c r="C865"/>
      <c r="D865"/>
      <c r="E865"/>
      <c r="F865"/>
      <c r="G865"/>
      <c r="H865"/>
      <c r="I865"/>
      <c r="J865"/>
      <c r="K865"/>
      <c r="L865"/>
      <c r="M865"/>
      <c r="N865"/>
      <c r="O865"/>
      <c r="P865"/>
      <c r="Q865"/>
      <c r="R865"/>
      <c r="S865"/>
      <c r="T865"/>
      <c r="U865"/>
      <c r="V865"/>
      <c r="W865"/>
      <c r="X865"/>
      <c r="Y865"/>
      <c r="Z865"/>
      <c r="AA865"/>
      <c r="AB865"/>
      <c r="AC865"/>
      <c r="AD865"/>
      <c r="AE865"/>
      <c r="AF865"/>
      <c r="AG865"/>
      <c r="AH865"/>
      <c r="AI865"/>
      <c r="AJ865"/>
      <c r="AK865"/>
      <c r="AL865"/>
      <c r="AM865"/>
      <c r="AN865"/>
    </row>
    <row r="866" spans="1:40" ht="15" customHeight="1">
      <c r="A866"/>
      <c r="B866"/>
      <c r="C866"/>
      <c r="D866"/>
      <c r="E866"/>
      <c r="F866"/>
      <c r="G866"/>
      <c r="H866"/>
      <c r="I866"/>
      <c r="J866"/>
      <c r="K866"/>
      <c r="L866"/>
      <c r="M866"/>
      <c r="N866"/>
      <c r="O866"/>
      <c r="P866"/>
      <c r="Q866"/>
      <c r="R866"/>
      <c r="S866"/>
      <c r="T866"/>
      <c r="U866"/>
      <c r="V866"/>
      <c r="W866"/>
      <c r="X866"/>
      <c r="Y866"/>
      <c r="Z866"/>
      <c r="AA866"/>
      <c r="AB866"/>
      <c r="AC866"/>
      <c r="AD866"/>
      <c r="AE866"/>
      <c r="AF866"/>
      <c r="AG866"/>
      <c r="AH866"/>
      <c r="AI866"/>
      <c r="AJ866"/>
      <c r="AK866"/>
      <c r="AL866"/>
      <c r="AM866"/>
      <c r="AN866"/>
    </row>
    <row r="867" spans="1:40" ht="15" customHeight="1">
      <c r="A867"/>
      <c r="B867"/>
      <c r="C867"/>
      <c r="D867"/>
      <c r="E867"/>
      <c r="F867"/>
      <c r="G867"/>
      <c r="H867"/>
      <c r="I867"/>
      <c r="J867"/>
      <c r="K867"/>
      <c r="L867"/>
      <c r="M867"/>
      <c r="N867"/>
      <c r="O867"/>
      <c r="P867"/>
      <c r="Q867"/>
      <c r="R867"/>
      <c r="S867"/>
      <c r="T867"/>
      <c r="U867"/>
      <c r="V867"/>
      <c r="W867"/>
      <c r="X867"/>
      <c r="Y867"/>
      <c r="Z867"/>
      <c r="AA867"/>
      <c r="AB867"/>
      <c r="AC867"/>
      <c r="AD867"/>
      <c r="AE867"/>
      <c r="AF867"/>
      <c r="AG867"/>
      <c r="AH867"/>
      <c r="AI867"/>
      <c r="AJ867"/>
      <c r="AK867"/>
      <c r="AL867"/>
      <c r="AM867"/>
      <c r="AN867"/>
    </row>
    <row r="868" spans="1:40" ht="15" customHeight="1">
      <c r="A868"/>
      <c r="B868"/>
      <c r="C868"/>
      <c r="D868"/>
      <c r="E868"/>
      <c r="F868"/>
      <c r="G868"/>
      <c r="H868"/>
      <c r="I868"/>
      <c r="J868"/>
      <c r="K868"/>
      <c r="L868"/>
      <c r="M868"/>
      <c r="N868"/>
      <c r="O868"/>
      <c r="P868"/>
      <c r="Q868"/>
      <c r="R868"/>
      <c r="S868"/>
      <c r="T868"/>
      <c r="U868"/>
      <c r="V868"/>
      <c r="W868"/>
      <c r="X868"/>
      <c r="Y868"/>
      <c r="Z868"/>
      <c r="AA868"/>
      <c r="AB868"/>
      <c r="AC868"/>
      <c r="AD868"/>
      <c r="AE868"/>
      <c r="AF868"/>
      <c r="AG868"/>
      <c r="AH868"/>
      <c r="AI868"/>
      <c r="AJ868"/>
      <c r="AK868"/>
      <c r="AL868"/>
      <c r="AM868"/>
      <c r="AN868"/>
    </row>
    <row r="869" spans="1:40" ht="15" customHeight="1">
      <c r="A869"/>
      <c r="B869"/>
      <c r="C869"/>
      <c r="D869"/>
      <c r="E869"/>
      <c r="F869"/>
      <c r="G869"/>
      <c r="H869"/>
      <c r="I869"/>
      <c r="J869"/>
      <c r="K869"/>
      <c r="L869"/>
      <c r="M869"/>
      <c r="N869"/>
      <c r="O869"/>
      <c r="P869"/>
      <c r="Q869"/>
      <c r="R869"/>
      <c r="S869"/>
      <c r="T869"/>
      <c r="U869"/>
      <c r="V869"/>
      <c r="W869"/>
      <c r="X869"/>
      <c r="Y869"/>
      <c r="Z869"/>
      <c r="AA869"/>
      <c r="AB869"/>
      <c r="AC869"/>
      <c r="AD869"/>
      <c r="AE869"/>
      <c r="AF869"/>
      <c r="AG869"/>
      <c r="AH869"/>
      <c r="AI869"/>
      <c r="AJ869"/>
      <c r="AK869"/>
      <c r="AL869"/>
      <c r="AM869"/>
      <c r="AN869"/>
    </row>
    <row r="870" spans="1:40" ht="15" customHeight="1">
      <c r="A870"/>
      <c r="B870"/>
      <c r="C870"/>
      <c r="D870"/>
      <c r="E870"/>
      <c r="F870"/>
      <c r="G870"/>
      <c r="H870"/>
      <c r="I870"/>
      <c r="J870"/>
      <c r="K870"/>
      <c r="L870"/>
      <c r="M870"/>
      <c r="N870"/>
      <c r="O870"/>
      <c r="P870"/>
      <c r="Q870"/>
      <c r="R870"/>
      <c r="S870"/>
      <c r="T870"/>
      <c r="U870"/>
      <c r="V870"/>
      <c r="W870"/>
      <c r="X870"/>
      <c r="Y870"/>
      <c r="Z870"/>
      <c r="AA870"/>
      <c r="AB870"/>
      <c r="AC870"/>
      <c r="AD870"/>
      <c r="AE870"/>
      <c r="AF870"/>
      <c r="AG870"/>
      <c r="AH870"/>
      <c r="AI870"/>
      <c r="AJ870"/>
      <c r="AK870"/>
      <c r="AL870"/>
      <c r="AM870"/>
      <c r="AN870"/>
    </row>
    <row r="871" spans="1:40" ht="15" customHeight="1">
      <c r="A871"/>
      <c r="B871"/>
      <c r="C871"/>
      <c r="D871"/>
      <c r="E871"/>
      <c r="F871"/>
      <c r="G871"/>
      <c r="H871"/>
      <c r="I871"/>
      <c r="J871"/>
      <c r="K871"/>
      <c r="L871"/>
      <c r="M871"/>
      <c r="N871"/>
      <c r="O871"/>
      <c r="P871"/>
      <c r="Q871"/>
      <c r="R871"/>
      <c r="S871"/>
      <c r="T871"/>
      <c r="U871"/>
      <c r="V871"/>
      <c r="W871"/>
      <c r="X871"/>
      <c r="Y871"/>
      <c r="Z871"/>
      <c r="AA871"/>
      <c r="AB871"/>
      <c r="AC871"/>
      <c r="AD871"/>
      <c r="AE871"/>
      <c r="AF871"/>
      <c r="AG871"/>
      <c r="AH871"/>
      <c r="AI871"/>
      <c r="AJ871"/>
      <c r="AK871"/>
      <c r="AL871"/>
      <c r="AM871"/>
      <c r="AN871"/>
    </row>
    <row r="872" spans="1:40" ht="15" customHeight="1">
      <c r="A872"/>
      <c r="B872"/>
      <c r="C872"/>
      <c r="D872"/>
      <c r="E872"/>
      <c r="F872"/>
      <c r="G872"/>
      <c r="H872"/>
      <c r="I872"/>
      <c r="J872"/>
      <c r="K872"/>
      <c r="L872"/>
      <c r="M872"/>
      <c r="N872"/>
      <c r="O872"/>
      <c r="P872"/>
      <c r="Q872"/>
      <c r="R872"/>
      <c r="S872"/>
      <c r="T872"/>
      <c r="U872"/>
      <c r="V872"/>
      <c r="W872"/>
      <c r="X872"/>
      <c r="Y872"/>
      <c r="Z872"/>
      <c r="AA872"/>
      <c r="AB872"/>
      <c r="AC872"/>
      <c r="AD872"/>
      <c r="AE872"/>
      <c r="AF872"/>
      <c r="AG872"/>
      <c r="AH872"/>
      <c r="AI872"/>
      <c r="AJ872"/>
      <c r="AK872"/>
      <c r="AL872"/>
      <c r="AM872"/>
      <c r="AN872"/>
    </row>
    <row r="873" spans="1:40" ht="15" customHeight="1">
      <c r="A873"/>
      <c r="B873"/>
      <c r="C873"/>
      <c r="D873"/>
      <c r="E873"/>
      <c r="F873"/>
      <c r="G873"/>
      <c r="H873"/>
      <c r="I873"/>
      <c r="J873"/>
      <c r="K873"/>
      <c r="L873"/>
      <c r="M873"/>
      <c r="N873"/>
      <c r="O873"/>
      <c r="P873"/>
      <c r="Q873"/>
      <c r="R873"/>
      <c r="S873"/>
      <c r="T873"/>
      <c r="U873"/>
      <c r="V873"/>
      <c r="W873"/>
      <c r="X873"/>
      <c r="Y873"/>
      <c r="Z873"/>
      <c r="AA873"/>
      <c r="AB873"/>
      <c r="AC873"/>
      <c r="AD873"/>
      <c r="AE873"/>
      <c r="AF873"/>
      <c r="AG873"/>
      <c r="AH873"/>
      <c r="AI873"/>
      <c r="AJ873"/>
      <c r="AK873"/>
      <c r="AL873"/>
      <c r="AM873"/>
      <c r="AN873"/>
    </row>
    <row r="874" spans="1:40" ht="15" customHeight="1">
      <c r="A874"/>
      <c r="B874"/>
      <c r="C874"/>
      <c r="D874"/>
      <c r="E874"/>
      <c r="F874"/>
      <c r="G874"/>
      <c r="H874"/>
      <c r="I874"/>
      <c r="J874"/>
      <c r="K874"/>
      <c r="L874"/>
      <c r="M874"/>
      <c r="N874"/>
      <c r="O874"/>
      <c r="P874"/>
      <c r="Q874"/>
      <c r="R874"/>
      <c r="S874"/>
      <c r="T874"/>
      <c r="U874"/>
      <c r="V874"/>
      <c r="W874"/>
      <c r="X874"/>
      <c r="Y874"/>
      <c r="Z874"/>
      <c r="AA874"/>
      <c r="AB874"/>
      <c r="AC874"/>
      <c r="AD874"/>
      <c r="AE874"/>
      <c r="AF874"/>
      <c r="AG874"/>
      <c r="AH874"/>
      <c r="AI874"/>
      <c r="AJ874"/>
      <c r="AK874"/>
      <c r="AL874"/>
      <c r="AM874"/>
      <c r="AN874"/>
    </row>
    <row r="875" spans="1:40" ht="15" customHeight="1">
      <c r="A875"/>
      <c r="B875"/>
      <c r="C875"/>
      <c r="D875"/>
      <c r="E875"/>
      <c r="F875"/>
      <c r="G875"/>
      <c r="H875"/>
      <c r="I875"/>
      <c r="J875"/>
      <c r="K875"/>
      <c r="L875"/>
      <c r="M875"/>
      <c r="N875"/>
      <c r="O875"/>
      <c r="P875"/>
      <c r="Q875"/>
      <c r="R875"/>
      <c r="S875"/>
      <c r="T875"/>
      <c r="U875"/>
      <c r="V875"/>
      <c r="W875"/>
      <c r="X875"/>
      <c r="Y875"/>
      <c r="Z875"/>
      <c r="AA875"/>
      <c r="AB875"/>
      <c r="AC875"/>
      <c r="AD875"/>
      <c r="AE875"/>
      <c r="AF875"/>
      <c r="AG875"/>
      <c r="AH875"/>
      <c r="AI875"/>
      <c r="AJ875"/>
      <c r="AK875"/>
      <c r="AL875"/>
      <c r="AM875"/>
      <c r="AN875"/>
    </row>
    <row r="876" spans="1:40" ht="15" customHeight="1">
      <c r="A876"/>
      <c r="B876"/>
      <c r="C876"/>
      <c r="D876"/>
      <c r="E876"/>
      <c r="F876"/>
      <c r="G876"/>
      <c r="H876"/>
      <c r="I876"/>
      <c r="J876"/>
      <c r="K876"/>
      <c r="L876"/>
      <c r="M876"/>
      <c r="N876"/>
      <c r="O876"/>
      <c r="P876"/>
      <c r="Q876"/>
      <c r="R876"/>
      <c r="S876"/>
      <c r="T876"/>
      <c r="U876"/>
      <c r="V876"/>
      <c r="W876"/>
      <c r="X876"/>
      <c r="Y876"/>
      <c r="Z876"/>
      <c r="AA876"/>
      <c r="AB876"/>
      <c r="AC876"/>
      <c r="AD876"/>
      <c r="AE876"/>
      <c r="AF876"/>
      <c r="AG876"/>
      <c r="AH876"/>
      <c r="AI876"/>
      <c r="AJ876"/>
      <c r="AK876"/>
      <c r="AL876"/>
      <c r="AM876"/>
      <c r="AN876"/>
    </row>
    <row r="877" spans="1:40" ht="15" customHeight="1">
      <c r="A877"/>
      <c r="B877"/>
      <c r="C877"/>
      <c r="D877"/>
      <c r="E877"/>
      <c r="F877"/>
      <c r="G877"/>
      <c r="H877"/>
      <c r="I877"/>
      <c r="J877"/>
      <c r="K877"/>
      <c r="L877"/>
      <c r="M877"/>
      <c r="N877"/>
      <c r="O877"/>
      <c r="P877"/>
      <c r="Q877"/>
      <c r="R877"/>
      <c r="S877"/>
      <c r="T877"/>
      <c r="U877"/>
      <c r="V877"/>
      <c r="W877"/>
      <c r="X877"/>
      <c r="Y877"/>
      <c r="Z877"/>
      <c r="AA877"/>
      <c r="AB877"/>
      <c r="AC877"/>
      <c r="AD877"/>
      <c r="AE877"/>
      <c r="AF877"/>
      <c r="AG877"/>
      <c r="AH877"/>
      <c r="AI877"/>
      <c r="AJ877"/>
      <c r="AK877"/>
      <c r="AL877"/>
      <c r="AM877"/>
      <c r="AN877"/>
    </row>
    <row r="878" spans="1:40" ht="15" customHeight="1">
      <c r="A878"/>
      <c r="B878"/>
      <c r="C878"/>
      <c r="D878"/>
      <c r="E878"/>
      <c r="F878"/>
      <c r="G878"/>
      <c r="H878"/>
      <c r="I878"/>
      <c r="J878"/>
      <c r="K878"/>
      <c r="L878"/>
      <c r="M878"/>
      <c r="N878"/>
      <c r="O878"/>
      <c r="P878"/>
      <c r="Q878"/>
      <c r="R878"/>
      <c r="S878"/>
      <c r="T878"/>
      <c r="U878"/>
      <c r="V878"/>
      <c r="W878"/>
      <c r="X878"/>
      <c r="Y878"/>
      <c r="Z878"/>
      <c r="AA878"/>
      <c r="AB878"/>
      <c r="AC878"/>
      <c r="AD878"/>
      <c r="AE878"/>
      <c r="AF878"/>
      <c r="AG878"/>
      <c r="AH878"/>
      <c r="AI878"/>
      <c r="AJ878"/>
      <c r="AK878"/>
      <c r="AL878"/>
      <c r="AM878"/>
      <c r="AN878"/>
    </row>
    <row r="879" spans="1:40" ht="15" customHeight="1">
      <c r="A879"/>
      <c r="B879"/>
      <c r="C879"/>
      <c r="D879"/>
      <c r="E879"/>
      <c r="F879"/>
      <c r="G879"/>
      <c r="H879"/>
      <c r="I879"/>
      <c r="J879"/>
      <c r="K879"/>
      <c r="L879"/>
      <c r="M879"/>
      <c r="N879"/>
      <c r="O879"/>
      <c r="P879"/>
      <c r="Q879"/>
      <c r="R879"/>
      <c r="S879"/>
      <c r="T879"/>
      <c r="U879"/>
      <c r="V879"/>
      <c r="W879"/>
      <c r="X879"/>
      <c r="Y879"/>
      <c r="Z879"/>
      <c r="AA879"/>
      <c r="AB879"/>
      <c r="AC879"/>
      <c r="AD879"/>
      <c r="AE879"/>
      <c r="AF879"/>
      <c r="AG879"/>
      <c r="AH879"/>
      <c r="AI879"/>
      <c r="AJ879"/>
      <c r="AK879"/>
      <c r="AL879"/>
      <c r="AM879"/>
      <c r="AN879"/>
    </row>
    <row r="880" spans="1:40" ht="15" customHeight="1">
      <c r="A880"/>
      <c r="B880"/>
      <c r="C880"/>
      <c r="D880"/>
      <c r="E880"/>
      <c r="F880"/>
      <c r="G880"/>
      <c r="H880"/>
      <c r="I880"/>
      <c r="J880"/>
      <c r="K880"/>
      <c r="L880"/>
      <c r="M880"/>
      <c r="N880"/>
      <c r="O880"/>
      <c r="P880"/>
      <c r="Q880"/>
      <c r="R880"/>
      <c r="S880"/>
      <c r="T880"/>
      <c r="U880"/>
      <c r="V880"/>
      <c r="W880"/>
      <c r="X880"/>
      <c r="Y880"/>
      <c r="Z880"/>
      <c r="AA880"/>
      <c r="AB880"/>
      <c r="AC880"/>
      <c r="AD880"/>
      <c r="AE880"/>
      <c r="AF880"/>
      <c r="AG880"/>
      <c r="AH880"/>
      <c r="AI880"/>
      <c r="AJ880"/>
      <c r="AK880"/>
      <c r="AL880"/>
      <c r="AM880"/>
      <c r="AN880"/>
    </row>
    <row r="881" spans="1:40" ht="15" customHeight="1">
      <c r="A881"/>
      <c r="B881"/>
      <c r="C881"/>
      <c r="D881"/>
      <c r="E881"/>
      <c r="F881"/>
      <c r="G881"/>
      <c r="H881"/>
      <c r="I881"/>
      <c r="J881"/>
      <c r="K881"/>
      <c r="L881"/>
      <c r="M881"/>
      <c r="N881"/>
      <c r="O881"/>
      <c r="P881"/>
      <c r="Q881"/>
      <c r="R881"/>
      <c r="S881"/>
      <c r="T881"/>
      <c r="U881"/>
      <c r="V881"/>
      <c r="W881"/>
      <c r="X881"/>
      <c r="Y881"/>
      <c r="Z881"/>
      <c r="AA881"/>
      <c r="AB881"/>
      <c r="AC881"/>
      <c r="AD881"/>
      <c r="AE881"/>
      <c r="AF881"/>
      <c r="AG881"/>
      <c r="AH881"/>
      <c r="AI881"/>
      <c r="AJ881"/>
      <c r="AK881"/>
      <c r="AL881"/>
      <c r="AM881"/>
      <c r="AN881"/>
    </row>
    <row r="882" spans="1:40" ht="15" customHeight="1">
      <c r="A882"/>
      <c r="B882"/>
      <c r="C882"/>
      <c r="D882"/>
      <c r="E882"/>
      <c r="F882"/>
      <c r="G882"/>
      <c r="H882"/>
      <c r="I882"/>
      <c r="J882"/>
      <c r="K882"/>
      <c r="L882"/>
      <c r="M882"/>
      <c r="N882"/>
      <c r="O882"/>
      <c r="P882"/>
      <c r="Q882"/>
      <c r="R882"/>
      <c r="S882"/>
      <c r="T882"/>
      <c r="U882"/>
      <c r="V882"/>
      <c r="W882"/>
      <c r="X882"/>
      <c r="Y882"/>
      <c r="Z882"/>
      <c r="AA882"/>
      <c r="AB882"/>
      <c r="AC882"/>
      <c r="AD882"/>
      <c r="AE882"/>
      <c r="AF882"/>
      <c r="AG882"/>
      <c r="AH882"/>
      <c r="AI882"/>
      <c r="AJ882"/>
      <c r="AK882"/>
      <c r="AL882"/>
      <c r="AM882"/>
      <c r="AN882"/>
    </row>
    <row r="883" spans="1:40" ht="15" customHeight="1">
      <c r="A883"/>
      <c r="B883"/>
      <c r="C883"/>
      <c r="D883"/>
      <c r="E883"/>
      <c r="F883"/>
      <c r="G883"/>
      <c r="H883"/>
      <c r="I883"/>
      <c r="J883"/>
      <c r="K883"/>
      <c r="L883"/>
      <c r="M883"/>
      <c r="N883"/>
      <c r="O883"/>
      <c r="P883"/>
      <c r="Q883"/>
      <c r="R883"/>
      <c r="S883"/>
      <c r="T883"/>
      <c r="U883"/>
      <c r="V883"/>
      <c r="W883"/>
      <c r="X883"/>
      <c r="Y883"/>
      <c r="Z883"/>
      <c r="AA883"/>
      <c r="AB883"/>
      <c r="AC883"/>
      <c r="AD883"/>
      <c r="AE883"/>
      <c r="AF883"/>
      <c r="AG883"/>
      <c r="AH883"/>
      <c r="AI883"/>
      <c r="AJ883"/>
      <c r="AK883"/>
      <c r="AL883"/>
      <c r="AM883"/>
      <c r="AN883"/>
    </row>
    <row r="884" spans="1:40" ht="15" customHeight="1">
      <c r="A884"/>
      <c r="B884"/>
      <c r="C884"/>
      <c r="D884"/>
      <c r="E884"/>
      <c r="F884"/>
      <c r="G884"/>
      <c r="H884"/>
      <c r="I884"/>
      <c r="J884"/>
      <c r="K884"/>
      <c r="L884"/>
      <c r="M884"/>
      <c r="N884"/>
      <c r="O884"/>
      <c r="P884"/>
      <c r="Q884"/>
      <c r="R884"/>
      <c r="S884"/>
      <c r="T884"/>
      <c r="U884"/>
      <c r="V884"/>
      <c r="W884"/>
      <c r="X884"/>
      <c r="Y884"/>
      <c r="Z884"/>
      <c r="AA884"/>
      <c r="AB884"/>
      <c r="AC884"/>
      <c r="AD884"/>
      <c r="AE884"/>
      <c r="AF884"/>
      <c r="AG884"/>
      <c r="AH884"/>
      <c r="AI884"/>
      <c r="AJ884"/>
      <c r="AK884"/>
      <c r="AL884"/>
      <c r="AM884"/>
      <c r="AN884"/>
    </row>
    <row r="885" spans="1:40" ht="15" customHeight="1">
      <c r="A885"/>
      <c r="B885"/>
      <c r="C885"/>
      <c r="D885"/>
      <c r="E885"/>
      <c r="F885"/>
      <c r="G885"/>
      <c r="H885"/>
      <c r="I885"/>
      <c r="J885"/>
      <c r="K885"/>
      <c r="L885"/>
      <c r="M885"/>
      <c r="N885"/>
      <c r="O885"/>
      <c r="P885"/>
      <c r="Q885"/>
      <c r="R885"/>
      <c r="S885"/>
      <c r="T885"/>
      <c r="U885"/>
      <c r="V885"/>
      <c r="W885"/>
      <c r="X885"/>
      <c r="Y885"/>
      <c r="Z885"/>
      <c r="AA885"/>
      <c r="AB885"/>
      <c r="AC885"/>
      <c r="AD885"/>
      <c r="AE885"/>
      <c r="AF885"/>
      <c r="AG885"/>
      <c r="AH885"/>
      <c r="AI885"/>
      <c r="AJ885"/>
      <c r="AK885"/>
      <c r="AL885"/>
      <c r="AM885"/>
      <c r="AN885"/>
    </row>
    <row r="886" spans="1:40" ht="15" customHeight="1">
      <c r="A886"/>
      <c r="B886"/>
      <c r="C886"/>
      <c r="D886"/>
      <c r="E886"/>
      <c r="F886"/>
      <c r="G886"/>
      <c r="H886"/>
      <c r="I886"/>
      <c r="J886"/>
      <c r="K886"/>
      <c r="L886"/>
      <c r="M886"/>
      <c r="N886"/>
      <c r="O886"/>
      <c r="P886"/>
      <c r="Q886"/>
      <c r="R886"/>
      <c r="S886"/>
      <c r="T886"/>
      <c r="U886"/>
      <c r="V886"/>
      <c r="W886"/>
      <c r="X886"/>
      <c r="Y886"/>
      <c r="Z886"/>
      <c r="AA886"/>
      <c r="AB886"/>
      <c r="AC886"/>
      <c r="AD886"/>
      <c r="AE886"/>
      <c r="AF886"/>
      <c r="AG886"/>
      <c r="AH886"/>
      <c r="AI886"/>
      <c r="AJ886"/>
      <c r="AK886"/>
      <c r="AL886"/>
      <c r="AM886"/>
      <c r="AN886"/>
    </row>
    <row r="887" spans="1:40" ht="15" customHeight="1">
      <c r="A887"/>
      <c r="B887"/>
      <c r="C887"/>
      <c r="D887"/>
      <c r="E887"/>
      <c r="F887"/>
      <c r="G887"/>
      <c r="H887"/>
      <c r="I887"/>
      <c r="J887"/>
      <c r="K887"/>
      <c r="L887"/>
      <c r="M887"/>
      <c r="N887"/>
      <c r="O887"/>
      <c r="P887"/>
      <c r="Q887"/>
      <c r="R887"/>
      <c r="S887"/>
      <c r="T887"/>
      <c r="U887"/>
      <c r="V887"/>
      <c r="W887"/>
      <c r="X887"/>
      <c r="Y887"/>
      <c r="Z887"/>
      <c r="AA887"/>
      <c r="AB887"/>
      <c r="AC887"/>
      <c r="AD887"/>
      <c r="AE887"/>
      <c r="AF887"/>
      <c r="AG887"/>
      <c r="AH887"/>
      <c r="AI887"/>
      <c r="AJ887"/>
      <c r="AK887"/>
      <c r="AL887"/>
      <c r="AM887"/>
      <c r="AN887"/>
    </row>
    <row r="888" spans="1:40" ht="15" customHeight="1">
      <c r="A888"/>
      <c r="B888"/>
      <c r="C888"/>
      <c r="D888"/>
      <c r="E888"/>
      <c r="F888"/>
      <c r="G888"/>
      <c r="H888"/>
      <c r="I888"/>
      <c r="J888"/>
      <c r="K888"/>
      <c r="L888"/>
      <c r="M888"/>
      <c r="N888"/>
      <c r="O888"/>
      <c r="P888"/>
      <c r="Q888"/>
      <c r="R888"/>
      <c r="S888"/>
      <c r="T888"/>
      <c r="U888"/>
      <c r="V888"/>
      <c r="W888"/>
      <c r="X888"/>
      <c r="Y888"/>
      <c r="Z888"/>
      <c r="AA888"/>
      <c r="AB888"/>
      <c r="AC888"/>
      <c r="AD888"/>
      <c r="AE888"/>
      <c r="AF888"/>
      <c r="AG888"/>
      <c r="AH888"/>
      <c r="AI888"/>
      <c r="AJ888"/>
      <c r="AK888"/>
      <c r="AL888"/>
      <c r="AM888"/>
      <c r="AN888"/>
    </row>
    <row r="889" spans="1:40" ht="15" customHeight="1">
      <c r="A889"/>
      <c r="B889"/>
      <c r="C889"/>
      <c r="D889"/>
      <c r="E889"/>
      <c r="F889"/>
      <c r="G889"/>
      <c r="H889"/>
      <c r="I889"/>
      <c r="J889"/>
      <c r="K889"/>
      <c r="L889"/>
      <c r="M889"/>
      <c r="N889"/>
      <c r="O889"/>
      <c r="P889"/>
      <c r="Q889"/>
      <c r="R889"/>
      <c r="S889"/>
      <c r="T889"/>
      <c r="U889"/>
      <c r="V889"/>
      <c r="W889"/>
      <c r="X889"/>
      <c r="Y889"/>
      <c r="Z889"/>
      <c r="AA889"/>
      <c r="AB889"/>
      <c r="AC889"/>
      <c r="AD889"/>
      <c r="AE889"/>
      <c r="AF889"/>
      <c r="AG889"/>
      <c r="AH889"/>
      <c r="AI889"/>
      <c r="AJ889"/>
      <c r="AK889"/>
      <c r="AL889"/>
      <c r="AM889"/>
      <c r="AN889"/>
    </row>
    <row r="890" spans="1:40" ht="15" customHeight="1">
      <c r="A890"/>
      <c r="B890"/>
      <c r="C890"/>
      <c r="D890"/>
      <c r="E890"/>
      <c r="F890"/>
      <c r="G890"/>
      <c r="H890"/>
      <c r="I890"/>
      <c r="J890"/>
      <c r="K890"/>
      <c r="L890"/>
      <c r="M890"/>
      <c r="N890"/>
      <c r="O890"/>
      <c r="P890"/>
      <c r="Q890"/>
      <c r="R890"/>
      <c r="S890"/>
      <c r="T890"/>
      <c r="U890"/>
      <c r="V890"/>
      <c r="W890"/>
      <c r="X890"/>
      <c r="Y890"/>
      <c r="Z890"/>
      <c r="AA890"/>
      <c r="AB890"/>
      <c r="AC890"/>
      <c r="AD890"/>
      <c r="AE890"/>
      <c r="AF890"/>
      <c r="AG890"/>
      <c r="AH890"/>
      <c r="AI890"/>
      <c r="AJ890"/>
      <c r="AK890"/>
      <c r="AL890"/>
      <c r="AM890"/>
      <c r="AN890"/>
    </row>
    <row r="891" spans="1:40" ht="15" customHeight="1">
      <c r="A891"/>
      <c r="B891"/>
      <c r="C891"/>
      <c r="D891"/>
      <c r="E891"/>
      <c r="F891"/>
      <c r="G891"/>
      <c r="H891"/>
      <c r="I891"/>
      <c r="J891"/>
      <c r="K891"/>
      <c r="L891"/>
      <c r="M891"/>
      <c r="N891"/>
      <c r="O891"/>
      <c r="P891"/>
      <c r="Q891"/>
      <c r="R891"/>
      <c r="S891"/>
      <c r="T891"/>
      <c r="U891"/>
      <c r="V891"/>
      <c r="W891"/>
      <c r="X891"/>
      <c r="Y891"/>
      <c r="Z891"/>
      <c r="AA891"/>
      <c r="AB891"/>
      <c r="AC891"/>
      <c r="AD891"/>
      <c r="AE891"/>
      <c r="AF891"/>
      <c r="AG891"/>
      <c r="AH891"/>
      <c r="AI891"/>
      <c r="AJ891"/>
      <c r="AK891"/>
      <c r="AL891"/>
      <c r="AM891"/>
      <c r="AN891"/>
    </row>
    <row r="892" spans="1:40" ht="15" customHeight="1">
      <c r="A892"/>
      <c r="B892"/>
      <c r="C892"/>
      <c r="D892"/>
      <c r="E892"/>
      <c r="F892"/>
      <c r="G892"/>
      <c r="H892"/>
      <c r="I892"/>
      <c r="J892"/>
      <c r="K892"/>
      <c r="L892"/>
      <c r="M892"/>
      <c r="N892"/>
      <c r="O892"/>
      <c r="P892"/>
      <c r="Q892"/>
      <c r="R892"/>
      <c r="S892"/>
      <c r="T892"/>
      <c r="U892"/>
      <c r="V892"/>
      <c r="W892"/>
      <c r="X892"/>
      <c r="Y892"/>
      <c r="Z892"/>
      <c r="AA892"/>
      <c r="AB892"/>
      <c r="AC892"/>
      <c r="AD892"/>
      <c r="AE892"/>
      <c r="AF892"/>
      <c r="AG892"/>
      <c r="AH892"/>
      <c r="AI892"/>
      <c r="AJ892"/>
      <c r="AK892"/>
      <c r="AL892"/>
      <c r="AM892"/>
      <c r="AN892"/>
    </row>
    <row r="893" spans="1:40" ht="15" customHeight="1">
      <c r="A893"/>
      <c r="B893"/>
      <c r="C893"/>
      <c r="D893"/>
      <c r="E893"/>
      <c r="F893"/>
      <c r="G893"/>
      <c r="H893"/>
      <c r="I893"/>
      <c r="J893"/>
      <c r="K893"/>
      <c r="L893"/>
      <c r="M893"/>
      <c r="N893"/>
      <c r="O893"/>
      <c r="P893"/>
      <c r="Q893"/>
      <c r="R893"/>
      <c r="S893"/>
      <c r="T893"/>
      <c r="U893"/>
      <c r="V893"/>
      <c r="W893"/>
      <c r="X893"/>
      <c r="Y893"/>
      <c r="Z893"/>
      <c r="AA893"/>
      <c r="AB893"/>
      <c r="AC893"/>
      <c r="AD893"/>
      <c r="AE893"/>
      <c r="AF893"/>
      <c r="AG893"/>
      <c r="AH893"/>
      <c r="AI893"/>
      <c r="AJ893"/>
      <c r="AK893"/>
      <c r="AL893"/>
      <c r="AM893"/>
      <c r="AN893"/>
    </row>
    <row r="894" spans="1:40" ht="15" customHeight="1">
      <c r="A894"/>
      <c r="B894"/>
      <c r="C894"/>
      <c r="D894"/>
      <c r="E894"/>
      <c r="F894"/>
      <c r="G894"/>
      <c r="H894"/>
      <c r="I894"/>
      <c r="J894"/>
      <c r="K894"/>
      <c r="L894"/>
      <c r="M894"/>
      <c r="N894"/>
      <c r="O894"/>
      <c r="P894"/>
      <c r="Q894"/>
      <c r="R894"/>
      <c r="S894"/>
      <c r="T894"/>
      <c r="U894"/>
      <c r="V894"/>
      <c r="W894"/>
      <c r="X894"/>
      <c r="Y894"/>
      <c r="Z894"/>
      <c r="AA894"/>
      <c r="AB894"/>
      <c r="AC894"/>
      <c r="AD894"/>
      <c r="AE894"/>
      <c r="AF894"/>
      <c r="AG894"/>
      <c r="AH894"/>
      <c r="AI894"/>
      <c r="AJ894"/>
      <c r="AK894"/>
      <c r="AL894"/>
      <c r="AM894"/>
      <c r="AN894"/>
    </row>
    <row r="895" spans="1:40" ht="15" customHeight="1">
      <c r="A895"/>
      <c r="B895"/>
      <c r="C895"/>
      <c r="D895"/>
      <c r="E895"/>
      <c r="F895"/>
      <c r="G895"/>
      <c r="H895"/>
      <c r="I895"/>
      <c r="J895"/>
      <c r="K895"/>
      <c r="L895"/>
      <c r="M895"/>
      <c r="N895"/>
      <c r="O895"/>
      <c r="P895"/>
      <c r="Q895"/>
      <c r="R895"/>
      <c r="S895"/>
      <c r="T895"/>
      <c r="U895"/>
      <c r="V895"/>
      <c r="W895"/>
      <c r="X895"/>
      <c r="Y895"/>
      <c r="Z895"/>
      <c r="AA895"/>
      <c r="AB895"/>
      <c r="AC895"/>
      <c r="AD895"/>
      <c r="AE895"/>
      <c r="AF895"/>
      <c r="AG895"/>
      <c r="AH895"/>
      <c r="AI895"/>
      <c r="AJ895"/>
      <c r="AK895"/>
      <c r="AL895"/>
      <c r="AM895"/>
      <c r="AN895"/>
    </row>
    <row r="896" spans="1:40" ht="15" customHeight="1">
      <c r="A896"/>
      <c r="B896"/>
      <c r="C896"/>
      <c r="D896"/>
      <c r="E896"/>
      <c r="F896"/>
      <c r="G896"/>
      <c r="H896"/>
      <c r="I896"/>
      <c r="J896"/>
      <c r="K896"/>
      <c r="L896"/>
      <c r="M896"/>
      <c r="N896"/>
      <c r="O896"/>
      <c r="P896"/>
      <c r="Q896"/>
      <c r="R896"/>
      <c r="S896"/>
      <c r="T896"/>
      <c r="U896"/>
      <c r="V896"/>
      <c r="W896"/>
      <c r="X896"/>
      <c r="Y896"/>
      <c r="Z896"/>
      <c r="AA896"/>
      <c r="AB896"/>
      <c r="AC896"/>
      <c r="AD896"/>
      <c r="AE896"/>
      <c r="AF896"/>
      <c r="AG896"/>
      <c r="AH896"/>
      <c r="AI896"/>
      <c r="AJ896"/>
      <c r="AK896"/>
      <c r="AL896"/>
      <c r="AM896"/>
      <c r="AN896"/>
    </row>
    <row r="897" spans="1:40" ht="15" customHeight="1">
      <c r="A897"/>
      <c r="B897"/>
      <c r="C897"/>
      <c r="D897"/>
      <c r="E897"/>
      <c r="F897"/>
      <c r="G897"/>
      <c r="H897"/>
      <c r="I897"/>
      <c r="J897"/>
      <c r="K897"/>
      <c r="L897"/>
      <c r="M897"/>
      <c r="N897"/>
      <c r="O897"/>
      <c r="P897"/>
      <c r="Q897"/>
      <c r="R897"/>
      <c r="S897"/>
      <c r="T897"/>
      <c r="U897"/>
      <c r="V897"/>
      <c r="W897"/>
      <c r="X897"/>
      <c r="Y897"/>
      <c r="Z897"/>
      <c r="AA897"/>
      <c r="AB897"/>
      <c r="AC897"/>
      <c r="AD897"/>
      <c r="AE897"/>
      <c r="AF897"/>
      <c r="AG897"/>
      <c r="AH897"/>
      <c r="AI897"/>
      <c r="AJ897"/>
      <c r="AK897"/>
      <c r="AL897"/>
      <c r="AM897"/>
      <c r="AN897"/>
    </row>
    <row r="898" spans="1:40" ht="15" customHeight="1">
      <c r="A898"/>
      <c r="B898"/>
      <c r="C898"/>
      <c r="D898"/>
      <c r="E898"/>
      <c r="F898"/>
      <c r="G898"/>
      <c r="H898"/>
      <c r="I898"/>
      <c r="J898"/>
      <c r="K898"/>
      <c r="L898"/>
      <c r="M898"/>
      <c r="N898"/>
      <c r="O898"/>
      <c r="P898"/>
      <c r="Q898"/>
      <c r="R898"/>
      <c r="S898"/>
      <c r="T898"/>
      <c r="U898"/>
      <c r="V898"/>
      <c r="W898"/>
      <c r="X898"/>
      <c r="Y898"/>
      <c r="Z898"/>
      <c r="AA898"/>
      <c r="AB898"/>
      <c r="AC898"/>
      <c r="AD898"/>
      <c r="AE898"/>
      <c r="AF898"/>
      <c r="AG898"/>
      <c r="AH898"/>
      <c r="AI898"/>
      <c r="AJ898"/>
      <c r="AK898"/>
      <c r="AL898"/>
      <c r="AM898"/>
      <c r="AN898"/>
    </row>
    <row r="899" spans="1:40" ht="15" customHeight="1">
      <c r="A899"/>
      <c r="B899"/>
      <c r="C899"/>
      <c r="D899"/>
      <c r="E899"/>
      <c r="F899"/>
      <c r="G899"/>
      <c r="H899"/>
      <c r="I899"/>
      <c r="J899"/>
      <c r="K899"/>
      <c r="L899"/>
      <c r="M899"/>
      <c r="N899"/>
      <c r="O899"/>
      <c r="P899"/>
      <c r="Q899"/>
      <c r="R899"/>
      <c r="S899"/>
      <c r="T899"/>
      <c r="U899"/>
      <c r="V899"/>
      <c r="W899"/>
      <c r="X899"/>
      <c r="Y899"/>
      <c r="Z899"/>
      <c r="AA899"/>
      <c r="AB899"/>
      <c r="AC899"/>
      <c r="AD899"/>
      <c r="AE899"/>
      <c r="AF899"/>
      <c r="AG899"/>
      <c r="AH899"/>
      <c r="AI899"/>
      <c r="AJ899"/>
      <c r="AK899"/>
      <c r="AL899"/>
      <c r="AM899"/>
      <c r="AN899"/>
    </row>
    <row r="900" spans="1:40" ht="15" customHeight="1">
      <c r="A900"/>
      <c r="B900"/>
      <c r="C900"/>
      <c r="D900"/>
      <c r="E900"/>
      <c r="F900"/>
      <c r="G900"/>
      <c r="H900"/>
      <c r="I900"/>
      <c r="J900"/>
      <c r="K900"/>
      <c r="L900"/>
      <c r="M900"/>
      <c r="N900"/>
      <c r="O900"/>
      <c r="P900"/>
      <c r="Q900"/>
      <c r="R900"/>
      <c r="S900"/>
      <c r="T900"/>
      <c r="U900"/>
      <c r="V900"/>
      <c r="W900"/>
      <c r="X900"/>
      <c r="Y900"/>
      <c r="Z900"/>
      <c r="AA900"/>
      <c r="AB900"/>
      <c r="AC900"/>
      <c r="AD900"/>
      <c r="AE900"/>
      <c r="AF900"/>
      <c r="AG900"/>
      <c r="AH900"/>
      <c r="AI900"/>
      <c r="AJ900"/>
      <c r="AK900"/>
      <c r="AL900"/>
      <c r="AM900"/>
      <c r="AN900"/>
    </row>
    <row r="901" spans="1:40" ht="15" customHeight="1">
      <c r="A901"/>
      <c r="B901"/>
      <c r="C901"/>
      <c r="D901"/>
      <c r="E901"/>
      <c r="F901"/>
      <c r="G901"/>
      <c r="H901"/>
      <c r="I901"/>
      <c r="J901"/>
      <c r="K901"/>
      <c r="L901"/>
      <c r="M901"/>
      <c r="N901"/>
      <c r="O901"/>
      <c r="P901"/>
      <c r="Q901"/>
      <c r="R901"/>
      <c r="S901"/>
      <c r="T901"/>
      <c r="U901"/>
      <c r="V901"/>
      <c r="W901"/>
      <c r="X901"/>
      <c r="Y901"/>
      <c r="Z901"/>
      <c r="AA901"/>
      <c r="AB901"/>
      <c r="AC901"/>
      <c r="AD901"/>
      <c r="AE901"/>
      <c r="AF901"/>
      <c r="AG901"/>
      <c r="AH901"/>
      <c r="AI901"/>
      <c r="AJ901"/>
      <c r="AK901"/>
      <c r="AL901"/>
      <c r="AM901"/>
      <c r="AN901"/>
    </row>
    <row r="902" spans="1:40" ht="15" customHeight="1">
      <c r="A902"/>
      <c r="B902"/>
      <c r="C902"/>
      <c r="D902"/>
      <c r="E902"/>
      <c r="F902"/>
      <c r="G902"/>
      <c r="H902"/>
      <c r="I902"/>
      <c r="J902"/>
      <c r="K902"/>
      <c r="L902"/>
      <c r="M902"/>
      <c r="N902"/>
      <c r="O902"/>
      <c r="P902"/>
      <c r="Q902"/>
      <c r="R902"/>
      <c r="S902"/>
      <c r="T902"/>
      <c r="U902"/>
      <c r="V902"/>
      <c r="W902"/>
      <c r="X902"/>
      <c r="Y902"/>
      <c r="Z902"/>
      <c r="AA902"/>
      <c r="AB902"/>
      <c r="AC902"/>
      <c r="AD902"/>
      <c r="AE902"/>
      <c r="AF902"/>
      <c r="AG902"/>
      <c r="AH902"/>
      <c r="AI902"/>
      <c r="AJ902"/>
      <c r="AK902"/>
      <c r="AL902"/>
      <c r="AM902"/>
      <c r="AN902"/>
    </row>
    <row r="903" spans="1:40" ht="15" customHeight="1">
      <c r="A903"/>
      <c r="B903"/>
      <c r="C903"/>
      <c r="D903"/>
      <c r="E903"/>
      <c r="F903"/>
      <c r="G903"/>
      <c r="H903"/>
      <c r="I903"/>
      <c r="J903"/>
      <c r="K903"/>
      <c r="L903"/>
      <c r="M903"/>
      <c r="N903"/>
      <c r="O903"/>
      <c r="P903"/>
      <c r="Q903"/>
      <c r="R903"/>
      <c r="S903"/>
      <c r="T903"/>
      <c r="U903"/>
      <c r="V903"/>
      <c r="W903"/>
      <c r="X903"/>
      <c r="Y903"/>
      <c r="Z903"/>
      <c r="AA903"/>
      <c r="AB903"/>
      <c r="AC903"/>
      <c r="AD903"/>
      <c r="AE903"/>
      <c r="AF903"/>
      <c r="AG903"/>
      <c r="AH903"/>
      <c r="AI903"/>
      <c r="AJ903"/>
      <c r="AK903"/>
      <c r="AL903"/>
      <c r="AM903"/>
      <c r="AN903"/>
    </row>
    <row r="904" spans="1:40" ht="15" customHeight="1">
      <c r="A904"/>
      <c r="B904"/>
      <c r="C904"/>
      <c r="D904"/>
      <c r="E904"/>
      <c r="F904"/>
      <c r="G904"/>
      <c r="H904"/>
      <c r="I904"/>
      <c r="J904"/>
      <c r="K904"/>
      <c r="L904"/>
      <c r="M904"/>
      <c r="N904"/>
      <c r="O904"/>
      <c r="P904"/>
      <c r="Q904"/>
      <c r="R904"/>
      <c r="S904"/>
      <c r="T904"/>
      <c r="U904"/>
      <c r="V904"/>
      <c r="W904"/>
      <c r="X904"/>
      <c r="Y904"/>
      <c r="Z904"/>
      <c r="AA904"/>
      <c r="AB904"/>
      <c r="AC904"/>
      <c r="AD904"/>
      <c r="AE904"/>
      <c r="AF904"/>
      <c r="AG904"/>
      <c r="AH904"/>
      <c r="AI904"/>
      <c r="AJ904"/>
      <c r="AK904"/>
      <c r="AL904"/>
      <c r="AM904"/>
      <c r="AN904"/>
    </row>
    <row r="905" spans="1:40" ht="15" customHeight="1">
      <c r="A905"/>
      <c r="B905"/>
      <c r="C905"/>
      <c r="D905"/>
      <c r="E905"/>
      <c r="F905"/>
      <c r="G905"/>
      <c r="H905"/>
      <c r="I905"/>
      <c r="J905"/>
      <c r="K905"/>
      <c r="L905"/>
      <c r="M905"/>
      <c r="N905"/>
      <c r="O905"/>
      <c r="P905"/>
      <c r="Q905"/>
      <c r="R905"/>
      <c r="S905"/>
      <c r="T905"/>
      <c r="U905"/>
      <c r="V905"/>
      <c r="W905"/>
      <c r="X905"/>
      <c r="Y905"/>
      <c r="Z905"/>
      <c r="AA905"/>
      <c r="AB905"/>
      <c r="AC905"/>
      <c r="AD905"/>
      <c r="AE905"/>
      <c r="AF905"/>
      <c r="AG905"/>
      <c r="AH905"/>
      <c r="AI905"/>
      <c r="AJ905"/>
      <c r="AK905"/>
      <c r="AL905"/>
      <c r="AM905"/>
      <c r="AN905"/>
    </row>
    <row r="906" spans="1:40" ht="15" customHeight="1">
      <c r="A906"/>
      <c r="B906"/>
      <c r="C906"/>
      <c r="D906"/>
      <c r="E906"/>
      <c r="F906"/>
      <c r="G906"/>
      <c r="H906"/>
      <c r="I906"/>
      <c r="J906"/>
      <c r="K906"/>
      <c r="L906"/>
      <c r="M906"/>
      <c r="N906"/>
      <c r="O906"/>
      <c r="P906"/>
      <c r="Q906"/>
      <c r="R906"/>
      <c r="S906"/>
      <c r="T906"/>
      <c r="U906"/>
      <c r="V906"/>
      <c r="W906"/>
      <c r="X906"/>
      <c r="Y906"/>
      <c r="Z906"/>
      <c r="AA906"/>
      <c r="AB906"/>
      <c r="AC906"/>
      <c r="AD906"/>
      <c r="AE906"/>
      <c r="AF906"/>
      <c r="AG906"/>
      <c r="AH906"/>
      <c r="AI906"/>
      <c r="AJ906"/>
      <c r="AK906"/>
      <c r="AL906"/>
      <c r="AM906"/>
      <c r="AN906"/>
    </row>
    <row r="907" spans="1:40" ht="15" customHeight="1">
      <c r="A907"/>
      <c r="B907"/>
      <c r="C907"/>
      <c r="D907"/>
      <c r="E907"/>
      <c r="F907"/>
      <c r="G907"/>
      <c r="H907"/>
      <c r="I907"/>
      <c r="J907"/>
      <c r="K907"/>
      <c r="L907"/>
      <c r="M907"/>
      <c r="N907"/>
      <c r="O907"/>
      <c r="P907"/>
      <c r="Q907"/>
      <c r="R907"/>
      <c r="S907"/>
      <c r="T907"/>
      <c r="U907"/>
      <c r="V907"/>
      <c r="W907"/>
      <c r="X907"/>
      <c r="Y907"/>
      <c r="Z907"/>
      <c r="AA907"/>
      <c r="AB907"/>
      <c r="AC907"/>
      <c r="AD907"/>
      <c r="AE907"/>
      <c r="AF907"/>
      <c r="AG907"/>
      <c r="AH907"/>
      <c r="AI907"/>
      <c r="AJ907"/>
      <c r="AK907"/>
      <c r="AL907"/>
      <c r="AM907"/>
      <c r="AN907"/>
    </row>
    <row r="908" spans="1:40" ht="15" customHeight="1">
      <c r="A908"/>
      <c r="B908"/>
      <c r="C908"/>
      <c r="D908"/>
      <c r="E908"/>
      <c r="F908"/>
      <c r="G908"/>
      <c r="H908"/>
      <c r="I908"/>
      <c r="J908"/>
      <c r="K908"/>
      <c r="L908"/>
      <c r="M908"/>
      <c r="N908"/>
      <c r="O908"/>
      <c r="P908"/>
      <c r="Q908"/>
      <c r="R908"/>
      <c r="S908"/>
      <c r="T908"/>
      <c r="U908"/>
      <c r="V908"/>
      <c r="W908"/>
      <c r="X908"/>
      <c r="Y908"/>
      <c r="Z908"/>
      <c r="AA908"/>
      <c r="AB908"/>
      <c r="AC908"/>
      <c r="AD908"/>
      <c r="AE908"/>
      <c r="AF908"/>
      <c r="AG908"/>
      <c r="AH908"/>
      <c r="AI908"/>
      <c r="AJ908"/>
      <c r="AK908"/>
      <c r="AL908"/>
      <c r="AM908"/>
      <c r="AN908"/>
    </row>
    <row r="909" spans="1:40" ht="15" customHeight="1">
      <c r="A909"/>
      <c r="B909"/>
      <c r="C909"/>
      <c r="D909"/>
      <c r="E909"/>
      <c r="F909"/>
      <c r="G909"/>
      <c r="H909"/>
      <c r="I909"/>
      <c r="J909"/>
      <c r="K909"/>
      <c r="L909"/>
      <c r="M909"/>
      <c r="N909"/>
      <c r="O909"/>
      <c r="P909"/>
      <c r="Q909"/>
      <c r="R909"/>
      <c r="S909"/>
      <c r="T909"/>
      <c r="U909"/>
      <c r="V909"/>
      <c r="W909"/>
      <c r="X909"/>
      <c r="Y909"/>
      <c r="Z909"/>
      <c r="AA909"/>
      <c r="AB909"/>
      <c r="AC909"/>
      <c r="AD909"/>
      <c r="AE909"/>
      <c r="AF909"/>
      <c r="AG909"/>
      <c r="AH909"/>
      <c r="AI909"/>
      <c r="AJ909"/>
      <c r="AK909"/>
      <c r="AL909"/>
      <c r="AM909"/>
      <c r="AN909"/>
    </row>
    <row r="910" spans="1:40" ht="15" customHeight="1">
      <c r="A910"/>
      <c r="B910"/>
      <c r="C910"/>
      <c r="D910"/>
      <c r="E910"/>
      <c r="F910"/>
      <c r="G910"/>
      <c r="H910"/>
      <c r="I910"/>
      <c r="J910"/>
      <c r="K910"/>
      <c r="L910"/>
      <c r="M910"/>
      <c r="N910"/>
      <c r="O910"/>
      <c r="P910"/>
      <c r="Q910"/>
      <c r="R910"/>
      <c r="S910"/>
      <c r="T910"/>
      <c r="U910"/>
      <c r="V910"/>
      <c r="W910"/>
      <c r="X910"/>
      <c r="Y910"/>
      <c r="Z910"/>
      <c r="AA910"/>
      <c r="AB910"/>
      <c r="AC910"/>
      <c r="AD910"/>
      <c r="AE910"/>
      <c r="AF910"/>
      <c r="AG910"/>
      <c r="AH910"/>
      <c r="AI910"/>
      <c r="AJ910"/>
      <c r="AK910"/>
      <c r="AL910"/>
      <c r="AM910"/>
      <c r="AN910"/>
    </row>
    <row r="911" spans="1:40" ht="15" customHeight="1">
      <c r="A911"/>
      <c r="B911"/>
      <c r="C911"/>
      <c r="D911"/>
      <c r="E911"/>
      <c r="F911"/>
      <c r="G911"/>
      <c r="H911"/>
      <c r="I911"/>
      <c r="J911"/>
      <c r="K911"/>
      <c r="L911"/>
      <c r="M911"/>
      <c r="N911"/>
      <c r="O911"/>
      <c r="P911"/>
      <c r="Q911"/>
      <c r="R911"/>
      <c r="S911"/>
      <c r="T911"/>
      <c r="U911"/>
      <c r="V911"/>
      <c r="W911"/>
      <c r="X911"/>
      <c r="Y911"/>
      <c r="Z911"/>
      <c r="AA911"/>
      <c r="AB911"/>
      <c r="AC911"/>
      <c r="AD911"/>
      <c r="AE911"/>
      <c r="AF911"/>
      <c r="AG911"/>
      <c r="AH911"/>
      <c r="AI911"/>
      <c r="AJ911"/>
      <c r="AK911"/>
      <c r="AL911"/>
      <c r="AM911"/>
      <c r="AN911"/>
    </row>
    <row r="912" spans="1:40" ht="15" customHeight="1">
      <c r="A912"/>
      <c r="B912"/>
      <c r="C912"/>
      <c r="D912"/>
      <c r="E912"/>
      <c r="F912"/>
      <c r="G912"/>
      <c r="H912"/>
      <c r="I912"/>
      <c r="J912"/>
      <c r="K912"/>
      <c r="L912"/>
      <c r="M912"/>
      <c r="N912"/>
      <c r="O912"/>
      <c r="P912"/>
      <c r="Q912"/>
      <c r="R912"/>
      <c r="S912"/>
      <c r="T912"/>
      <c r="U912"/>
      <c r="V912"/>
      <c r="W912"/>
      <c r="X912"/>
      <c r="Y912"/>
      <c r="Z912"/>
      <c r="AA912"/>
      <c r="AB912"/>
      <c r="AC912"/>
      <c r="AD912"/>
      <c r="AE912"/>
      <c r="AF912"/>
      <c r="AG912"/>
      <c r="AH912"/>
      <c r="AI912"/>
      <c r="AJ912"/>
      <c r="AK912"/>
      <c r="AL912"/>
      <c r="AM912"/>
      <c r="AN912"/>
    </row>
    <row r="913" spans="1:40" ht="15" customHeight="1">
      <c r="A913"/>
      <c r="B913"/>
      <c r="C913"/>
      <c r="D913"/>
      <c r="E913"/>
      <c r="F913"/>
      <c r="G913"/>
      <c r="H913"/>
      <c r="I913"/>
      <c r="J913"/>
      <c r="K913"/>
      <c r="L913"/>
      <c r="M913"/>
      <c r="N913"/>
      <c r="O913"/>
      <c r="P913"/>
      <c r="Q913"/>
      <c r="R913"/>
      <c r="S913"/>
      <c r="T913"/>
      <c r="U913"/>
      <c r="V913"/>
      <c r="W913"/>
      <c r="X913"/>
      <c r="Y913"/>
      <c r="Z913"/>
      <c r="AA913"/>
      <c r="AB913"/>
      <c r="AC913"/>
      <c r="AD913"/>
      <c r="AE913"/>
      <c r="AF913"/>
      <c r="AG913"/>
      <c r="AH913"/>
      <c r="AI913"/>
      <c r="AJ913"/>
      <c r="AK913"/>
      <c r="AL913"/>
      <c r="AM913"/>
      <c r="AN913"/>
    </row>
    <row r="914" spans="1:40" ht="15" customHeight="1">
      <c r="A914"/>
      <c r="B914"/>
      <c r="C914"/>
      <c r="D914"/>
      <c r="E914"/>
      <c r="F914"/>
      <c r="G914"/>
      <c r="H914"/>
      <c r="I914"/>
      <c r="J914"/>
      <c r="K914"/>
      <c r="L914"/>
      <c r="M914"/>
      <c r="N914"/>
      <c r="O914"/>
      <c r="P914"/>
      <c r="Q914"/>
      <c r="R914"/>
      <c r="S914"/>
      <c r="T914"/>
      <c r="U914"/>
      <c r="V914"/>
      <c r="W914"/>
      <c r="X914"/>
      <c r="Y914"/>
      <c r="Z914"/>
      <c r="AA914"/>
      <c r="AB914"/>
      <c r="AC914"/>
      <c r="AD914"/>
      <c r="AE914"/>
      <c r="AF914"/>
      <c r="AG914"/>
      <c r="AH914"/>
      <c r="AI914"/>
      <c r="AJ914"/>
      <c r="AK914"/>
      <c r="AL914"/>
      <c r="AM914"/>
      <c r="AN914"/>
    </row>
    <row r="915" spans="1:40" ht="15" customHeight="1">
      <c r="A915"/>
      <c r="B915"/>
      <c r="C915"/>
      <c r="D915"/>
      <c r="E915"/>
      <c r="F915"/>
      <c r="G915"/>
      <c r="H915"/>
      <c r="I915"/>
      <c r="J915"/>
      <c r="K915"/>
      <c r="L915"/>
      <c r="M915"/>
      <c r="N915"/>
      <c r="O915"/>
      <c r="P915"/>
      <c r="Q915"/>
      <c r="R915"/>
      <c r="S915"/>
      <c r="T915"/>
      <c r="U915"/>
      <c r="V915"/>
      <c r="W915"/>
      <c r="X915"/>
      <c r="Y915"/>
      <c r="Z915"/>
      <c r="AA915"/>
      <c r="AB915"/>
      <c r="AC915"/>
      <c r="AD915"/>
      <c r="AE915"/>
      <c r="AF915"/>
      <c r="AG915"/>
      <c r="AH915"/>
      <c r="AI915"/>
      <c r="AJ915"/>
      <c r="AK915"/>
      <c r="AL915"/>
      <c r="AM915"/>
      <c r="AN915"/>
    </row>
    <row r="916" spans="1:40" ht="15" customHeight="1">
      <c r="A916"/>
      <c r="B916"/>
      <c r="C916"/>
      <c r="D916"/>
      <c r="E916"/>
      <c r="F916"/>
      <c r="G916"/>
      <c r="H916"/>
      <c r="I916"/>
      <c r="J916"/>
      <c r="K916"/>
      <c r="L916"/>
      <c r="M916"/>
      <c r="N916"/>
      <c r="O916"/>
      <c r="P916"/>
      <c r="Q916"/>
      <c r="R916"/>
      <c r="S916"/>
      <c r="T916"/>
      <c r="U916"/>
      <c r="V916"/>
      <c r="W916"/>
      <c r="X916"/>
      <c r="Y916"/>
      <c r="Z916"/>
      <c r="AA916"/>
      <c r="AB916"/>
      <c r="AC916"/>
      <c r="AD916"/>
      <c r="AE916"/>
      <c r="AF916"/>
      <c r="AG916"/>
      <c r="AH916"/>
      <c r="AI916"/>
      <c r="AJ916"/>
      <c r="AK916"/>
      <c r="AL916"/>
      <c r="AM916"/>
      <c r="AN916"/>
    </row>
    <row r="917" spans="1:40" ht="15" customHeight="1">
      <c r="A917"/>
      <c r="B917"/>
      <c r="C917"/>
      <c r="D917"/>
      <c r="E917"/>
      <c r="F917"/>
      <c r="G917"/>
      <c r="H917"/>
      <c r="I917"/>
      <c r="J917"/>
      <c r="K917"/>
      <c r="L917"/>
      <c r="M917"/>
      <c r="N917"/>
      <c r="O917"/>
      <c r="P917"/>
      <c r="Q917"/>
      <c r="R917"/>
      <c r="S917"/>
      <c r="T917"/>
      <c r="U917"/>
      <c r="V917"/>
      <c r="W917"/>
      <c r="X917"/>
      <c r="Y917"/>
      <c r="Z917"/>
      <c r="AA917"/>
      <c r="AB917"/>
      <c r="AC917"/>
      <c r="AD917"/>
      <c r="AE917"/>
      <c r="AF917"/>
      <c r="AG917"/>
      <c r="AH917"/>
      <c r="AI917"/>
      <c r="AJ917"/>
      <c r="AK917"/>
      <c r="AL917"/>
      <c r="AM917"/>
      <c r="AN917"/>
    </row>
    <row r="918" spans="1:40" ht="15" customHeight="1">
      <c r="A918"/>
      <c r="B918"/>
      <c r="C918"/>
      <c r="D918"/>
      <c r="E918"/>
      <c r="F918"/>
      <c r="G918"/>
      <c r="H918"/>
      <c r="I918"/>
      <c r="J918"/>
      <c r="K918"/>
      <c r="L918"/>
      <c r="M918"/>
      <c r="N918"/>
      <c r="O918"/>
      <c r="P918"/>
      <c r="Q918"/>
      <c r="R918"/>
      <c r="S918"/>
      <c r="T918"/>
      <c r="U918"/>
      <c r="V918"/>
      <c r="W918"/>
      <c r="X918"/>
      <c r="Y918"/>
      <c r="Z918"/>
      <c r="AA918"/>
      <c r="AB918"/>
      <c r="AC918"/>
      <c r="AD918"/>
      <c r="AE918"/>
      <c r="AF918"/>
      <c r="AG918"/>
      <c r="AH918"/>
      <c r="AI918"/>
      <c r="AJ918"/>
      <c r="AK918"/>
      <c r="AL918"/>
      <c r="AM918"/>
      <c r="AN918"/>
    </row>
    <row r="919" spans="1:40" ht="15" customHeight="1">
      <c r="A919"/>
      <c r="B919"/>
      <c r="C919"/>
      <c r="D919"/>
      <c r="E919"/>
      <c r="F919"/>
      <c r="G919"/>
      <c r="H919"/>
      <c r="I919"/>
      <c r="J919"/>
      <c r="K919"/>
      <c r="L919"/>
      <c r="M919"/>
      <c r="N919"/>
      <c r="O919"/>
      <c r="P919"/>
      <c r="Q919"/>
      <c r="R919"/>
      <c r="S919"/>
      <c r="T919"/>
      <c r="U919"/>
      <c r="V919"/>
      <c r="W919"/>
      <c r="X919"/>
      <c r="Y919"/>
      <c r="Z919"/>
      <c r="AA919"/>
      <c r="AB919"/>
      <c r="AC919"/>
      <c r="AD919"/>
      <c r="AE919"/>
      <c r="AF919"/>
      <c r="AG919"/>
      <c r="AH919"/>
      <c r="AI919"/>
      <c r="AJ919"/>
      <c r="AK919"/>
      <c r="AL919"/>
      <c r="AM919"/>
      <c r="AN919"/>
    </row>
    <row r="920" spans="1:40" ht="15" customHeight="1">
      <c r="A920"/>
      <c r="B920"/>
      <c r="C920"/>
      <c r="D920"/>
      <c r="E920"/>
      <c r="F920"/>
      <c r="G920"/>
      <c r="H920"/>
      <c r="I920"/>
      <c r="J920"/>
      <c r="K920"/>
      <c r="L920"/>
      <c r="M920"/>
      <c r="N920"/>
      <c r="O920"/>
      <c r="P920"/>
      <c r="Q920"/>
      <c r="R920"/>
      <c r="S920"/>
      <c r="T920"/>
      <c r="U920"/>
      <c r="V920"/>
      <c r="W920"/>
      <c r="X920"/>
      <c r="Y920"/>
      <c r="Z920"/>
      <c r="AA920"/>
      <c r="AB920"/>
      <c r="AC920"/>
      <c r="AD920"/>
      <c r="AE920"/>
      <c r="AF920"/>
      <c r="AG920"/>
      <c r="AH920"/>
      <c r="AI920"/>
      <c r="AJ920"/>
      <c r="AK920"/>
      <c r="AL920"/>
      <c r="AM920"/>
      <c r="AN920"/>
    </row>
    <row r="921" spans="1:40" ht="15" customHeight="1">
      <c r="A921"/>
      <c r="B921"/>
      <c r="C921"/>
      <c r="D921"/>
      <c r="E921"/>
      <c r="F921"/>
      <c r="G921"/>
      <c r="H921"/>
      <c r="I921"/>
      <c r="J921"/>
      <c r="K921"/>
      <c r="L921"/>
      <c r="M921"/>
      <c r="N921"/>
      <c r="O921"/>
      <c r="P921"/>
      <c r="Q921"/>
      <c r="R921"/>
      <c r="S921"/>
      <c r="T921"/>
      <c r="U921"/>
      <c r="V921"/>
      <c r="W921"/>
      <c r="X921"/>
      <c r="Y921"/>
      <c r="Z921"/>
      <c r="AA921"/>
      <c r="AB921"/>
      <c r="AC921"/>
      <c r="AD921"/>
      <c r="AE921"/>
      <c r="AF921"/>
      <c r="AG921"/>
      <c r="AH921"/>
      <c r="AI921"/>
      <c r="AJ921"/>
      <c r="AK921"/>
      <c r="AL921"/>
      <c r="AM921"/>
      <c r="AN921"/>
    </row>
    <row r="922" spans="1:40" ht="15" customHeight="1">
      <c r="A922"/>
      <c r="B922"/>
      <c r="C922"/>
      <c r="D922"/>
      <c r="E922"/>
      <c r="F922"/>
      <c r="G922"/>
      <c r="H922"/>
      <c r="I922"/>
      <c r="J922"/>
      <c r="K922"/>
      <c r="L922"/>
      <c r="M922"/>
      <c r="N922"/>
      <c r="O922"/>
      <c r="P922"/>
      <c r="Q922"/>
      <c r="R922"/>
      <c r="S922"/>
      <c r="T922"/>
      <c r="U922"/>
      <c r="V922"/>
      <c r="W922"/>
      <c r="X922"/>
      <c r="Y922"/>
      <c r="Z922"/>
      <c r="AA922"/>
      <c r="AB922"/>
      <c r="AC922"/>
      <c r="AD922"/>
      <c r="AE922"/>
      <c r="AF922"/>
      <c r="AG922"/>
      <c r="AH922"/>
      <c r="AI922"/>
      <c r="AJ922"/>
      <c r="AK922"/>
      <c r="AL922"/>
      <c r="AM922"/>
      <c r="AN922"/>
    </row>
    <row r="923" spans="1:40" ht="15" customHeight="1">
      <c r="A923"/>
      <c r="B923"/>
      <c r="C923"/>
      <c r="D923"/>
      <c r="E923"/>
      <c r="F923"/>
      <c r="G923"/>
      <c r="H923"/>
      <c r="I923"/>
      <c r="J923"/>
      <c r="K923"/>
      <c r="L923"/>
      <c r="M923"/>
      <c r="N923"/>
      <c r="O923"/>
      <c r="P923"/>
      <c r="Q923"/>
      <c r="R923"/>
      <c r="S923"/>
      <c r="T923"/>
      <c r="U923"/>
      <c r="V923"/>
      <c r="W923"/>
      <c r="X923"/>
      <c r="Y923"/>
      <c r="Z923"/>
      <c r="AA923"/>
      <c r="AB923"/>
      <c r="AC923"/>
      <c r="AD923"/>
      <c r="AE923"/>
      <c r="AF923"/>
      <c r="AG923"/>
      <c r="AH923"/>
      <c r="AI923"/>
      <c r="AJ923"/>
      <c r="AK923"/>
      <c r="AL923"/>
      <c r="AM923"/>
      <c r="AN923"/>
    </row>
    <row r="924" spans="1:40" ht="15" customHeight="1">
      <c r="A924"/>
      <c r="B924"/>
      <c r="C924"/>
      <c r="D924"/>
      <c r="E924"/>
      <c r="F924"/>
      <c r="G924"/>
      <c r="H924"/>
      <c r="I924"/>
      <c r="J924"/>
      <c r="K924"/>
      <c r="L924"/>
      <c r="M924"/>
      <c r="N924"/>
      <c r="O924"/>
      <c r="P924"/>
      <c r="Q924"/>
      <c r="R924"/>
      <c r="S924"/>
      <c r="T924"/>
      <c r="U924"/>
      <c r="V924"/>
      <c r="W924"/>
      <c r="X924"/>
      <c r="Y924"/>
      <c r="Z924"/>
      <c r="AA924"/>
      <c r="AB924"/>
      <c r="AC924"/>
      <c r="AD924"/>
      <c r="AE924"/>
      <c r="AF924"/>
      <c r="AG924"/>
      <c r="AH924"/>
      <c r="AI924"/>
      <c r="AJ924"/>
      <c r="AK924"/>
      <c r="AL924"/>
      <c r="AM924"/>
      <c r="AN924"/>
    </row>
    <row r="925" spans="1:40" ht="15" customHeight="1">
      <c r="A925"/>
      <c r="B925"/>
      <c r="C925"/>
      <c r="D925"/>
      <c r="E925"/>
      <c r="F925"/>
      <c r="G925"/>
      <c r="H925"/>
      <c r="I925"/>
      <c r="J925"/>
      <c r="K925"/>
      <c r="L925"/>
      <c r="M925"/>
      <c r="N925"/>
      <c r="O925"/>
      <c r="P925"/>
      <c r="Q925"/>
      <c r="R925"/>
      <c r="S925"/>
      <c r="T925"/>
      <c r="U925"/>
      <c r="V925"/>
      <c r="W925"/>
      <c r="X925"/>
      <c r="Y925"/>
      <c r="Z925"/>
      <c r="AA925"/>
      <c r="AB925"/>
      <c r="AC925"/>
      <c r="AD925"/>
      <c r="AE925"/>
      <c r="AF925"/>
      <c r="AG925"/>
      <c r="AH925"/>
      <c r="AI925"/>
      <c r="AJ925"/>
      <c r="AK925"/>
      <c r="AL925"/>
      <c r="AM925"/>
      <c r="AN925"/>
    </row>
    <row r="926" spans="1:40" ht="15" customHeight="1">
      <c r="A926"/>
      <c r="B926"/>
      <c r="C926"/>
      <c r="D926"/>
      <c r="E926"/>
      <c r="F926"/>
      <c r="G926"/>
      <c r="H926"/>
      <c r="I926"/>
      <c r="J926"/>
      <c r="K926"/>
      <c r="L926"/>
      <c r="M926"/>
      <c r="N926"/>
      <c r="O926"/>
      <c r="P926"/>
      <c r="Q926"/>
      <c r="R926"/>
      <c r="S926"/>
      <c r="T926"/>
      <c r="U926"/>
      <c r="V926"/>
      <c r="W926"/>
      <c r="X926"/>
      <c r="Y926"/>
      <c r="Z926"/>
      <c r="AA926"/>
      <c r="AB926"/>
      <c r="AC926"/>
      <c r="AD926"/>
      <c r="AE926"/>
      <c r="AF926"/>
      <c r="AG926"/>
      <c r="AH926"/>
      <c r="AI926"/>
      <c r="AJ926"/>
      <c r="AK926"/>
      <c r="AL926"/>
      <c r="AM926"/>
      <c r="AN926"/>
    </row>
    <row r="927" spans="1:40" ht="15" customHeight="1">
      <c r="A927"/>
      <c r="B927"/>
      <c r="C927"/>
      <c r="D927"/>
      <c r="E927"/>
      <c r="F927"/>
      <c r="G927"/>
      <c r="H927"/>
      <c r="I927"/>
      <c r="J927"/>
      <c r="K927"/>
      <c r="L927"/>
      <c r="M927"/>
      <c r="N927"/>
      <c r="O927"/>
      <c r="P927"/>
      <c r="Q927"/>
      <c r="R927"/>
      <c r="S927"/>
      <c r="T927"/>
      <c r="U927"/>
      <c r="V927"/>
      <c r="W927"/>
      <c r="X927"/>
      <c r="Y927"/>
      <c r="Z927"/>
      <c r="AA927"/>
      <c r="AB927"/>
      <c r="AC927"/>
      <c r="AD927"/>
      <c r="AE927"/>
      <c r="AF927"/>
      <c r="AG927"/>
      <c r="AH927"/>
      <c r="AI927"/>
      <c r="AJ927"/>
      <c r="AK927"/>
      <c r="AL927"/>
      <c r="AM927"/>
      <c r="AN927"/>
    </row>
    <row r="928" spans="1:40" ht="15" customHeight="1">
      <c r="A928"/>
      <c r="B928"/>
      <c r="C928"/>
      <c r="D928"/>
      <c r="E928"/>
      <c r="F928"/>
      <c r="G928"/>
      <c r="H928"/>
      <c r="I928"/>
      <c r="J928"/>
      <c r="K928"/>
      <c r="L928"/>
      <c r="M928"/>
      <c r="N928"/>
      <c r="O928"/>
      <c r="P928"/>
      <c r="Q928"/>
      <c r="R928"/>
      <c r="S928"/>
      <c r="T928"/>
      <c r="U928"/>
      <c r="V928"/>
      <c r="W928"/>
      <c r="X928"/>
      <c r="Y928"/>
      <c r="Z928"/>
      <c r="AA928"/>
      <c r="AB928"/>
      <c r="AC928"/>
      <c r="AD928"/>
      <c r="AE928"/>
      <c r="AF928"/>
      <c r="AG928"/>
      <c r="AH928"/>
      <c r="AI928"/>
      <c r="AJ928"/>
      <c r="AK928"/>
      <c r="AL928"/>
      <c r="AM928"/>
      <c r="AN928"/>
    </row>
    <row r="929" spans="1:40" ht="15" customHeight="1">
      <c r="A929"/>
      <c r="B929"/>
      <c r="C929"/>
      <c r="D929"/>
      <c r="E929"/>
      <c r="F929"/>
      <c r="G929"/>
      <c r="H929"/>
      <c r="I929"/>
      <c r="J929"/>
      <c r="K929"/>
      <c r="L929"/>
      <c r="M929"/>
      <c r="N929"/>
      <c r="O929"/>
      <c r="P929"/>
      <c r="Q929"/>
      <c r="R929"/>
      <c r="S929"/>
      <c r="T929"/>
      <c r="U929"/>
      <c r="V929"/>
      <c r="W929"/>
      <c r="X929"/>
      <c r="Y929"/>
      <c r="Z929"/>
      <c r="AA929"/>
      <c r="AB929"/>
      <c r="AC929"/>
      <c r="AD929"/>
      <c r="AE929"/>
      <c r="AF929"/>
      <c r="AG929"/>
      <c r="AH929"/>
      <c r="AI929"/>
      <c r="AJ929"/>
      <c r="AK929"/>
      <c r="AL929"/>
      <c r="AM929"/>
      <c r="AN929"/>
    </row>
    <row r="930" spans="1:40" ht="15" customHeight="1">
      <c r="A930"/>
      <c r="B930"/>
      <c r="C930"/>
      <c r="D930"/>
      <c r="E930"/>
      <c r="F930"/>
      <c r="G930"/>
      <c r="H930"/>
      <c r="I930"/>
      <c r="J930"/>
      <c r="K930"/>
      <c r="L930"/>
      <c r="M930"/>
      <c r="N930"/>
      <c r="O930"/>
      <c r="P930"/>
      <c r="Q930"/>
      <c r="R930"/>
      <c r="S930"/>
      <c r="T930"/>
      <c r="U930"/>
      <c r="V930"/>
      <c r="W930"/>
      <c r="X930"/>
      <c r="Y930"/>
      <c r="Z930"/>
      <c r="AA930"/>
      <c r="AB930"/>
      <c r="AC930"/>
      <c r="AD930"/>
      <c r="AE930"/>
      <c r="AF930"/>
      <c r="AG930"/>
      <c r="AH930"/>
      <c r="AI930"/>
      <c r="AJ930"/>
      <c r="AK930"/>
      <c r="AL930"/>
      <c r="AM930"/>
      <c r="AN930"/>
    </row>
    <row r="931" spans="1:40" ht="15" customHeight="1">
      <c r="A931"/>
      <c r="B931"/>
      <c r="C931"/>
      <c r="D931"/>
      <c r="E931"/>
      <c r="F931"/>
      <c r="G931"/>
      <c r="H931"/>
      <c r="I931"/>
      <c r="J931"/>
      <c r="K931"/>
      <c r="L931"/>
      <c r="M931"/>
      <c r="N931"/>
      <c r="O931"/>
      <c r="P931"/>
      <c r="Q931"/>
      <c r="R931"/>
      <c r="S931"/>
      <c r="T931"/>
      <c r="U931"/>
      <c r="V931"/>
      <c r="W931"/>
      <c r="X931"/>
      <c r="Y931"/>
      <c r="Z931"/>
      <c r="AA931"/>
      <c r="AB931"/>
      <c r="AC931"/>
      <c r="AD931"/>
      <c r="AE931"/>
      <c r="AF931"/>
      <c r="AG931"/>
      <c r="AH931"/>
      <c r="AI931"/>
      <c r="AJ931"/>
      <c r="AK931"/>
      <c r="AL931"/>
      <c r="AM931"/>
      <c r="AN931"/>
    </row>
    <row r="932" spans="1:40" ht="15" customHeight="1">
      <c r="A932"/>
      <c r="B932"/>
      <c r="C932"/>
      <c r="D932"/>
      <c r="E932"/>
      <c r="F932"/>
      <c r="G932"/>
      <c r="H932"/>
      <c r="I932"/>
      <c r="J932"/>
      <c r="K932"/>
      <c r="L932"/>
      <c r="M932"/>
      <c r="N932"/>
      <c r="O932"/>
      <c r="P932"/>
      <c r="Q932"/>
      <c r="R932"/>
      <c r="S932"/>
      <c r="T932"/>
      <c r="U932"/>
      <c r="V932"/>
      <c r="W932"/>
      <c r="X932"/>
      <c r="Y932"/>
      <c r="Z932"/>
      <c r="AA932"/>
      <c r="AB932"/>
      <c r="AC932"/>
      <c r="AD932"/>
      <c r="AE932"/>
      <c r="AF932"/>
      <c r="AG932"/>
      <c r="AH932"/>
      <c r="AI932"/>
      <c r="AJ932"/>
      <c r="AK932"/>
      <c r="AL932"/>
      <c r="AM932"/>
      <c r="AN932"/>
    </row>
    <row r="933" spans="1:40" ht="15" customHeight="1">
      <c r="A933"/>
      <c r="B933"/>
      <c r="C933"/>
      <c r="D933"/>
      <c r="E933"/>
      <c r="F933"/>
      <c r="G933"/>
      <c r="H933"/>
      <c r="I933"/>
      <c r="J933"/>
      <c r="K933"/>
      <c r="L933"/>
      <c r="M933"/>
      <c r="N933"/>
      <c r="O933"/>
      <c r="P933"/>
      <c r="Q933"/>
      <c r="R933"/>
      <c r="S933"/>
      <c r="T933"/>
      <c r="U933"/>
      <c r="V933"/>
      <c r="W933"/>
      <c r="X933"/>
      <c r="Y933"/>
      <c r="Z933"/>
      <c r="AA933"/>
      <c r="AB933"/>
      <c r="AC933"/>
      <c r="AD933"/>
      <c r="AE933"/>
      <c r="AF933"/>
      <c r="AG933"/>
      <c r="AH933"/>
      <c r="AI933"/>
      <c r="AJ933"/>
      <c r="AK933"/>
      <c r="AL933"/>
      <c r="AM933"/>
      <c r="AN933"/>
    </row>
    <row r="934" spans="1:40" ht="15" customHeight="1">
      <c r="A934"/>
      <c r="B934"/>
      <c r="C934"/>
      <c r="D934"/>
      <c r="E934"/>
      <c r="F934"/>
      <c r="G934"/>
      <c r="H934"/>
      <c r="I934"/>
      <c r="J934"/>
      <c r="K934"/>
      <c r="L934"/>
      <c r="M934"/>
      <c r="N934"/>
      <c r="O934"/>
      <c r="P934"/>
      <c r="Q934"/>
      <c r="R934"/>
      <c r="S934"/>
      <c r="T934"/>
      <c r="U934"/>
      <c r="V934"/>
      <c r="W934"/>
      <c r="X934"/>
      <c r="Y934"/>
      <c r="Z934"/>
      <c r="AA934"/>
      <c r="AB934"/>
      <c r="AC934"/>
      <c r="AD934"/>
      <c r="AE934"/>
      <c r="AF934"/>
      <c r="AG934"/>
      <c r="AH934"/>
      <c r="AI934"/>
      <c r="AJ934"/>
      <c r="AK934"/>
      <c r="AL934"/>
      <c r="AM934"/>
      <c r="AN934"/>
    </row>
    <row r="935" spans="1:40" ht="15" customHeight="1">
      <c r="A935"/>
      <c r="B935"/>
      <c r="C935"/>
      <c r="D935"/>
      <c r="E935"/>
      <c r="F935"/>
      <c r="G935"/>
      <c r="H935"/>
      <c r="I935"/>
      <c r="J935"/>
      <c r="K935"/>
      <c r="L935"/>
      <c r="M935"/>
      <c r="N935"/>
      <c r="O935"/>
      <c r="P935"/>
      <c r="Q935"/>
      <c r="R935"/>
      <c r="S935"/>
      <c r="T935"/>
      <c r="U935"/>
      <c r="V935"/>
      <c r="W935"/>
      <c r="X935"/>
      <c r="Y935"/>
      <c r="Z935"/>
      <c r="AA935"/>
      <c r="AB935"/>
      <c r="AC935"/>
      <c r="AD935"/>
      <c r="AE935"/>
      <c r="AF935"/>
      <c r="AG935"/>
      <c r="AH935"/>
      <c r="AI935"/>
      <c r="AJ935"/>
      <c r="AK935"/>
      <c r="AL935"/>
      <c r="AM935"/>
      <c r="AN935"/>
    </row>
    <row r="936" spans="1:40" ht="15" customHeight="1">
      <c r="A936"/>
      <c r="B936"/>
      <c r="C936"/>
      <c r="D936"/>
      <c r="E936"/>
      <c r="F936"/>
      <c r="G936"/>
      <c r="H936"/>
      <c r="I936"/>
      <c r="J936"/>
      <c r="K936"/>
      <c r="L936"/>
      <c r="M936"/>
      <c r="N936"/>
      <c r="O936"/>
      <c r="P936"/>
      <c r="Q936"/>
      <c r="R936"/>
      <c r="S936"/>
      <c r="T936"/>
      <c r="U936"/>
      <c r="V936"/>
      <c r="W936"/>
      <c r="X936"/>
      <c r="Y936"/>
      <c r="Z936"/>
      <c r="AA936"/>
      <c r="AB936"/>
      <c r="AC936"/>
      <c r="AD936"/>
      <c r="AE936"/>
      <c r="AF936"/>
      <c r="AG936"/>
      <c r="AH936"/>
      <c r="AI936"/>
      <c r="AJ936"/>
      <c r="AK936"/>
      <c r="AL936"/>
      <c r="AM936"/>
      <c r="AN936"/>
    </row>
    <row r="937" spans="1:40" ht="15" customHeight="1">
      <c r="A937"/>
      <c r="B937"/>
      <c r="C937"/>
      <c r="D937"/>
      <c r="E937"/>
      <c r="F937"/>
      <c r="G937"/>
      <c r="H937"/>
      <c r="I937"/>
      <c r="J937"/>
      <c r="K937"/>
      <c r="L937"/>
      <c r="M937"/>
      <c r="N937"/>
      <c r="O937"/>
      <c r="P937"/>
      <c r="Q937"/>
      <c r="R937"/>
      <c r="S937"/>
      <c r="T937"/>
      <c r="U937"/>
      <c r="V937"/>
      <c r="W937"/>
      <c r="X937"/>
      <c r="Y937"/>
      <c r="Z937"/>
      <c r="AA937"/>
      <c r="AB937"/>
      <c r="AC937"/>
      <c r="AD937"/>
      <c r="AE937"/>
      <c r="AF937"/>
      <c r="AG937"/>
      <c r="AH937"/>
      <c r="AI937"/>
      <c r="AJ937"/>
      <c r="AK937"/>
      <c r="AL937"/>
      <c r="AM937"/>
      <c r="AN937"/>
    </row>
    <row r="938" spans="1:40" ht="15" customHeight="1">
      <c r="A938"/>
      <c r="B938"/>
      <c r="C938"/>
      <c r="D938"/>
      <c r="E938"/>
      <c r="F938"/>
      <c r="G938"/>
      <c r="H938"/>
      <c r="I938"/>
      <c r="J938"/>
      <c r="K938"/>
      <c r="L938"/>
      <c r="M938"/>
      <c r="N938"/>
      <c r="O938"/>
      <c r="P938"/>
      <c r="Q938"/>
      <c r="R938"/>
      <c r="S938"/>
      <c r="T938"/>
      <c r="U938"/>
      <c r="V938"/>
      <c r="W938"/>
      <c r="X938"/>
      <c r="Y938"/>
      <c r="Z938"/>
      <c r="AA938"/>
      <c r="AB938"/>
      <c r="AC938"/>
      <c r="AD938"/>
      <c r="AE938"/>
      <c r="AF938"/>
      <c r="AG938"/>
      <c r="AH938"/>
      <c r="AI938"/>
      <c r="AJ938"/>
      <c r="AK938"/>
      <c r="AL938"/>
      <c r="AM938"/>
      <c r="AN938"/>
    </row>
    <row r="939" spans="1:40" ht="15" customHeight="1">
      <c r="A939"/>
      <c r="B939"/>
      <c r="C939"/>
      <c r="D939"/>
      <c r="E939"/>
      <c r="F939"/>
      <c r="G939"/>
      <c r="H939"/>
      <c r="I939"/>
      <c r="J939"/>
      <c r="K939"/>
      <c r="L939"/>
      <c r="M939"/>
      <c r="N939"/>
      <c r="O939"/>
      <c r="P939"/>
      <c r="Q939"/>
      <c r="R939"/>
      <c r="S939"/>
      <c r="T939"/>
      <c r="U939"/>
      <c r="V939"/>
      <c r="W939"/>
      <c r="X939"/>
      <c r="Y939"/>
      <c r="Z939"/>
      <c r="AA939"/>
      <c r="AB939"/>
      <c r="AC939"/>
      <c r="AD939"/>
      <c r="AE939"/>
      <c r="AF939"/>
      <c r="AG939"/>
      <c r="AH939"/>
      <c r="AI939"/>
      <c r="AJ939"/>
      <c r="AK939"/>
      <c r="AL939"/>
      <c r="AM939"/>
      <c r="AN939"/>
    </row>
    <row r="940" spans="1:40" ht="15" customHeight="1">
      <c r="A940"/>
      <c r="B940"/>
      <c r="C940"/>
      <c r="D940"/>
      <c r="E940"/>
      <c r="F940"/>
      <c r="G940"/>
      <c r="H940"/>
      <c r="I940"/>
      <c r="J940"/>
      <c r="K940"/>
      <c r="L940"/>
      <c r="M940"/>
      <c r="N940"/>
      <c r="O940"/>
      <c r="P940"/>
      <c r="Q940"/>
      <c r="R940"/>
      <c r="S940"/>
      <c r="T940"/>
      <c r="U940"/>
      <c r="V940"/>
      <c r="W940"/>
      <c r="X940"/>
      <c r="Y940"/>
      <c r="Z940"/>
      <c r="AA940"/>
      <c r="AB940"/>
      <c r="AC940"/>
      <c r="AD940"/>
      <c r="AE940"/>
      <c r="AF940"/>
      <c r="AG940"/>
      <c r="AH940"/>
      <c r="AI940"/>
      <c r="AJ940"/>
      <c r="AK940"/>
      <c r="AL940"/>
      <c r="AM940"/>
      <c r="AN940"/>
    </row>
    <row r="941" spans="1:40" ht="15" customHeight="1">
      <c r="A941"/>
      <c r="B941"/>
      <c r="C941"/>
      <c r="D941"/>
      <c r="E941"/>
      <c r="F941"/>
      <c r="G941"/>
      <c r="H941"/>
      <c r="I941"/>
      <c r="J941"/>
      <c r="K941"/>
      <c r="L941"/>
      <c r="M941"/>
      <c r="N941"/>
      <c r="O941"/>
      <c r="P941"/>
      <c r="Q941"/>
      <c r="R941"/>
      <c r="S941"/>
      <c r="T941"/>
      <c r="U941"/>
      <c r="V941"/>
      <c r="W941"/>
      <c r="X941"/>
      <c r="Y941"/>
      <c r="Z941"/>
      <c r="AA941"/>
      <c r="AB941"/>
      <c r="AC941"/>
      <c r="AD941"/>
      <c r="AE941"/>
      <c r="AF941"/>
      <c r="AG941"/>
      <c r="AH941"/>
      <c r="AI941"/>
      <c r="AJ941"/>
      <c r="AK941"/>
      <c r="AL941"/>
      <c r="AM941"/>
      <c r="AN941"/>
    </row>
    <row r="942" spans="1:40" ht="15" customHeight="1">
      <c r="A942"/>
      <c r="B942"/>
      <c r="C942"/>
      <c r="D942"/>
      <c r="E942"/>
      <c r="F942"/>
      <c r="G942"/>
      <c r="H942"/>
      <c r="I942"/>
      <c r="J942"/>
      <c r="K942"/>
      <c r="L942"/>
      <c r="M942"/>
      <c r="N942"/>
      <c r="O942"/>
      <c r="P942"/>
      <c r="Q942"/>
      <c r="R942"/>
      <c r="S942"/>
      <c r="T942"/>
      <c r="U942"/>
      <c r="V942"/>
      <c r="W942"/>
      <c r="X942"/>
      <c r="Y942"/>
      <c r="Z942"/>
      <c r="AA942"/>
      <c r="AB942"/>
      <c r="AC942"/>
      <c r="AD942"/>
      <c r="AE942"/>
      <c r="AF942"/>
      <c r="AG942"/>
      <c r="AH942"/>
      <c r="AI942"/>
      <c r="AJ942"/>
      <c r="AK942"/>
      <c r="AL942"/>
      <c r="AM942"/>
      <c r="AN942"/>
    </row>
    <row r="943" spans="1:40" ht="15" customHeight="1">
      <c r="A943"/>
      <c r="B943"/>
      <c r="C943"/>
      <c r="D943"/>
      <c r="E943"/>
      <c r="F943"/>
      <c r="G943"/>
      <c r="H943"/>
      <c r="I943"/>
      <c r="J943"/>
      <c r="K943"/>
      <c r="L943"/>
      <c r="M943"/>
      <c r="N943"/>
      <c r="O943"/>
      <c r="P943"/>
      <c r="Q943"/>
      <c r="R943"/>
      <c r="S943"/>
      <c r="T943"/>
      <c r="U943"/>
      <c r="V943"/>
      <c r="W943"/>
      <c r="X943"/>
      <c r="Y943"/>
      <c r="Z943"/>
      <c r="AA943"/>
      <c r="AB943"/>
      <c r="AC943"/>
      <c r="AD943"/>
      <c r="AE943"/>
      <c r="AF943"/>
      <c r="AG943"/>
      <c r="AH943"/>
      <c r="AI943"/>
      <c r="AJ943"/>
      <c r="AK943"/>
      <c r="AL943"/>
      <c r="AM943"/>
      <c r="AN943"/>
    </row>
    <row r="944" spans="1:40" ht="15" customHeight="1">
      <c r="A944"/>
      <c r="B944"/>
      <c r="C944"/>
      <c r="D944"/>
      <c r="E944"/>
      <c r="F944"/>
      <c r="G944"/>
      <c r="H944"/>
      <c r="I944"/>
      <c r="J944"/>
      <c r="K944"/>
      <c r="L944"/>
      <c r="M944"/>
      <c r="N944"/>
      <c r="O944"/>
      <c r="P944"/>
      <c r="Q944"/>
      <c r="R944"/>
      <c r="S944"/>
      <c r="T944"/>
      <c r="U944"/>
      <c r="V944"/>
      <c r="W944"/>
      <c r="X944"/>
      <c r="Y944"/>
      <c r="Z944"/>
      <c r="AA944"/>
      <c r="AB944"/>
      <c r="AC944"/>
      <c r="AD944"/>
      <c r="AE944"/>
      <c r="AF944"/>
      <c r="AG944"/>
      <c r="AH944"/>
      <c r="AI944"/>
      <c r="AJ944"/>
      <c r="AK944"/>
      <c r="AL944"/>
      <c r="AM944"/>
      <c r="AN944"/>
    </row>
    <row r="945" spans="1:40" ht="15" customHeight="1">
      <c r="A945"/>
      <c r="B945"/>
      <c r="C945"/>
      <c r="D945"/>
      <c r="E945"/>
      <c r="F945"/>
      <c r="G945"/>
      <c r="H945"/>
      <c r="I945"/>
      <c r="J945"/>
      <c r="K945"/>
      <c r="L945"/>
      <c r="M945"/>
      <c r="N945"/>
      <c r="O945"/>
      <c r="P945"/>
      <c r="Q945"/>
      <c r="R945"/>
      <c r="S945"/>
      <c r="T945"/>
      <c r="U945"/>
      <c r="V945"/>
      <c r="W945"/>
      <c r="X945"/>
      <c r="Y945"/>
      <c r="Z945"/>
      <c r="AA945"/>
      <c r="AB945"/>
      <c r="AC945"/>
      <c r="AD945"/>
      <c r="AE945"/>
      <c r="AF945"/>
      <c r="AG945"/>
      <c r="AH945"/>
      <c r="AI945"/>
      <c r="AJ945"/>
      <c r="AK945"/>
      <c r="AL945"/>
      <c r="AM945"/>
      <c r="AN945"/>
    </row>
    <row r="946" spans="1:40" ht="15" customHeight="1">
      <c r="A946"/>
      <c r="B946"/>
      <c r="C946"/>
      <c r="D946"/>
      <c r="E946"/>
      <c r="F946"/>
      <c r="G946"/>
      <c r="H946"/>
      <c r="I946"/>
      <c r="J946"/>
      <c r="K946"/>
      <c r="L946"/>
      <c r="M946"/>
      <c r="N946"/>
      <c r="O946"/>
      <c r="P946"/>
      <c r="Q946"/>
      <c r="R946"/>
      <c r="S946"/>
      <c r="T946"/>
      <c r="U946"/>
      <c r="V946"/>
      <c r="W946"/>
      <c r="X946"/>
      <c r="Y946"/>
      <c r="Z946"/>
      <c r="AA946"/>
      <c r="AB946"/>
      <c r="AC946"/>
      <c r="AD946"/>
      <c r="AE946"/>
      <c r="AF946"/>
      <c r="AG946"/>
      <c r="AH946"/>
      <c r="AI946"/>
      <c r="AJ946"/>
      <c r="AK946"/>
      <c r="AL946"/>
      <c r="AM946"/>
      <c r="AN946"/>
    </row>
    <row r="947" spans="1:40" ht="15" customHeight="1">
      <c r="A947"/>
      <c r="B947"/>
      <c r="C947"/>
      <c r="D947"/>
      <c r="E947"/>
      <c r="F947"/>
      <c r="G947"/>
      <c r="H947"/>
      <c r="I947"/>
      <c r="J947"/>
      <c r="K947"/>
      <c r="L947"/>
      <c r="M947"/>
      <c r="N947"/>
      <c r="O947"/>
      <c r="P947"/>
      <c r="Q947"/>
      <c r="R947"/>
      <c r="S947"/>
      <c r="T947"/>
      <c r="U947"/>
      <c r="V947"/>
      <c r="W947"/>
      <c r="X947"/>
      <c r="Y947"/>
      <c r="Z947"/>
      <c r="AA947"/>
      <c r="AB947"/>
      <c r="AC947"/>
      <c r="AD947"/>
      <c r="AE947"/>
      <c r="AF947"/>
      <c r="AG947"/>
      <c r="AH947"/>
      <c r="AI947"/>
      <c r="AJ947"/>
      <c r="AK947"/>
      <c r="AL947"/>
      <c r="AM947"/>
      <c r="AN947"/>
    </row>
    <row r="948" spans="1:40" ht="15" customHeight="1">
      <c r="A948"/>
      <c r="B948"/>
      <c r="C948"/>
      <c r="D948"/>
      <c r="E948"/>
      <c r="F948"/>
      <c r="G948"/>
      <c r="H948"/>
      <c r="I948"/>
      <c r="J948"/>
      <c r="K948"/>
      <c r="L948"/>
      <c r="M948"/>
      <c r="N948"/>
      <c r="O948"/>
      <c r="P948"/>
      <c r="Q948"/>
      <c r="R948"/>
      <c r="S948"/>
      <c r="T948"/>
      <c r="U948"/>
      <c r="V948"/>
      <c r="W948"/>
      <c r="X948"/>
      <c r="Y948"/>
      <c r="Z948"/>
      <c r="AA948"/>
      <c r="AB948"/>
      <c r="AC948"/>
      <c r="AD948"/>
      <c r="AE948"/>
      <c r="AF948"/>
      <c r="AG948"/>
      <c r="AH948"/>
      <c r="AI948"/>
      <c r="AJ948"/>
      <c r="AK948"/>
      <c r="AL948"/>
      <c r="AM948"/>
      <c r="AN948"/>
    </row>
    <row r="949" spans="1:40" ht="15" customHeight="1">
      <c r="A949"/>
      <c r="B949"/>
      <c r="C949"/>
      <c r="D949"/>
      <c r="E949"/>
      <c r="F949"/>
      <c r="G949"/>
      <c r="H949"/>
      <c r="I949"/>
      <c r="J949"/>
      <c r="K949"/>
      <c r="L949"/>
      <c r="M949"/>
      <c r="N949"/>
      <c r="O949"/>
      <c r="P949"/>
      <c r="Q949"/>
      <c r="R949"/>
      <c r="S949"/>
      <c r="T949"/>
      <c r="U949"/>
      <c r="V949"/>
      <c r="W949"/>
      <c r="X949"/>
      <c r="Y949"/>
      <c r="Z949"/>
      <c r="AA949"/>
      <c r="AB949"/>
      <c r="AC949"/>
      <c r="AD949"/>
      <c r="AE949"/>
      <c r="AF949"/>
      <c r="AG949"/>
      <c r="AH949"/>
      <c r="AI949"/>
      <c r="AJ949"/>
      <c r="AK949"/>
      <c r="AL949"/>
      <c r="AM949"/>
      <c r="AN949"/>
    </row>
    <row r="950" spans="1:40" ht="15" customHeight="1">
      <c r="A950"/>
      <c r="B950"/>
      <c r="C950"/>
      <c r="D950"/>
      <c r="E950"/>
      <c r="F950"/>
      <c r="G950"/>
      <c r="H950"/>
      <c r="I950"/>
      <c r="J950"/>
      <c r="K950"/>
      <c r="L950"/>
      <c r="M950"/>
      <c r="N950"/>
      <c r="O950"/>
      <c r="P950"/>
      <c r="Q950"/>
      <c r="R950"/>
      <c r="S950"/>
      <c r="T950"/>
      <c r="U950"/>
      <c r="V950"/>
      <c r="W950"/>
      <c r="X950"/>
      <c r="Y950"/>
      <c r="Z950"/>
      <c r="AA950"/>
      <c r="AB950"/>
      <c r="AC950"/>
      <c r="AD950"/>
      <c r="AE950"/>
      <c r="AF950"/>
      <c r="AG950"/>
      <c r="AH950"/>
      <c r="AI950"/>
      <c r="AJ950"/>
      <c r="AK950"/>
      <c r="AL950"/>
      <c r="AM950"/>
      <c r="AN950"/>
    </row>
    <row r="951" spans="1:40" ht="15" customHeight="1">
      <c r="A951"/>
      <c r="B951"/>
      <c r="C951"/>
      <c r="D951"/>
      <c r="E951"/>
      <c r="F951"/>
      <c r="G951"/>
      <c r="H951"/>
      <c r="I951"/>
      <c r="J951"/>
      <c r="K951"/>
      <c r="L951"/>
      <c r="M951"/>
      <c r="N951"/>
      <c r="O951"/>
      <c r="P951"/>
      <c r="Q951"/>
      <c r="R951"/>
      <c r="S951"/>
      <c r="T951"/>
      <c r="U951"/>
      <c r="V951"/>
      <c r="W951"/>
      <c r="X951"/>
      <c r="Y951"/>
      <c r="Z951"/>
      <c r="AA951"/>
      <c r="AB951"/>
      <c r="AC951"/>
      <c r="AD951"/>
      <c r="AE951"/>
      <c r="AF951"/>
      <c r="AG951"/>
      <c r="AH951"/>
      <c r="AI951"/>
      <c r="AJ951"/>
      <c r="AK951"/>
      <c r="AL951"/>
      <c r="AM951"/>
      <c r="AN951"/>
    </row>
    <row r="952" spans="1:40" ht="15" customHeight="1">
      <c r="A952"/>
      <c r="B952"/>
      <c r="C952"/>
      <c r="D952"/>
      <c r="E952"/>
      <c r="F952"/>
      <c r="G952"/>
      <c r="H952"/>
      <c r="I952"/>
      <c r="J952"/>
      <c r="K952"/>
      <c r="L952"/>
      <c r="M952"/>
      <c r="N952"/>
      <c r="O952"/>
      <c r="P952"/>
      <c r="Q952"/>
      <c r="R952"/>
      <c r="S952"/>
      <c r="T952"/>
      <c r="U952"/>
      <c r="V952"/>
      <c r="W952"/>
      <c r="X952"/>
      <c r="Y952"/>
      <c r="Z952"/>
      <c r="AA952"/>
      <c r="AB952"/>
      <c r="AC952"/>
      <c r="AD952"/>
      <c r="AE952"/>
      <c r="AF952"/>
      <c r="AG952"/>
      <c r="AH952"/>
      <c r="AI952"/>
      <c r="AJ952"/>
      <c r="AK952"/>
      <c r="AL952"/>
      <c r="AM952"/>
      <c r="AN952"/>
    </row>
    <row r="953" spans="1:40" ht="15" customHeight="1">
      <c r="A953"/>
      <c r="B953"/>
      <c r="C953"/>
      <c r="D953"/>
      <c r="E953"/>
      <c r="F953"/>
      <c r="G953"/>
      <c r="H953"/>
      <c r="I953"/>
      <c r="J953"/>
      <c r="K953"/>
      <c r="L953"/>
      <c r="M953"/>
      <c r="N953"/>
      <c r="O953"/>
      <c r="P953"/>
      <c r="Q953"/>
      <c r="R953"/>
      <c r="S953"/>
      <c r="T953"/>
      <c r="U953"/>
      <c r="V953"/>
      <c r="W953"/>
      <c r="X953"/>
      <c r="Y953"/>
      <c r="Z953"/>
      <c r="AA953"/>
      <c r="AB953"/>
      <c r="AC953"/>
      <c r="AD953"/>
      <c r="AE953"/>
      <c r="AF953"/>
      <c r="AG953"/>
      <c r="AH953"/>
      <c r="AI953"/>
      <c r="AJ953"/>
      <c r="AK953"/>
      <c r="AL953"/>
      <c r="AM953"/>
      <c r="AN953"/>
    </row>
    <row r="954" spans="1:40" ht="15" customHeight="1">
      <c r="A954"/>
      <c r="B954"/>
      <c r="C954"/>
      <c r="D954"/>
      <c r="E954"/>
      <c r="F954"/>
      <c r="G954"/>
      <c r="H954"/>
      <c r="I954"/>
      <c r="J954"/>
      <c r="K954"/>
      <c r="L954"/>
      <c r="M954"/>
      <c r="N954"/>
      <c r="O954"/>
      <c r="P954"/>
      <c r="Q954"/>
      <c r="R954"/>
      <c r="S954"/>
      <c r="T954"/>
      <c r="U954"/>
      <c r="V954"/>
      <c r="W954"/>
      <c r="X954"/>
      <c r="Y954"/>
      <c r="Z954"/>
      <c r="AA954"/>
      <c r="AB954"/>
      <c r="AC954"/>
      <c r="AD954"/>
      <c r="AE954"/>
      <c r="AF954"/>
      <c r="AG954"/>
      <c r="AH954"/>
      <c r="AI954"/>
      <c r="AJ954"/>
      <c r="AK954"/>
      <c r="AL954"/>
      <c r="AM954"/>
      <c r="AN954"/>
    </row>
    <row r="955" spans="1:40" ht="15" customHeight="1">
      <c r="A955"/>
      <c r="B955"/>
      <c r="C955"/>
      <c r="D955"/>
      <c r="E955"/>
      <c r="F955"/>
      <c r="G955"/>
      <c r="H955"/>
      <c r="I955"/>
      <c r="J955"/>
      <c r="K955"/>
      <c r="L955"/>
      <c r="M955"/>
      <c r="N955"/>
      <c r="O955"/>
      <c r="P955"/>
      <c r="Q955"/>
      <c r="R955"/>
      <c r="S955"/>
      <c r="T955"/>
      <c r="U955"/>
      <c r="V955"/>
      <c r="W955"/>
      <c r="X955"/>
      <c r="Y955"/>
      <c r="Z955"/>
      <c r="AA955"/>
      <c r="AB955"/>
      <c r="AC955"/>
      <c r="AD955"/>
      <c r="AE955"/>
      <c r="AF955"/>
      <c r="AG955"/>
      <c r="AH955"/>
      <c r="AI955"/>
      <c r="AJ955"/>
      <c r="AK955"/>
      <c r="AL955"/>
      <c r="AM955"/>
      <c r="AN955"/>
    </row>
    <row r="956" spans="1:40" ht="15" customHeight="1">
      <c r="A956"/>
      <c r="B956"/>
      <c r="C956"/>
      <c r="D956"/>
      <c r="E956"/>
      <c r="F956"/>
      <c r="G956"/>
      <c r="H956"/>
      <c r="I956"/>
      <c r="J956"/>
      <c r="K956"/>
      <c r="L956"/>
      <c r="M956"/>
      <c r="N956"/>
      <c r="O956"/>
      <c r="P956"/>
      <c r="Q956"/>
      <c r="R956"/>
      <c r="S956"/>
      <c r="T956"/>
      <c r="U956"/>
      <c r="V956"/>
      <c r="W956"/>
      <c r="X956"/>
      <c r="Y956"/>
      <c r="Z956"/>
      <c r="AA956"/>
      <c r="AB956"/>
      <c r="AC956"/>
      <c r="AD956"/>
      <c r="AE956"/>
      <c r="AF956"/>
      <c r="AG956"/>
      <c r="AH956"/>
      <c r="AI956"/>
      <c r="AJ956"/>
      <c r="AK956"/>
      <c r="AL956"/>
      <c r="AM956"/>
      <c r="AN956"/>
    </row>
    <row r="957" spans="1:40" ht="15" customHeight="1">
      <c r="A957"/>
      <c r="B957"/>
      <c r="C957"/>
      <c r="D957"/>
      <c r="E957"/>
      <c r="F957"/>
      <c r="G957"/>
      <c r="H957"/>
      <c r="I957"/>
      <c r="J957"/>
      <c r="K957"/>
      <c r="L957"/>
      <c r="M957"/>
      <c r="N957"/>
      <c r="O957"/>
      <c r="P957"/>
      <c r="Q957"/>
      <c r="R957"/>
      <c r="S957"/>
      <c r="T957"/>
      <c r="U957"/>
      <c r="V957"/>
      <c r="W957"/>
      <c r="X957"/>
      <c r="Y957"/>
      <c r="Z957"/>
      <c r="AA957"/>
      <c r="AB957"/>
      <c r="AC957"/>
      <c r="AD957"/>
      <c r="AE957"/>
      <c r="AF957"/>
      <c r="AG957"/>
      <c r="AH957"/>
      <c r="AI957"/>
      <c r="AJ957"/>
      <c r="AK957"/>
      <c r="AL957"/>
      <c r="AM957"/>
      <c r="AN957"/>
    </row>
    <row r="958" spans="1:40" ht="15" customHeight="1">
      <c r="A958"/>
      <c r="B958"/>
      <c r="C958"/>
      <c r="D958"/>
      <c r="E958"/>
      <c r="F958"/>
      <c r="G958"/>
      <c r="H958"/>
      <c r="I958"/>
      <c r="J958"/>
      <c r="K958"/>
      <c r="L958"/>
      <c r="M958"/>
      <c r="N958"/>
      <c r="O958"/>
      <c r="P958"/>
      <c r="Q958"/>
      <c r="R958"/>
      <c r="S958"/>
      <c r="T958"/>
      <c r="U958"/>
      <c r="V958"/>
      <c r="W958"/>
      <c r="X958"/>
      <c r="Y958"/>
      <c r="Z958"/>
      <c r="AA958"/>
      <c r="AB958"/>
      <c r="AC958"/>
      <c r="AD958"/>
      <c r="AE958"/>
      <c r="AF958"/>
      <c r="AG958"/>
      <c r="AH958"/>
      <c r="AI958"/>
      <c r="AJ958"/>
      <c r="AK958"/>
      <c r="AL958"/>
      <c r="AM958"/>
      <c r="AN958"/>
    </row>
    <row r="959" spans="1:40" ht="15" customHeight="1">
      <c r="A959"/>
      <c r="B959"/>
      <c r="C959"/>
      <c r="D959"/>
      <c r="E959"/>
      <c r="F959"/>
      <c r="G959"/>
      <c r="H959"/>
      <c r="I959"/>
      <c r="J959"/>
      <c r="K959"/>
      <c r="L959"/>
      <c r="M959"/>
      <c r="N959"/>
      <c r="O959"/>
      <c r="P959"/>
      <c r="Q959"/>
      <c r="R959"/>
      <c r="S959"/>
      <c r="T959"/>
      <c r="U959"/>
      <c r="V959"/>
      <c r="W959"/>
      <c r="X959"/>
      <c r="Y959"/>
      <c r="Z959"/>
      <c r="AA959"/>
      <c r="AB959"/>
      <c r="AC959"/>
      <c r="AD959"/>
      <c r="AE959"/>
      <c r="AF959"/>
      <c r="AG959"/>
      <c r="AH959"/>
      <c r="AI959"/>
      <c r="AJ959"/>
      <c r="AK959"/>
      <c r="AL959"/>
      <c r="AM959"/>
      <c r="AN959"/>
    </row>
    <row r="960" spans="1:40" ht="15" customHeight="1">
      <c r="A960"/>
      <c r="B960"/>
      <c r="C960"/>
      <c r="D960"/>
      <c r="E960"/>
      <c r="F960"/>
      <c r="G960"/>
      <c r="H960"/>
      <c r="I960"/>
      <c r="J960"/>
      <c r="K960"/>
      <c r="L960"/>
      <c r="M960"/>
      <c r="N960"/>
      <c r="O960"/>
      <c r="P960"/>
      <c r="Q960"/>
      <c r="R960"/>
      <c r="S960"/>
      <c r="T960"/>
      <c r="U960"/>
      <c r="V960"/>
      <c r="W960"/>
      <c r="X960"/>
      <c r="Y960"/>
      <c r="Z960"/>
      <c r="AA960"/>
      <c r="AB960"/>
      <c r="AC960"/>
      <c r="AD960"/>
      <c r="AE960"/>
      <c r="AF960"/>
      <c r="AG960"/>
      <c r="AH960"/>
      <c r="AI960"/>
      <c r="AJ960"/>
      <c r="AK960"/>
      <c r="AL960"/>
      <c r="AM960"/>
      <c r="AN960"/>
    </row>
    <row r="961" spans="1:40" ht="15" customHeight="1">
      <c r="A961"/>
      <c r="B961"/>
      <c r="C961"/>
      <c r="D961"/>
      <c r="E961"/>
      <c r="F961"/>
      <c r="G961"/>
      <c r="H961"/>
      <c r="I961"/>
      <c r="J961"/>
      <c r="K961"/>
      <c r="L961"/>
      <c r="M961"/>
      <c r="N961"/>
      <c r="O961"/>
      <c r="P961"/>
      <c r="Q961"/>
      <c r="R961"/>
      <c r="S961"/>
      <c r="T961"/>
      <c r="U961"/>
      <c r="V961"/>
      <c r="W961"/>
      <c r="X961"/>
      <c r="Y961"/>
      <c r="Z961"/>
      <c r="AA961"/>
      <c r="AB961"/>
      <c r="AC961"/>
      <c r="AD961"/>
      <c r="AE961"/>
      <c r="AF961"/>
      <c r="AG961"/>
      <c r="AH961"/>
      <c r="AI961"/>
      <c r="AJ961"/>
      <c r="AK961"/>
      <c r="AL961"/>
      <c r="AM961"/>
      <c r="AN961"/>
    </row>
    <row r="962" spans="1:40" ht="15" customHeight="1">
      <c r="A962"/>
      <c r="B962"/>
      <c r="C962"/>
      <c r="D962"/>
      <c r="E962"/>
      <c r="F962"/>
      <c r="G962"/>
      <c r="H962"/>
      <c r="I962"/>
      <c r="J962"/>
      <c r="K962"/>
      <c r="L962"/>
      <c r="M962"/>
      <c r="N962"/>
      <c r="O962"/>
      <c r="P962"/>
      <c r="Q962"/>
      <c r="R962"/>
      <c r="S962"/>
      <c r="T962"/>
      <c r="U962"/>
      <c r="V962"/>
      <c r="W962"/>
      <c r="X962"/>
      <c r="Y962"/>
      <c r="Z962"/>
      <c r="AA962"/>
      <c r="AB962"/>
      <c r="AC962"/>
      <c r="AD962"/>
      <c r="AE962"/>
      <c r="AF962"/>
      <c r="AG962"/>
      <c r="AH962"/>
      <c r="AI962"/>
      <c r="AJ962"/>
      <c r="AK962"/>
      <c r="AL962"/>
      <c r="AM962"/>
      <c r="AN962"/>
    </row>
    <row r="963" spans="1:40" ht="15" customHeight="1">
      <c r="A963"/>
      <c r="B963"/>
      <c r="C963"/>
      <c r="D963"/>
      <c r="E963"/>
      <c r="F963"/>
      <c r="G963"/>
      <c r="H963"/>
      <c r="I963"/>
      <c r="J963"/>
      <c r="K963"/>
      <c r="L963"/>
      <c r="M963"/>
      <c r="N963"/>
      <c r="O963"/>
      <c r="P963"/>
      <c r="Q963"/>
      <c r="R963"/>
      <c r="S963"/>
      <c r="T963"/>
      <c r="U963"/>
      <c r="V963"/>
      <c r="W963"/>
      <c r="X963"/>
      <c r="Y963"/>
      <c r="Z963"/>
      <c r="AA963"/>
      <c r="AB963"/>
      <c r="AC963"/>
      <c r="AD963"/>
      <c r="AE963"/>
      <c r="AF963"/>
      <c r="AG963"/>
      <c r="AH963"/>
      <c r="AI963"/>
      <c r="AJ963"/>
      <c r="AK963"/>
      <c r="AL963"/>
      <c r="AM963"/>
      <c r="AN963"/>
    </row>
    <row r="964" spans="1:40" ht="15" customHeight="1">
      <c r="A964"/>
      <c r="B964"/>
      <c r="C964"/>
      <c r="D964"/>
      <c r="E964"/>
      <c r="F964"/>
      <c r="G964"/>
      <c r="H964"/>
      <c r="I964"/>
      <c r="J964"/>
      <c r="K964"/>
      <c r="L964"/>
      <c r="M964"/>
      <c r="N964"/>
      <c r="O964"/>
      <c r="P964"/>
      <c r="Q964"/>
      <c r="R964"/>
      <c r="S964"/>
      <c r="T964"/>
      <c r="U964"/>
      <c r="V964"/>
      <c r="W964"/>
      <c r="X964"/>
      <c r="Y964"/>
      <c r="Z964"/>
      <c r="AA964"/>
      <c r="AB964"/>
      <c r="AC964"/>
      <c r="AD964"/>
      <c r="AE964"/>
      <c r="AF964"/>
      <c r="AG964"/>
      <c r="AH964"/>
      <c r="AI964"/>
      <c r="AJ964"/>
      <c r="AK964"/>
      <c r="AL964"/>
      <c r="AM964"/>
      <c r="AN964"/>
    </row>
    <row r="965" spans="1:40" ht="15" customHeight="1">
      <c r="A965"/>
      <c r="B965"/>
      <c r="C965"/>
      <c r="D965"/>
      <c r="E965"/>
      <c r="F965"/>
      <c r="G965"/>
      <c r="H965"/>
      <c r="I965"/>
      <c r="J965"/>
      <c r="K965"/>
      <c r="L965"/>
      <c r="M965"/>
      <c r="N965"/>
      <c r="O965"/>
      <c r="P965"/>
      <c r="Q965"/>
      <c r="R965"/>
      <c r="S965"/>
      <c r="T965"/>
      <c r="U965"/>
      <c r="V965"/>
      <c r="W965"/>
      <c r="X965"/>
      <c r="Y965"/>
      <c r="Z965"/>
      <c r="AA965"/>
      <c r="AB965"/>
      <c r="AC965"/>
      <c r="AD965"/>
      <c r="AE965"/>
      <c r="AF965"/>
      <c r="AG965"/>
      <c r="AH965"/>
      <c r="AI965"/>
      <c r="AJ965"/>
      <c r="AK965"/>
      <c r="AL965"/>
      <c r="AM965"/>
      <c r="AN965"/>
    </row>
    <row r="966" spans="1:40" ht="15" customHeight="1">
      <c r="A966"/>
      <c r="B966"/>
      <c r="C966"/>
      <c r="D966"/>
      <c r="E966"/>
      <c r="F966"/>
      <c r="G966"/>
      <c r="H966"/>
      <c r="I966"/>
      <c r="J966"/>
      <c r="K966"/>
      <c r="L966"/>
      <c r="M966"/>
      <c r="N966"/>
      <c r="O966"/>
      <c r="P966"/>
      <c r="Q966"/>
      <c r="R966"/>
      <c r="S966"/>
      <c r="T966"/>
      <c r="U966"/>
      <c r="V966"/>
      <c r="W966"/>
      <c r="X966"/>
      <c r="Y966"/>
      <c r="Z966"/>
      <c r="AA966"/>
      <c r="AB966"/>
      <c r="AC966"/>
      <c r="AD966"/>
      <c r="AE966"/>
      <c r="AF966"/>
      <c r="AG966"/>
      <c r="AH966"/>
      <c r="AI966"/>
      <c r="AJ966"/>
      <c r="AK966"/>
      <c r="AL966"/>
      <c r="AM966"/>
      <c r="AN966"/>
    </row>
    <row r="967" spans="1:40" ht="15" customHeight="1">
      <c r="A967"/>
      <c r="B967"/>
      <c r="C967"/>
      <c r="D967"/>
      <c r="E967"/>
      <c r="F967"/>
      <c r="G967"/>
      <c r="H967"/>
      <c r="I967"/>
      <c r="J967"/>
      <c r="K967"/>
      <c r="L967"/>
      <c r="M967"/>
      <c r="N967"/>
      <c r="O967"/>
      <c r="P967"/>
      <c r="Q967"/>
      <c r="R967"/>
      <c r="S967"/>
      <c r="T967"/>
      <c r="U967"/>
      <c r="V967"/>
      <c r="W967"/>
      <c r="X967"/>
      <c r="Y967"/>
      <c r="Z967"/>
      <c r="AA967"/>
      <c r="AB967"/>
      <c r="AC967"/>
      <c r="AD967"/>
      <c r="AE967"/>
      <c r="AF967"/>
      <c r="AG967"/>
      <c r="AH967"/>
      <c r="AI967"/>
      <c r="AJ967"/>
      <c r="AK967"/>
      <c r="AL967"/>
      <c r="AM967"/>
      <c r="AN967"/>
    </row>
    <row r="968" spans="1:40" ht="15" customHeight="1">
      <c r="A968"/>
      <c r="B968"/>
      <c r="C968"/>
      <c r="D968"/>
      <c r="E968"/>
      <c r="F968"/>
      <c r="G968"/>
      <c r="H968"/>
      <c r="I968"/>
      <c r="J968"/>
      <c r="K968"/>
      <c r="L968"/>
      <c r="M968"/>
      <c r="N968"/>
      <c r="O968"/>
      <c r="P968"/>
      <c r="Q968"/>
      <c r="R968"/>
      <c r="S968"/>
      <c r="T968"/>
      <c r="U968"/>
      <c r="V968"/>
      <c r="W968"/>
      <c r="X968"/>
      <c r="Y968"/>
      <c r="Z968"/>
      <c r="AA968"/>
      <c r="AB968"/>
      <c r="AC968"/>
      <c r="AD968"/>
      <c r="AE968"/>
      <c r="AF968"/>
      <c r="AG968"/>
      <c r="AH968"/>
      <c r="AI968"/>
      <c r="AJ968"/>
      <c r="AK968"/>
      <c r="AL968"/>
      <c r="AM968"/>
      <c r="AN968"/>
    </row>
    <row r="969" spans="1:40" ht="15" customHeight="1">
      <c r="A969"/>
      <c r="B969"/>
      <c r="C969"/>
      <c r="D969"/>
      <c r="E969"/>
      <c r="F969"/>
      <c r="G969"/>
      <c r="H969"/>
      <c r="I969"/>
      <c r="J969"/>
      <c r="K969"/>
      <c r="L969"/>
      <c r="M969"/>
      <c r="N969"/>
      <c r="O969"/>
      <c r="P969"/>
      <c r="Q969"/>
      <c r="R969"/>
      <c r="S969"/>
      <c r="T969"/>
      <c r="U969"/>
      <c r="V969"/>
      <c r="W969"/>
      <c r="X969"/>
      <c r="Y969"/>
      <c r="Z969"/>
      <c r="AA969"/>
      <c r="AB969"/>
      <c r="AC969"/>
      <c r="AD969"/>
      <c r="AE969"/>
      <c r="AF969"/>
      <c r="AG969"/>
      <c r="AH969"/>
      <c r="AI969"/>
      <c r="AJ969"/>
      <c r="AK969"/>
      <c r="AL969"/>
      <c r="AM969"/>
      <c r="AN969"/>
    </row>
    <row r="970" spans="1:40" ht="15" customHeight="1">
      <c r="A970"/>
      <c r="B970"/>
      <c r="C970"/>
      <c r="D970"/>
      <c r="E970"/>
      <c r="F970"/>
      <c r="G970"/>
      <c r="H970"/>
      <c r="I970"/>
      <c r="J970"/>
      <c r="K970"/>
      <c r="L970"/>
      <c r="M970"/>
      <c r="N970"/>
      <c r="O970"/>
      <c r="P970"/>
      <c r="Q970"/>
      <c r="R970"/>
      <c r="S970"/>
      <c r="T970"/>
      <c r="U970"/>
      <c r="V970"/>
      <c r="W970"/>
      <c r="X970"/>
      <c r="Y970"/>
      <c r="Z970"/>
      <c r="AA970"/>
      <c r="AB970"/>
      <c r="AC970"/>
      <c r="AD970"/>
      <c r="AE970"/>
      <c r="AF970"/>
      <c r="AG970"/>
      <c r="AH970"/>
      <c r="AI970"/>
      <c r="AJ970"/>
      <c r="AK970"/>
      <c r="AL970"/>
      <c r="AM970"/>
      <c r="AN970"/>
    </row>
    <row r="971" spans="1:40" ht="15" customHeight="1">
      <c r="A971"/>
      <c r="B971"/>
      <c r="C971"/>
      <c r="D971"/>
      <c r="E971"/>
      <c r="F971"/>
      <c r="G971"/>
      <c r="H971"/>
      <c r="I971"/>
      <c r="J971"/>
      <c r="K971"/>
      <c r="L971"/>
      <c r="M971"/>
      <c r="N971"/>
      <c r="O971"/>
      <c r="P971"/>
      <c r="Q971"/>
      <c r="R971"/>
      <c r="S971"/>
      <c r="T971"/>
      <c r="U971"/>
      <c r="V971"/>
      <c r="W971"/>
      <c r="X971"/>
      <c r="Y971"/>
      <c r="Z971"/>
      <c r="AA971"/>
      <c r="AB971"/>
      <c r="AC971"/>
      <c r="AD971"/>
      <c r="AE971"/>
      <c r="AF971"/>
      <c r="AG971"/>
      <c r="AH971"/>
      <c r="AI971"/>
      <c r="AJ971"/>
      <c r="AK971"/>
      <c r="AL971"/>
      <c r="AM971"/>
      <c r="AN971"/>
    </row>
    <row r="972" spans="1:40" ht="15" customHeight="1">
      <c r="A972"/>
      <c r="B972"/>
      <c r="C972"/>
      <c r="D972"/>
      <c r="E972"/>
      <c r="F972"/>
      <c r="G972"/>
      <c r="H972"/>
      <c r="I972"/>
      <c r="J972"/>
      <c r="K972"/>
      <c r="L972"/>
      <c r="M972"/>
      <c r="N972"/>
      <c r="O972"/>
      <c r="P972"/>
      <c r="Q972"/>
      <c r="R972"/>
      <c r="S972"/>
      <c r="T972"/>
      <c r="U972"/>
      <c r="V972"/>
      <c r="W972"/>
      <c r="X972"/>
      <c r="Y972"/>
      <c r="Z972"/>
      <c r="AA972"/>
      <c r="AB972"/>
      <c r="AC972"/>
      <c r="AD972"/>
      <c r="AE972"/>
      <c r="AF972"/>
      <c r="AG972"/>
      <c r="AH972"/>
      <c r="AI972"/>
      <c r="AJ972"/>
      <c r="AK972"/>
      <c r="AL972"/>
      <c r="AM972"/>
      <c r="AN972"/>
    </row>
    <row r="973" spans="1:40" ht="15" customHeight="1">
      <c r="A973"/>
      <c r="B973"/>
      <c r="C973"/>
      <c r="D973"/>
      <c r="E973"/>
      <c r="F973"/>
      <c r="G973"/>
      <c r="H973"/>
      <c r="I973"/>
      <c r="J973"/>
      <c r="K973"/>
      <c r="L973"/>
      <c r="M973"/>
      <c r="N973"/>
      <c r="O973"/>
      <c r="P973"/>
      <c r="Q973"/>
      <c r="R973"/>
      <c r="S973"/>
      <c r="T973"/>
      <c r="U973"/>
      <c r="V973"/>
      <c r="W973"/>
      <c r="X973"/>
      <c r="Y973"/>
      <c r="Z973"/>
      <c r="AA973"/>
      <c r="AB973"/>
      <c r="AC973"/>
      <c r="AD973"/>
      <c r="AE973"/>
      <c r="AF973"/>
      <c r="AG973"/>
      <c r="AH973"/>
      <c r="AI973"/>
      <c r="AJ973"/>
      <c r="AK973"/>
      <c r="AL973"/>
      <c r="AM973"/>
      <c r="AN973"/>
    </row>
    <row r="974" spans="1:40" ht="15" customHeight="1">
      <c r="A974"/>
      <c r="B974"/>
      <c r="C974"/>
      <c r="D974"/>
      <c r="E974"/>
      <c r="F974"/>
      <c r="G974"/>
      <c r="H974"/>
      <c r="I974"/>
      <c r="J974"/>
      <c r="K974"/>
      <c r="L974"/>
      <c r="M974"/>
      <c r="N974"/>
      <c r="O974"/>
      <c r="P974"/>
      <c r="Q974"/>
      <c r="R974"/>
      <c r="S974"/>
      <c r="T974"/>
      <c r="U974"/>
      <c r="V974"/>
      <c r="W974"/>
      <c r="X974"/>
      <c r="Y974"/>
      <c r="Z974"/>
      <c r="AA974"/>
      <c r="AB974"/>
      <c r="AC974"/>
      <c r="AD974"/>
      <c r="AE974"/>
      <c r="AF974"/>
      <c r="AG974"/>
      <c r="AH974"/>
      <c r="AI974"/>
      <c r="AJ974"/>
      <c r="AK974"/>
      <c r="AL974"/>
      <c r="AM974"/>
      <c r="AN974"/>
    </row>
    <row r="975" spans="1:40" ht="15" customHeight="1">
      <c r="A975"/>
      <c r="B975"/>
      <c r="C975"/>
      <c r="D975"/>
      <c r="E975"/>
      <c r="F975"/>
      <c r="G975"/>
      <c r="H975"/>
      <c r="I975"/>
      <c r="J975"/>
      <c r="K975"/>
      <c r="L975"/>
      <c r="M975"/>
      <c r="N975"/>
      <c r="O975"/>
      <c r="P975"/>
      <c r="Q975"/>
      <c r="R975"/>
      <c r="S975"/>
      <c r="T975"/>
      <c r="U975"/>
      <c r="V975"/>
      <c r="W975"/>
      <c r="X975"/>
      <c r="Y975"/>
      <c r="Z975"/>
      <c r="AA975"/>
      <c r="AB975"/>
      <c r="AC975"/>
      <c r="AD975"/>
      <c r="AE975"/>
      <c r="AF975"/>
      <c r="AG975"/>
      <c r="AH975"/>
      <c r="AI975"/>
      <c r="AJ975"/>
      <c r="AK975"/>
      <c r="AL975"/>
      <c r="AM975"/>
      <c r="AN975"/>
    </row>
    <row r="976" spans="1:40" ht="15" customHeight="1">
      <c r="A976"/>
      <c r="B976"/>
      <c r="C976"/>
      <c r="D976"/>
      <c r="E976"/>
      <c r="F976"/>
      <c r="G976"/>
      <c r="H976"/>
      <c r="I976"/>
      <c r="J976"/>
      <c r="K976"/>
      <c r="L976"/>
      <c r="M976"/>
      <c r="N976"/>
      <c r="O976"/>
      <c r="P976"/>
      <c r="Q976"/>
      <c r="R976"/>
      <c r="S976"/>
      <c r="T976"/>
      <c r="U976"/>
      <c r="V976"/>
      <c r="W976"/>
      <c r="X976"/>
      <c r="Y976"/>
      <c r="Z976"/>
      <c r="AA976"/>
      <c r="AB976"/>
      <c r="AC976"/>
      <c r="AD976"/>
      <c r="AE976"/>
      <c r="AF976"/>
      <c r="AG976"/>
      <c r="AH976"/>
      <c r="AI976"/>
      <c r="AJ976"/>
      <c r="AK976"/>
      <c r="AL976"/>
      <c r="AM976"/>
      <c r="AN976"/>
    </row>
    <row r="977" spans="1:40" ht="15" customHeight="1">
      <c r="A977"/>
      <c r="B977"/>
      <c r="C977"/>
      <c r="D977"/>
      <c r="E977"/>
      <c r="F977"/>
      <c r="G977"/>
      <c r="H977"/>
      <c r="I977"/>
      <c r="J977"/>
      <c r="K977"/>
      <c r="L977"/>
      <c r="M977"/>
      <c r="N977"/>
      <c r="O977"/>
      <c r="P977"/>
      <c r="Q977"/>
      <c r="R977"/>
      <c r="S977"/>
      <c r="T977"/>
      <c r="U977"/>
      <c r="V977"/>
      <c r="W977"/>
      <c r="X977"/>
      <c r="Y977"/>
      <c r="Z977"/>
      <c r="AA977"/>
      <c r="AB977"/>
      <c r="AC977"/>
      <c r="AD977"/>
      <c r="AE977"/>
      <c r="AF977"/>
      <c r="AG977"/>
      <c r="AH977"/>
      <c r="AI977"/>
      <c r="AJ977"/>
      <c r="AK977"/>
      <c r="AL977"/>
      <c r="AM977"/>
      <c r="AN977"/>
    </row>
    <row r="978" spans="1:40" ht="15" customHeight="1">
      <c r="A978"/>
      <c r="B978"/>
      <c r="C978"/>
      <c r="D978"/>
      <c r="E978"/>
      <c r="F978"/>
      <c r="G978"/>
      <c r="H978"/>
      <c r="I978"/>
      <c r="J978"/>
      <c r="K978"/>
      <c r="L978"/>
      <c r="M978"/>
      <c r="N978"/>
      <c r="O978"/>
      <c r="P978"/>
      <c r="Q978"/>
      <c r="R978"/>
      <c r="S978"/>
      <c r="T978"/>
      <c r="U978"/>
      <c r="V978"/>
      <c r="W978"/>
      <c r="X978"/>
      <c r="Y978"/>
      <c r="Z978"/>
      <c r="AA978"/>
      <c r="AB978"/>
      <c r="AC978"/>
      <c r="AD978"/>
      <c r="AE978"/>
      <c r="AF978"/>
      <c r="AG978"/>
      <c r="AH978"/>
      <c r="AI978"/>
      <c r="AJ978"/>
      <c r="AK978"/>
      <c r="AL978"/>
      <c r="AM978"/>
      <c r="AN978"/>
    </row>
    <row r="979" spans="1:40" ht="15" customHeight="1">
      <c r="A979"/>
      <c r="B979"/>
      <c r="C979"/>
      <c r="D979"/>
      <c r="E979"/>
      <c r="F979"/>
      <c r="G979"/>
      <c r="H979"/>
      <c r="I979"/>
      <c r="J979"/>
      <c r="K979"/>
      <c r="L979"/>
      <c r="M979"/>
      <c r="N979"/>
      <c r="O979"/>
      <c r="P979"/>
      <c r="Q979"/>
      <c r="R979"/>
      <c r="S979"/>
      <c r="T979"/>
      <c r="U979"/>
      <c r="V979"/>
      <c r="W979"/>
      <c r="X979"/>
      <c r="Y979"/>
      <c r="Z979"/>
      <c r="AA979"/>
      <c r="AB979"/>
      <c r="AC979"/>
      <c r="AD979"/>
      <c r="AE979"/>
      <c r="AF979"/>
      <c r="AG979"/>
      <c r="AH979"/>
      <c r="AI979"/>
      <c r="AJ979"/>
      <c r="AK979"/>
      <c r="AL979"/>
      <c r="AM979"/>
      <c r="AN979"/>
    </row>
    <row r="980" spans="1:40" ht="15" customHeight="1">
      <c r="A980"/>
      <c r="B980"/>
      <c r="C980"/>
      <c r="D980"/>
      <c r="E980"/>
      <c r="F980"/>
      <c r="G980"/>
      <c r="H980"/>
      <c r="I980"/>
      <c r="J980"/>
      <c r="K980"/>
      <c r="L980"/>
      <c r="M980"/>
      <c r="N980"/>
      <c r="O980"/>
      <c r="P980"/>
      <c r="Q980"/>
      <c r="R980"/>
      <c r="S980"/>
      <c r="T980"/>
      <c r="U980"/>
      <c r="V980"/>
      <c r="W980"/>
      <c r="X980"/>
      <c r="Y980"/>
      <c r="Z980"/>
      <c r="AA980"/>
      <c r="AB980"/>
      <c r="AC980"/>
      <c r="AD980"/>
      <c r="AE980"/>
      <c r="AF980"/>
      <c r="AG980"/>
      <c r="AH980"/>
      <c r="AI980"/>
      <c r="AJ980"/>
      <c r="AK980"/>
      <c r="AL980"/>
      <c r="AM980"/>
      <c r="AN980"/>
    </row>
    <row r="981" spans="1:40" ht="15" customHeight="1">
      <c r="A981"/>
      <c r="B981"/>
      <c r="C981"/>
      <c r="D981"/>
      <c r="E981"/>
      <c r="F981"/>
      <c r="G981"/>
      <c r="H981"/>
      <c r="I981"/>
      <c r="J981"/>
      <c r="K981"/>
      <c r="L981"/>
      <c r="M981"/>
      <c r="N981"/>
      <c r="O981"/>
      <c r="P981"/>
      <c r="Q981"/>
      <c r="R981"/>
      <c r="S981"/>
      <c r="T981"/>
      <c r="U981"/>
      <c r="V981"/>
      <c r="W981"/>
      <c r="X981"/>
      <c r="Y981"/>
      <c r="Z981"/>
      <c r="AA981"/>
      <c r="AB981"/>
      <c r="AC981"/>
      <c r="AD981"/>
      <c r="AE981"/>
      <c r="AF981"/>
      <c r="AG981"/>
      <c r="AH981"/>
      <c r="AI981"/>
      <c r="AJ981"/>
      <c r="AK981"/>
      <c r="AL981"/>
      <c r="AM981"/>
      <c r="AN981"/>
    </row>
    <row r="982" spans="1:40" ht="15" customHeight="1">
      <c r="A982"/>
      <c r="B982"/>
      <c r="C982"/>
      <c r="D982"/>
      <c r="E982"/>
      <c r="F982"/>
      <c r="G982"/>
      <c r="H982"/>
      <c r="I982"/>
      <c r="J982"/>
      <c r="K982"/>
      <c r="L982"/>
      <c r="M982"/>
      <c r="N982"/>
      <c r="O982"/>
      <c r="P982"/>
      <c r="Q982"/>
      <c r="R982"/>
      <c r="S982"/>
      <c r="T982"/>
      <c r="U982"/>
      <c r="V982"/>
      <c r="W982"/>
      <c r="X982"/>
      <c r="Y982"/>
      <c r="Z982"/>
      <c r="AA982"/>
      <c r="AB982"/>
      <c r="AC982"/>
      <c r="AD982"/>
      <c r="AE982"/>
      <c r="AF982"/>
      <c r="AG982"/>
      <c r="AH982"/>
      <c r="AI982"/>
      <c r="AJ982"/>
      <c r="AK982"/>
      <c r="AL982"/>
      <c r="AM982"/>
      <c r="AN982"/>
    </row>
    <row r="983" spans="1:40" ht="15" customHeight="1">
      <c r="A983"/>
      <c r="B983"/>
      <c r="C983"/>
      <c r="D983"/>
      <c r="E983"/>
      <c r="F983"/>
      <c r="G983"/>
      <c r="H983"/>
      <c r="I983"/>
      <c r="J983"/>
      <c r="K983"/>
      <c r="L983"/>
      <c r="M983"/>
      <c r="N983"/>
      <c r="O983"/>
      <c r="P983"/>
      <c r="Q983"/>
      <c r="R983"/>
      <c r="S983"/>
      <c r="T983"/>
      <c r="U983"/>
      <c r="V983"/>
      <c r="W983"/>
      <c r="X983"/>
      <c r="Y983"/>
      <c r="Z983"/>
      <c r="AA983"/>
      <c r="AB983"/>
      <c r="AC983"/>
      <c r="AD983"/>
      <c r="AE983"/>
      <c r="AF983"/>
      <c r="AG983"/>
      <c r="AH983"/>
      <c r="AI983"/>
      <c r="AJ983"/>
      <c r="AK983"/>
      <c r="AL983"/>
      <c r="AM983"/>
      <c r="AN983"/>
    </row>
    <row r="984" spans="1:40" ht="15" customHeight="1">
      <c r="A984"/>
      <c r="B984"/>
      <c r="C984"/>
      <c r="D984"/>
      <c r="E984"/>
      <c r="F984"/>
      <c r="G984"/>
      <c r="H984"/>
      <c r="I984"/>
      <c r="J984"/>
      <c r="K984"/>
      <c r="L984"/>
      <c r="M984"/>
      <c r="N984"/>
      <c r="O984"/>
      <c r="P984"/>
      <c r="Q984"/>
      <c r="R984"/>
      <c r="S984"/>
      <c r="T984"/>
      <c r="U984"/>
      <c r="V984"/>
      <c r="W984"/>
      <c r="X984"/>
      <c r="Y984"/>
      <c r="Z984"/>
      <c r="AA984"/>
      <c r="AB984"/>
      <c r="AC984"/>
      <c r="AD984"/>
      <c r="AE984"/>
      <c r="AF984"/>
      <c r="AG984"/>
      <c r="AH984"/>
      <c r="AI984"/>
      <c r="AJ984"/>
      <c r="AK984"/>
      <c r="AL984"/>
      <c r="AM984"/>
      <c r="AN984"/>
    </row>
    <row r="985" spans="1:40" ht="15" customHeight="1">
      <c r="A985"/>
      <c r="B985"/>
      <c r="C985"/>
      <c r="D985"/>
      <c r="E985"/>
      <c r="F985"/>
      <c r="G985"/>
      <c r="H985"/>
      <c r="I985"/>
      <c r="J985"/>
      <c r="K985"/>
      <c r="L985"/>
      <c r="M985"/>
      <c r="N985"/>
      <c r="O985"/>
      <c r="P985"/>
      <c r="Q985"/>
      <c r="R985"/>
      <c r="S985"/>
      <c r="T985"/>
      <c r="U985"/>
      <c r="V985"/>
      <c r="W985"/>
      <c r="X985"/>
      <c r="Y985"/>
      <c r="Z985"/>
      <c r="AA985"/>
      <c r="AB985"/>
      <c r="AC985"/>
      <c r="AD985"/>
      <c r="AE985"/>
      <c r="AF985"/>
      <c r="AG985"/>
      <c r="AH985"/>
      <c r="AI985"/>
      <c r="AJ985"/>
      <c r="AK985"/>
      <c r="AL985"/>
      <c r="AM985"/>
      <c r="AN985"/>
    </row>
    <row r="986" spans="1:40" ht="15" customHeight="1">
      <c r="A986"/>
      <c r="B986"/>
      <c r="C986"/>
      <c r="D986"/>
      <c r="E986"/>
      <c r="F986"/>
      <c r="G986"/>
      <c r="H986"/>
      <c r="I986"/>
      <c r="J986"/>
      <c r="K986"/>
      <c r="L986"/>
      <c r="M986"/>
      <c r="N986"/>
      <c r="O986"/>
      <c r="P986"/>
      <c r="Q986"/>
      <c r="R986"/>
      <c r="S986"/>
      <c r="T986"/>
      <c r="U986"/>
      <c r="V986"/>
      <c r="W986"/>
      <c r="X986"/>
      <c r="Y986"/>
      <c r="Z986"/>
      <c r="AA986"/>
      <c r="AB986"/>
      <c r="AC986"/>
      <c r="AD986"/>
      <c r="AE986"/>
      <c r="AF986"/>
      <c r="AG986"/>
      <c r="AH986"/>
      <c r="AI986"/>
      <c r="AJ986"/>
      <c r="AK986"/>
      <c r="AL986"/>
      <c r="AM986"/>
      <c r="AN986"/>
    </row>
    <row r="987" spans="1:40" ht="15" customHeight="1">
      <c r="A987"/>
      <c r="B987"/>
      <c r="C987"/>
      <c r="D987"/>
      <c r="E987"/>
      <c r="F987"/>
      <c r="G987"/>
      <c r="H987"/>
      <c r="I987"/>
      <c r="J987"/>
      <c r="K987"/>
      <c r="L987"/>
      <c r="M987"/>
      <c r="N987"/>
      <c r="O987"/>
      <c r="P987"/>
      <c r="Q987"/>
      <c r="R987"/>
      <c r="S987"/>
      <c r="T987"/>
      <c r="U987"/>
      <c r="V987"/>
      <c r="W987"/>
      <c r="X987"/>
      <c r="Y987"/>
      <c r="Z987"/>
      <c r="AA987"/>
      <c r="AB987"/>
      <c r="AC987"/>
      <c r="AD987"/>
      <c r="AE987"/>
      <c r="AF987"/>
      <c r="AG987"/>
      <c r="AH987"/>
      <c r="AI987"/>
      <c r="AJ987"/>
      <c r="AK987"/>
      <c r="AL987"/>
      <c r="AM987"/>
      <c r="AN987"/>
    </row>
    <row r="988" spans="1:40" ht="15" customHeight="1">
      <c r="A988"/>
      <c r="B988"/>
      <c r="C988"/>
      <c r="D988"/>
      <c r="E988"/>
      <c r="F988"/>
      <c r="G988"/>
      <c r="H988"/>
      <c r="I988"/>
      <c r="J988"/>
      <c r="K988"/>
      <c r="L988"/>
      <c r="M988"/>
      <c r="N988"/>
      <c r="O988"/>
      <c r="P988"/>
      <c r="Q988"/>
      <c r="R988"/>
      <c r="S988"/>
      <c r="T988"/>
      <c r="U988"/>
      <c r="V988"/>
      <c r="W988"/>
      <c r="X988"/>
      <c r="Y988"/>
      <c r="Z988"/>
      <c r="AA988"/>
      <c r="AB988"/>
      <c r="AC988"/>
      <c r="AD988"/>
      <c r="AE988"/>
      <c r="AF988"/>
      <c r="AG988"/>
      <c r="AH988"/>
      <c r="AI988"/>
      <c r="AJ988"/>
      <c r="AK988"/>
      <c r="AL988"/>
      <c r="AM988"/>
      <c r="AN988"/>
    </row>
    <row r="989" spans="1:40" ht="15" customHeight="1">
      <c r="A989"/>
      <c r="B989"/>
      <c r="C989"/>
      <c r="D989"/>
      <c r="E989"/>
      <c r="F989"/>
      <c r="G989"/>
      <c r="H989"/>
      <c r="I989"/>
      <c r="J989"/>
      <c r="K989"/>
      <c r="L989"/>
      <c r="M989"/>
      <c r="N989"/>
      <c r="O989"/>
      <c r="P989"/>
      <c r="Q989"/>
      <c r="R989"/>
      <c r="S989"/>
      <c r="T989"/>
      <c r="U989"/>
      <c r="V989"/>
      <c r="W989"/>
      <c r="X989"/>
      <c r="Y989"/>
      <c r="Z989"/>
      <c r="AA989"/>
      <c r="AB989"/>
      <c r="AC989"/>
      <c r="AD989"/>
      <c r="AE989"/>
      <c r="AF989"/>
      <c r="AG989"/>
      <c r="AH989"/>
      <c r="AI989"/>
      <c r="AJ989"/>
      <c r="AK989"/>
      <c r="AL989"/>
      <c r="AM989"/>
      <c r="AN989"/>
    </row>
    <row r="990" spans="1:40" ht="15" customHeight="1">
      <c r="A990"/>
      <c r="B990"/>
      <c r="C990"/>
      <c r="D990"/>
      <c r="E990"/>
      <c r="F990"/>
      <c r="G990"/>
      <c r="H990"/>
      <c r="I990"/>
      <c r="J990"/>
      <c r="K990"/>
      <c r="L990"/>
      <c r="M990"/>
      <c r="N990"/>
      <c r="O990"/>
      <c r="P990"/>
      <c r="Q990"/>
      <c r="R990"/>
      <c r="S990"/>
      <c r="T990"/>
      <c r="U990"/>
      <c r="V990"/>
      <c r="W990"/>
      <c r="X990"/>
      <c r="Y990"/>
      <c r="Z990"/>
      <c r="AA990"/>
      <c r="AB990"/>
      <c r="AC990"/>
      <c r="AD990"/>
      <c r="AE990"/>
      <c r="AF990"/>
      <c r="AG990"/>
      <c r="AH990"/>
      <c r="AI990"/>
      <c r="AJ990"/>
      <c r="AK990"/>
      <c r="AL990"/>
      <c r="AM990"/>
      <c r="AN990"/>
    </row>
    <row r="991" spans="1:40" ht="15" customHeight="1">
      <c r="A991"/>
      <c r="B991"/>
      <c r="C991"/>
      <c r="D991"/>
      <c r="E991"/>
      <c r="F991"/>
      <c r="G991"/>
      <c r="H991"/>
      <c r="I991"/>
      <c r="J991"/>
      <c r="K991"/>
      <c r="L991"/>
      <c r="M991"/>
      <c r="N991"/>
      <c r="O991"/>
      <c r="P991"/>
      <c r="Q991"/>
      <c r="R991"/>
      <c r="S991"/>
      <c r="T991"/>
      <c r="U991"/>
      <c r="V991"/>
      <c r="W991"/>
      <c r="X991"/>
      <c r="Y991"/>
      <c r="Z991"/>
      <c r="AA991"/>
      <c r="AB991"/>
      <c r="AC991"/>
      <c r="AD991"/>
      <c r="AE991"/>
      <c r="AF991"/>
      <c r="AG991"/>
      <c r="AH991"/>
      <c r="AI991"/>
      <c r="AJ991"/>
      <c r="AK991"/>
      <c r="AL991"/>
      <c r="AM991"/>
      <c r="AN991"/>
    </row>
    <row r="992" spans="1:40" ht="15" customHeight="1">
      <c r="A992"/>
      <c r="B992"/>
      <c r="C992"/>
      <c r="D992"/>
      <c r="E992"/>
      <c r="F992"/>
      <c r="G992"/>
      <c r="H992"/>
      <c r="I992"/>
      <c r="J992"/>
      <c r="K992"/>
      <c r="L992"/>
      <c r="M992"/>
      <c r="N992"/>
      <c r="O992"/>
      <c r="P992"/>
      <c r="Q992"/>
      <c r="R992"/>
      <c r="S992"/>
      <c r="T992"/>
      <c r="U992"/>
      <c r="V992"/>
      <c r="W992"/>
      <c r="X992"/>
      <c r="Y992"/>
      <c r="Z992"/>
      <c r="AA992"/>
      <c r="AB992"/>
      <c r="AC992"/>
      <c r="AD992"/>
      <c r="AE992"/>
      <c r="AF992"/>
      <c r="AG992"/>
      <c r="AH992"/>
      <c r="AI992"/>
      <c r="AJ992"/>
      <c r="AK992"/>
      <c r="AL992"/>
      <c r="AM992"/>
      <c r="AN992"/>
    </row>
    <row r="993" spans="1:40" ht="15" customHeight="1">
      <c r="A993"/>
      <c r="B993"/>
      <c r="C993"/>
      <c r="D993"/>
      <c r="E993"/>
      <c r="F993"/>
      <c r="G993"/>
      <c r="H993"/>
      <c r="I993"/>
      <c r="J993"/>
      <c r="K993"/>
      <c r="L993"/>
      <c r="M993"/>
      <c r="N993"/>
      <c r="O993"/>
      <c r="P993"/>
      <c r="Q993"/>
      <c r="R993"/>
      <c r="S993"/>
      <c r="T993"/>
      <c r="U993"/>
      <c r="V993"/>
      <c r="W993"/>
      <c r="X993"/>
      <c r="Y993"/>
      <c r="Z993"/>
      <c r="AA993"/>
      <c r="AB993"/>
      <c r="AC993"/>
      <c r="AD993"/>
      <c r="AE993"/>
      <c r="AF993"/>
      <c r="AG993"/>
      <c r="AH993"/>
      <c r="AI993"/>
      <c r="AJ993"/>
      <c r="AK993"/>
      <c r="AL993"/>
      <c r="AM993"/>
      <c r="AN993"/>
    </row>
    <row r="994" spans="1:40" ht="15" customHeight="1">
      <c r="A994"/>
      <c r="B994"/>
      <c r="C994"/>
      <c r="D994"/>
      <c r="E994"/>
      <c r="F994"/>
      <c r="G994"/>
      <c r="H994"/>
      <c r="I994"/>
      <c r="J994"/>
      <c r="K994"/>
      <c r="L994"/>
      <c r="M994"/>
      <c r="N994"/>
      <c r="O994"/>
      <c r="P994"/>
      <c r="Q994"/>
      <c r="R994"/>
      <c r="S994"/>
      <c r="T994"/>
      <c r="U994"/>
      <c r="V994"/>
      <c r="W994"/>
      <c r="X994"/>
      <c r="Y994"/>
      <c r="Z994"/>
      <c r="AA994"/>
      <c r="AB994"/>
      <c r="AC994"/>
      <c r="AD994"/>
      <c r="AE994"/>
      <c r="AF994"/>
      <c r="AG994"/>
      <c r="AH994"/>
      <c r="AI994"/>
      <c r="AJ994"/>
      <c r="AK994"/>
      <c r="AL994"/>
      <c r="AM994"/>
      <c r="AN994"/>
    </row>
    <row r="995" spans="1:40" ht="15" customHeight="1">
      <c r="A995"/>
      <c r="B995"/>
      <c r="C995"/>
      <c r="D995"/>
      <c r="E995"/>
      <c r="F995"/>
      <c r="G995"/>
      <c r="H995"/>
      <c r="I995"/>
      <c r="J995"/>
      <c r="K995"/>
      <c r="L995"/>
      <c r="M995"/>
      <c r="N995"/>
      <c r="O995"/>
      <c r="P995"/>
      <c r="Q995"/>
      <c r="R995"/>
      <c r="S995"/>
      <c r="T995"/>
      <c r="U995"/>
      <c r="V995"/>
      <c r="W995"/>
      <c r="X995"/>
      <c r="Y995"/>
      <c r="Z995"/>
      <c r="AA995"/>
      <c r="AB995"/>
      <c r="AC995"/>
      <c r="AD995"/>
      <c r="AE995"/>
      <c r="AF995"/>
      <c r="AG995"/>
      <c r="AH995"/>
      <c r="AI995"/>
      <c r="AJ995"/>
      <c r="AK995"/>
      <c r="AL995"/>
      <c r="AM995"/>
      <c r="AN995"/>
    </row>
    <row r="996" spans="1:40" ht="15" customHeight="1">
      <c r="A996"/>
      <c r="B996"/>
      <c r="C996"/>
      <c r="D996"/>
      <c r="E996"/>
      <c r="F996"/>
      <c r="G996"/>
      <c r="H996"/>
      <c r="I996"/>
      <c r="J996"/>
      <c r="K996"/>
      <c r="L996"/>
      <c r="M996"/>
      <c r="N996"/>
      <c r="O996"/>
      <c r="P996"/>
      <c r="Q996"/>
      <c r="R996"/>
      <c r="S996"/>
      <c r="T996"/>
      <c r="U996"/>
      <c r="V996"/>
      <c r="W996"/>
      <c r="X996"/>
      <c r="Y996"/>
      <c r="Z996"/>
      <c r="AA996"/>
      <c r="AB996"/>
      <c r="AC996"/>
      <c r="AD996"/>
      <c r="AE996"/>
      <c r="AF996"/>
      <c r="AG996"/>
      <c r="AH996"/>
      <c r="AI996"/>
      <c r="AJ996"/>
      <c r="AK996"/>
      <c r="AL996"/>
      <c r="AM996"/>
      <c r="AN996"/>
    </row>
    <row r="997" spans="1:40" ht="15" customHeight="1">
      <c r="A997"/>
      <c r="B997"/>
      <c r="C997"/>
      <c r="D997"/>
      <c r="E997"/>
      <c r="F997"/>
      <c r="G997"/>
      <c r="H997"/>
      <c r="I997"/>
      <c r="J997"/>
      <c r="K997"/>
      <c r="L997"/>
      <c r="M997"/>
      <c r="N997"/>
      <c r="O997"/>
      <c r="P997"/>
      <c r="Q997"/>
      <c r="R997"/>
      <c r="S997"/>
      <c r="T997"/>
      <c r="U997"/>
      <c r="V997"/>
      <c r="W997"/>
      <c r="X997"/>
      <c r="Y997"/>
      <c r="Z997"/>
      <c r="AA997"/>
      <c r="AB997"/>
      <c r="AC997"/>
      <c r="AD997"/>
      <c r="AE997"/>
      <c r="AF997"/>
      <c r="AG997"/>
      <c r="AH997"/>
      <c r="AI997"/>
      <c r="AJ997"/>
      <c r="AK997"/>
      <c r="AL997"/>
      <c r="AM997"/>
      <c r="AN997"/>
    </row>
    <row r="998" spans="1:40" ht="15" customHeight="1">
      <c r="A998"/>
      <c r="B998"/>
      <c r="C998"/>
      <c r="D998"/>
      <c r="E998"/>
      <c r="F998"/>
      <c r="G998"/>
      <c r="H998"/>
      <c r="I998"/>
      <c r="J998"/>
      <c r="K998"/>
      <c r="L998"/>
      <c r="M998"/>
      <c r="N998"/>
      <c r="O998"/>
      <c r="P998"/>
      <c r="Q998"/>
      <c r="R998"/>
      <c r="S998"/>
      <c r="T998"/>
      <c r="U998"/>
      <c r="V998"/>
      <c r="W998"/>
      <c r="X998"/>
      <c r="Y998"/>
      <c r="Z998"/>
      <c r="AA998"/>
      <c r="AB998"/>
      <c r="AC998"/>
      <c r="AD998"/>
      <c r="AE998"/>
      <c r="AF998"/>
      <c r="AG998"/>
      <c r="AH998"/>
      <c r="AI998"/>
      <c r="AJ998"/>
      <c r="AK998"/>
      <c r="AL998"/>
      <c r="AM998"/>
      <c r="AN998"/>
    </row>
    <row r="999" spans="1:40" ht="15" customHeight="1">
      <c r="A999"/>
      <c r="B999"/>
      <c r="C999"/>
      <c r="D999"/>
      <c r="E999"/>
      <c r="F999"/>
      <c r="G999"/>
      <c r="H999"/>
      <c r="I999"/>
      <c r="J999"/>
      <c r="K999"/>
      <c r="L999"/>
      <c r="M999"/>
      <c r="N999"/>
      <c r="O999"/>
      <c r="P999"/>
      <c r="Q999"/>
      <c r="R999"/>
      <c r="S999"/>
      <c r="T999"/>
      <c r="U999"/>
      <c r="V999"/>
      <c r="W999"/>
      <c r="X999"/>
      <c r="Y999"/>
      <c r="Z999"/>
      <c r="AA999"/>
      <c r="AB999"/>
      <c r="AC999"/>
      <c r="AD999"/>
      <c r="AE999"/>
      <c r="AF999"/>
      <c r="AG999"/>
      <c r="AH999"/>
      <c r="AI999"/>
      <c r="AJ999"/>
      <c r="AK999"/>
      <c r="AL999"/>
      <c r="AM999"/>
      <c r="AN999"/>
    </row>
    <row r="1000" spans="1:40" ht="15" customHeight="1">
      <c r="A1000"/>
      <c r="B1000"/>
      <c r="C1000"/>
      <c r="D1000"/>
      <c r="E1000"/>
      <c r="F1000"/>
      <c r="G1000"/>
      <c r="H1000"/>
      <c r="I1000"/>
      <c r="J1000"/>
      <c r="K1000"/>
      <c r="L1000"/>
      <c r="M1000"/>
      <c r="N1000"/>
      <c r="O1000"/>
      <c r="P1000"/>
      <c r="Q1000"/>
      <c r="R1000"/>
      <c r="S1000"/>
      <c r="T1000"/>
      <c r="U1000"/>
      <c r="V1000"/>
      <c r="W1000"/>
      <c r="X1000"/>
      <c r="Y1000"/>
      <c r="Z1000"/>
      <c r="AA1000"/>
      <c r="AB1000"/>
      <c r="AC1000"/>
      <c r="AD1000"/>
      <c r="AE1000"/>
      <c r="AF1000"/>
      <c r="AG1000"/>
      <c r="AH1000"/>
      <c r="AI1000"/>
      <c r="AJ1000"/>
      <c r="AK1000"/>
      <c r="AL1000"/>
      <c r="AM1000"/>
      <c r="AN1000"/>
    </row>
    <row r="1001" spans="1:40" ht="15" customHeight="1">
      <c r="A1001"/>
      <c r="B1001"/>
      <c r="C1001"/>
      <c r="D1001"/>
      <c r="E1001"/>
      <c r="F1001"/>
      <c r="G1001"/>
      <c r="H1001"/>
      <c r="I1001"/>
      <c r="J1001"/>
      <c r="K1001"/>
      <c r="L1001"/>
      <c r="M1001"/>
      <c r="N1001"/>
      <c r="O1001"/>
      <c r="P1001"/>
      <c r="Q1001"/>
      <c r="R1001"/>
      <c r="S1001"/>
      <c r="T1001"/>
      <c r="U1001"/>
      <c r="V1001"/>
      <c r="W1001"/>
      <c r="X1001"/>
      <c r="Y1001"/>
      <c r="Z1001"/>
      <c r="AA1001"/>
      <c r="AB1001"/>
      <c r="AC1001"/>
      <c r="AD1001"/>
      <c r="AE1001"/>
      <c r="AF1001"/>
      <c r="AG1001"/>
      <c r="AH1001"/>
      <c r="AI1001"/>
      <c r="AJ1001"/>
      <c r="AK1001"/>
      <c r="AL1001"/>
      <c r="AM1001"/>
      <c r="AN1001"/>
    </row>
    <row r="1002" spans="1:40" ht="15" customHeight="1">
      <c r="A1002"/>
      <c r="B1002"/>
      <c r="C1002"/>
      <c r="D1002"/>
      <c r="E1002"/>
      <c r="F1002"/>
      <c r="G1002"/>
      <c r="H1002"/>
      <c r="I1002"/>
      <c r="J1002"/>
      <c r="K1002"/>
      <c r="L1002"/>
      <c r="M1002"/>
      <c r="N1002"/>
      <c r="O1002"/>
      <c r="P1002"/>
      <c r="Q1002"/>
      <c r="R1002"/>
      <c r="S1002"/>
      <c r="T1002"/>
      <c r="U1002"/>
      <c r="V1002"/>
      <c r="W1002"/>
      <c r="X1002"/>
      <c r="Y1002"/>
      <c r="Z1002"/>
      <c r="AA1002"/>
      <c r="AB1002"/>
      <c r="AC1002"/>
      <c r="AD1002"/>
      <c r="AE1002"/>
      <c r="AF1002"/>
      <c r="AG1002"/>
      <c r="AH1002"/>
      <c r="AI1002"/>
      <c r="AJ1002"/>
      <c r="AK1002"/>
      <c r="AL1002"/>
      <c r="AM1002"/>
      <c r="AN1002"/>
    </row>
    <row r="1003" spans="1:40" ht="15" customHeight="1">
      <c r="A1003"/>
      <c r="B1003"/>
      <c r="C1003"/>
      <c r="D1003"/>
      <c r="E1003"/>
      <c r="F1003"/>
      <c r="G1003"/>
      <c r="H1003"/>
      <c r="I1003"/>
      <c r="J1003"/>
      <c r="K1003"/>
      <c r="L1003"/>
      <c r="M1003"/>
      <c r="N1003"/>
      <c r="O1003"/>
      <c r="P1003"/>
      <c r="Q1003"/>
      <c r="R1003"/>
      <c r="S1003"/>
      <c r="T1003"/>
      <c r="U1003"/>
      <c r="V1003"/>
      <c r="W1003"/>
      <c r="X1003"/>
      <c r="Y1003"/>
      <c r="Z1003"/>
      <c r="AA1003"/>
      <c r="AB1003"/>
      <c r="AC1003"/>
      <c r="AD1003"/>
      <c r="AE1003"/>
      <c r="AF1003"/>
      <c r="AG1003"/>
      <c r="AH1003"/>
      <c r="AI1003"/>
      <c r="AJ1003"/>
      <c r="AK1003"/>
      <c r="AL1003"/>
      <c r="AM1003"/>
      <c r="AN1003"/>
    </row>
    <row r="1004" spans="1:40" ht="15" customHeight="1">
      <c r="A1004"/>
      <c r="B1004"/>
      <c r="C1004"/>
      <c r="D1004"/>
      <c r="E1004"/>
      <c r="F1004"/>
      <c r="G1004"/>
      <c r="H1004"/>
      <c r="I1004"/>
      <c r="J1004"/>
      <c r="K1004"/>
      <c r="L1004"/>
      <c r="M1004"/>
      <c r="N1004"/>
      <c r="O1004"/>
      <c r="P1004"/>
      <c r="Q1004"/>
      <c r="R1004"/>
      <c r="S1004"/>
      <c r="T1004"/>
      <c r="U1004"/>
      <c r="V1004"/>
      <c r="W1004"/>
      <c r="X1004"/>
      <c r="Y1004"/>
      <c r="Z1004"/>
      <c r="AA1004"/>
      <c r="AB1004"/>
      <c r="AC1004"/>
      <c r="AD1004"/>
      <c r="AE1004"/>
      <c r="AF1004"/>
      <c r="AG1004"/>
      <c r="AH1004"/>
      <c r="AI1004"/>
      <c r="AJ1004"/>
      <c r="AK1004"/>
      <c r="AL1004"/>
      <c r="AM1004"/>
      <c r="AN1004"/>
    </row>
    <row r="1005" spans="1:40" ht="15" customHeight="1">
      <c r="A1005"/>
      <c r="B1005"/>
      <c r="C1005"/>
      <c r="D1005"/>
      <c r="E1005"/>
      <c r="F1005"/>
      <c r="G1005"/>
      <c r="H1005"/>
      <c r="I1005"/>
      <c r="J1005"/>
      <c r="K1005"/>
      <c r="L1005"/>
      <c r="M1005"/>
      <c r="N1005"/>
      <c r="O1005"/>
      <c r="P1005"/>
      <c r="Q1005"/>
      <c r="R1005"/>
      <c r="S1005"/>
      <c r="T1005"/>
      <c r="U1005"/>
      <c r="V1005"/>
      <c r="W1005"/>
      <c r="X1005"/>
      <c r="Y1005"/>
      <c r="Z1005"/>
      <c r="AA1005"/>
      <c r="AB1005"/>
      <c r="AC1005"/>
      <c r="AD1005"/>
      <c r="AE1005"/>
      <c r="AF1005"/>
      <c r="AG1005"/>
      <c r="AH1005"/>
      <c r="AI1005"/>
      <c r="AJ1005"/>
      <c r="AK1005"/>
      <c r="AL1005"/>
      <c r="AM1005"/>
      <c r="AN1005"/>
    </row>
    <row r="1006" spans="1:40" ht="15" customHeight="1">
      <c r="A1006"/>
      <c r="B1006"/>
      <c r="C1006"/>
      <c r="D1006"/>
      <c r="E1006"/>
      <c r="F1006"/>
      <c r="G1006"/>
      <c r="H1006"/>
      <c r="I1006"/>
      <c r="J1006"/>
      <c r="K1006"/>
      <c r="L1006"/>
      <c r="M1006"/>
      <c r="N1006"/>
      <c r="O1006"/>
      <c r="P1006"/>
      <c r="Q1006"/>
      <c r="R1006"/>
      <c r="S1006"/>
      <c r="T1006"/>
      <c r="U1006"/>
      <c r="V1006"/>
      <c r="W1006"/>
      <c r="X1006"/>
      <c r="Y1006"/>
      <c r="Z1006"/>
      <c r="AA1006"/>
      <c r="AB1006"/>
      <c r="AC1006"/>
      <c r="AD1006"/>
      <c r="AE1006"/>
      <c r="AF1006"/>
      <c r="AG1006"/>
      <c r="AH1006"/>
      <c r="AI1006"/>
      <c r="AJ1006"/>
      <c r="AK1006"/>
      <c r="AL1006"/>
      <c r="AM1006"/>
      <c r="AN1006"/>
    </row>
    <row r="1007" spans="1:40" ht="15" customHeight="1">
      <c r="A1007"/>
      <c r="B1007"/>
      <c r="C1007"/>
      <c r="D1007"/>
      <c r="E1007"/>
      <c r="F1007"/>
      <c r="G1007"/>
      <c r="H1007"/>
      <c r="I1007"/>
      <c r="J1007"/>
      <c r="K1007"/>
      <c r="L1007"/>
      <c r="M1007"/>
      <c r="N1007"/>
      <c r="O1007"/>
      <c r="P1007"/>
      <c r="Q1007"/>
      <c r="R1007"/>
      <c r="S1007"/>
      <c r="T1007"/>
      <c r="U1007"/>
      <c r="V1007"/>
      <c r="W1007"/>
      <c r="X1007"/>
      <c r="Y1007"/>
      <c r="Z1007"/>
      <c r="AA1007"/>
      <c r="AB1007"/>
      <c r="AC1007"/>
      <c r="AD1007"/>
      <c r="AE1007"/>
      <c r="AF1007"/>
      <c r="AG1007"/>
      <c r="AH1007"/>
      <c r="AI1007"/>
      <c r="AJ1007"/>
      <c r="AK1007"/>
      <c r="AL1007"/>
      <c r="AM1007"/>
      <c r="AN1007"/>
    </row>
    <row r="1008" spans="1:40" ht="15" customHeight="1">
      <c r="A1008"/>
      <c r="B1008"/>
      <c r="C1008"/>
      <c r="D1008"/>
      <c r="E1008"/>
      <c r="F1008"/>
      <c r="G1008"/>
      <c r="H1008"/>
      <c r="I1008"/>
      <c r="J1008"/>
      <c r="K1008"/>
      <c r="L1008"/>
      <c r="M1008"/>
      <c r="N1008"/>
      <c r="O1008"/>
      <c r="P1008"/>
      <c r="Q1008"/>
      <c r="R1008"/>
      <c r="S1008"/>
      <c r="T1008"/>
      <c r="U1008"/>
      <c r="V1008"/>
      <c r="W1008"/>
      <c r="X1008"/>
      <c r="Y1008"/>
      <c r="Z1008"/>
      <c r="AA1008"/>
      <c r="AB1008"/>
      <c r="AC1008"/>
      <c r="AD1008"/>
      <c r="AE1008"/>
      <c r="AF1008"/>
      <c r="AG1008"/>
      <c r="AH1008"/>
      <c r="AI1008"/>
      <c r="AJ1008"/>
      <c r="AK1008"/>
      <c r="AL1008"/>
      <c r="AM1008"/>
      <c r="AN1008"/>
    </row>
    <row r="1009" spans="1:40" ht="15" customHeight="1">
      <c r="A1009"/>
      <c r="B1009"/>
      <c r="C1009"/>
      <c r="D1009"/>
      <c r="E1009"/>
      <c r="F1009"/>
      <c r="G1009"/>
      <c r="H1009"/>
      <c r="I1009"/>
      <c r="J1009"/>
      <c r="K1009"/>
      <c r="L1009"/>
      <c r="M1009"/>
      <c r="N1009"/>
      <c r="O1009"/>
      <c r="P1009"/>
      <c r="Q1009"/>
      <c r="R1009"/>
      <c r="S1009"/>
      <c r="T1009"/>
      <c r="U1009"/>
      <c r="V1009"/>
      <c r="W1009"/>
      <c r="X1009"/>
      <c r="Y1009"/>
      <c r="Z1009"/>
      <c r="AA1009"/>
      <c r="AB1009"/>
      <c r="AC1009"/>
      <c r="AD1009"/>
      <c r="AE1009"/>
      <c r="AF1009"/>
      <c r="AG1009"/>
      <c r="AH1009"/>
      <c r="AI1009"/>
      <c r="AJ1009"/>
      <c r="AK1009"/>
      <c r="AL1009"/>
      <c r="AM1009"/>
      <c r="AN1009"/>
    </row>
    <row r="1010" spans="1:40" ht="15" customHeight="1">
      <c r="A1010"/>
      <c r="B1010"/>
      <c r="C1010"/>
      <c r="D1010"/>
      <c r="E1010"/>
      <c r="F1010"/>
      <c r="G1010"/>
      <c r="H1010"/>
      <c r="I1010"/>
      <c r="J1010"/>
      <c r="K1010"/>
      <c r="L1010"/>
      <c r="M1010"/>
      <c r="N1010"/>
      <c r="O1010"/>
      <c r="P1010"/>
      <c r="Q1010"/>
      <c r="R1010"/>
      <c r="S1010"/>
      <c r="T1010"/>
      <c r="U1010"/>
      <c r="V1010"/>
      <c r="W1010"/>
      <c r="X1010"/>
      <c r="Y1010"/>
      <c r="Z1010"/>
      <c r="AA1010"/>
      <c r="AB1010"/>
      <c r="AC1010"/>
      <c r="AD1010"/>
      <c r="AE1010"/>
      <c r="AF1010"/>
      <c r="AG1010"/>
      <c r="AH1010"/>
      <c r="AI1010"/>
      <c r="AJ1010"/>
      <c r="AK1010"/>
      <c r="AL1010"/>
      <c r="AM1010"/>
      <c r="AN1010"/>
    </row>
    <row r="1011" spans="1:40" ht="15" customHeight="1">
      <c r="A1011"/>
      <c r="B1011"/>
      <c r="C1011"/>
      <c r="D1011"/>
      <c r="E1011"/>
      <c r="F1011"/>
      <c r="G1011"/>
      <c r="H1011"/>
      <c r="I1011"/>
      <c r="J1011"/>
      <c r="K1011"/>
      <c r="L1011"/>
      <c r="M1011"/>
      <c r="N1011"/>
      <c r="O1011"/>
      <c r="P1011"/>
      <c r="Q1011"/>
      <c r="R1011"/>
      <c r="S1011"/>
      <c r="T1011"/>
      <c r="U1011"/>
      <c r="V1011"/>
      <c r="W1011"/>
      <c r="X1011"/>
      <c r="Y1011"/>
      <c r="Z1011"/>
      <c r="AA1011"/>
      <c r="AB1011"/>
      <c r="AC1011"/>
      <c r="AD1011"/>
      <c r="AE1011"/>
      <c r="AF1011"/>
      <c r="AG1011"/>
      <c r="AH1011"/>
      <c r="AI1011"/>
      <c r="AJ1011"/>
      <c r="AK1011"/>
      <c r="AL1011"/>
      <c r="AM1011"/>
      <c r="AN1011"/>
    </row>
    <row r="1012" spans="1:40" ht="15" customHeight="1">
      <c r="A1012"/>
      <c r="B1012"/>
      <c r="C1012"/>
      <c r="D1012"/>
      <c r="E1012"/>
      <c r="F1012"/>
      <c r="G1012"/>
      <c r="H1012"/>
      <c r="I1012"/>
      <c r="J1012"/>
      <c r="K1012"/>
      <c r="L1012"/>
      <c r="M1012"/>
      <c r="N1012"/>
      <c r="O1012"/>
      <c r="P1012"/>
      <c r="Q1012"/>
      <c r="R1012"/>
      <c r="S1012"/>
      <c r="T1012"/>
      <c r="U1012"/>
      <c r="V1012"/>
      <c r="W1012"/>
      <c r="X1012"/>
      <c r="Y1012"/>
      <c r="Z1012"/>
      <c r="AA1012"/>
      <c r="AB1012"/>
      <c r="AC1012"/>
      <c r="AD1012"/>
      <c r="AE1012"/>
      <c r="AF1012"/>
      <c r="AG1012"/>
      <c r="AH1012"/>
      <c r="AI1012"/>
      <c r="AJ1012"/>
      <c r="AK1012"/>
      <c r="AL1012"/>
      <c r="AM1012"/>
      <c r="AN1012"/>
    </row>
    <row r="1013" spans="1:40" ht="15" customHeight="1">
      <c r="A1013"/>
      <c r="B1013"/>
      <c r="C1013"/>
      <c r="D1013"/>
      <c r="E1013"/>
      <c r="F1013"/>
      <c r="G1013"/>
      <c r="H1013"/>
      <c r="I1013"/>
      <c r="J1013"/>
      <c r="K1013"/>
      <c r="L1013"/>
      <c r="M1013"/>
      <c r="N1013"/>
      <c r="O1013"/>
      <c r="P1013"/>
      <c r="Q1013"/>
      <c r="R1013"/>
      <c r="S1013"/>
      <c r="T1013"/>
      <c r="U1013"/>
      <c r="V1013"/>
      <c r="W1013"/>
      <c r="X1013"/>
      <c r="Y1013"/>
      <c r="Z1013"/>
      <c r="AA1013"/>
      <c r="AB1013"/>
      <c r="AC1013"/>
      <c r="AD1013"/>
      <c r="AE1013"/>
      <c r="AF1013"/>
      <c r="AG1013"/>
      <c r="AH1013"/>
      <c r="AI1013"/>
      <c r="AJ1013"/>
      <c r="AK1013"/>
      <c r="AL1013"/>
      <c r="AM1013"/>
      <c r="AN1013"/>
    </row>
    <row r="1014" spans="1:40" ht="15" customHeight="1">
      <c r="A1014"/>
      <c r="B1014"/>
      <c r="C1014"/>
      <c r="D1014"/>
      <c r="E1014"/>
      <c r="F1014"/>
      <c r="G1014"/>
      <c r="H1014"/>
      <c r="I1014"/>
      <c r="J1014"/>
      <c r="K1014"/>
      <c r="L1014"/>
      <c r="M1014"/>
      <c r="N1014"/>
      <c r="O1014"/>
      <c r="P1014"/>
      <c r="Q1014"/>
      <c r="R1014"/>
      <c r="S1014"/>
      <c r="T1014"/>
      <c r="U1014"/>
      <c r="V1014"/>
      <c r="W1014"/>
      <c r="X1014"/>
      <c r="Y1014"/>
      <c r="Z1014"/>
      <c r="AA1014"/>
      <c r="AB1014"/>
      <c r="AC1014"/>
      <c r="AD1014"/>
      <c r="AE1014"/>
      <c r="AF1014"/>
      <c r="AG1014"/>
      <c r="AH1014"/>
      <c r="AI1014"/>
      <c r="AJ1014"/>
      <c r="AK1014"/>
      <c r="AL1014"/>
      <c r="AM1014"/>
      <c r="AN1014"/>
    </row>
    <row r="1015" spans="1:40" ht="15" customHeight="1">
      <c r="A1015"/>
      <c r="B1015"/>
      <c r="C1015"/>
      <c r="D1015"/>
      <c r="E1015"/>
      <c r="F1015"/>
      <c r="G1015"/>
      <c r="H1015"/>
      <c r="I1015"/>
      <c r="J1015"/>
      <c r="K1015"/>
      <c r="L1015"/>
      <c r="M1015"/>
      <c r="N1015"/>
      <c r="O1015"/>
      <c r="P1015"/>
      <c r="Q1015"/>
      <c r="R1015"/>
      <c r="S1015"/>
      <c r="T1015"/>
      <c r="U1015"/>
      <c r="V1015"/>
      <c r="W1015"/>
      <c r="X1015"/>
      <c r="Y1015"/>
      <c r="Z1015"/>
      <c r="AA1015"/>
      <c r="AB1015"/>
      <c r="AC1015"/>
      <c r="AD1015"/>
      <c r="AE1015"/>
      <c r="AF1015"/>
      <c r="AG1015"/>
      <c r="AH1015"/>
      <c r="AI1015"/>
      <c r="AJ1015"/>
      <c r="AK1015"/>
      <c r="AL1015"/>
      <c r="AM1015"/>
      <c r="AN1015"/>
    </row>
    <row r="1016" spans="1:40" ht="15" customHeight="1">
      <c r="A1016"/>
      <c r="B1016"/>
      <c r="C1016"/>
      <c r="D1016"/>
      <c r="E1016"/>
      <c r="F1016"/>
      <c r="G1016"/>
      <c r="H1016"/>
      <c r="I1016"/>
      <c r="J1016"/>
      <c r="K1016"/>
      <c r="L1016"/>
      <c r="M1016"/>
      <c r="N1016"/>
      <c r="O1016"/>
      <c r="P1016"/>
      <c r="Q1016"/>
      <c r="R1016"/>
      <c r="S1016"/>
      <c r="T1016"/>
      <c r="U1016"/>
      <c r="V1016"/>
      <c r="W1016"/>
      <c r="X1016"/>
      <c r="Y1016"/>
      <c r="Z1016"/>
      <c r="AA1016"/>
      <c r="AB1016"/>
      <c r="AC1016"/>
      <c r="AD1016"/>
      <c r="AE1016"/>
      <c r="AF1016"/>
      <c r="AG1016"/>
      <c r="AH1016"/>
      <c r="AI1016"/>
      <c r="AJ1016"/>
      <c r="AK1016"/>
      <c r="AL1016"/>
      <c r="AM1016"/>
      <c r="AN1016"/>
    </row>
    <row r="1017" spans="1:40" ht="15" customHeight="1">
      <c r="A1017"/>
      <c r="B1017"/>
      <c r="C1017"/>
      <c r="D1017"/>
      <c r="E1017"/>
      <c r="F1017"/>
      <c r="G1017"/>
      <c r="H1017"/>
      <c r="I1017"/>
      <c r="J1017"/>
      <c r="K1017"/>
      <c r="L1017"/>
      <c r="M1017"/>
      <c r="N1017"/>
      <c r="O1017"/>
      <c r="P1017"/>
      <c r="Q1017"/>
      <c r="R1017"/>
      <c r="S1017"/>
      <c r="T1017"/>
      <c r="U1017"/>
      <c r="V1017"/>
      <c r="W1017"/>
      <c r="X1017"/>
      <c r="Y1017"/>
      <c r="Z1017"/>
      <c r="AA1017"/>
      <c r="AB1017"/>
      <c r="AC1017"/>
      <c r="AD1017"/>
      <c r="AE1017"/>
      <c r="AF1017"/>
      <c r="AG1017"/>
      <c r="AH1017"/>
      <c r="AI1017"/>
      <c r="AJ1017"/>
      <c r="AK1017"/>
      <c r="AL1017"/>
      <c r="AM1017"/>
      <c r="AN1017"/>
    </row>
    <row r="1018" spans="1:40" ht="15" customHeight="1">
      <c r="A1018"/>
      <c r="B1018"/>
      <c r="C1018"/>
      <c r="D1018"/>
      <c r="E1018"/>
      <c r="F1018"/>
      <c r="G1018"/>
      <c r="H1018"/>
      <c r="I1018"/>
      <c r="J1018"/>
      <c r="K1018"/>
      <c r="L1018"/>
      <c r="M1018"/>
      <c r="N1018"/>
      <c r="O1018"/>
      <c r="P1018"/>
      <c r="Q1018"/>
      <c r="R1018"/>
      <c r="S1018"/>
      <c r="T1018"/>
      <c r="U1018"/>
      <c r="V1018"/>
      <c r="W1018"/>
      <c r="X1018"/>
      <c r="Y1018"/>
      <c r="Z1018"/>
      <c r="AA1018"/>
      <c r="AB1018"/>
      <c r="AC1018"/>
      <c r="AD1018"/>
      <c r="AE1018"/>
      <c r="AF1018"/>
      <c r="AG1018"/>
      <c r="AH1018"/>
      <c r="AI1018"/>
      <c r="AJ1018"/>
      <c r="AK1018"/>
      <c r="AL1018"/>
      <c r="AM1018"/>
      <c r="AN1018"/>
    </row>
    <row r="1019" spans="1:40" ht="15" customHeight="1">
      <c r="A1019"/>
      <c r="B1019"/>
      <c r="C1019"/>
      <c r="D1019"/>
      <c r="E1019"/>
      <c r="F1019"/>
      <c r="G1019"/>
      <c r="H1019"/>
      <c r="I1019"/>
      <c r="J1019"/>
      <c r="K1019"/>
      <c r="L1019"/>
      <c r="M1019"/>
      <c r="N1019"/>
      <c r="O1019"/>
      <c r="P1019"/>
      <c r="Q1019"/>
      <c r="R1019"/>
      <c r="S1019"/>
      <c r="T1019"/>
      <c r="U1019"/>
      <c r="V1019"/>
      <c r="W1019"/>
      <c r="X1019"/>
      <c r="Y1019"/>
      <c r="Z1019"/>
      <c r="AA1019"/>
      <c r="AB1019"/>
      <c r="AC1019"/>
      <c r="AD1019"/>
      <c r="AE1019"/>
      <c r="AF1019"/>
      <c r="AG1019"/>
      <c r="AH1019"/>
      <c r="AI1019"/>
      <c r="AJ1019"/>
      <c r="AK1019"/>
      <c r="AL1019"/>
      <c r="AM1019"/>
      <c r="AN1019"/>
    </row>
    <row r="1020" spans="1:40" ht="15" customHeight="1">
      <c r="A1020"/>
      <c r="B1020"/>
      <c r="C1020"/>
      <c r="D1020"/>
      <c r="E1020"/>
      <c r="F1020"/>
      <c r="G1020"/>
      <c r="H1020"/>
      <c r="I1020"/>
      <c r="J1020"/>
      <c r="K1020"/>
      <c r="L1020"/>
      <c r="M1020"/>
      <c r="N1020"/>
      <c r="O1020"/>
      <c r="P1020"/>
      <c r="Q1020"/>
      <c r="R1020"/>
      <c r="S1020"/>
      <c r="T1020"/>
      <c r="U1020"/>
      <c r="V1020"/>
      <c r="W1020"/>
      <c r="X1020"/>
      <c r="Y1020"/>
      <c r="Z1020"/>
      <c r="AA1020"/>
      <c r="AB1020"/>
      <c r="AC1020"/>
      <c r="AD1020"/>
      <c r="AE1020"/>
      <c r="AF1020"/>
      <c r="AG1020"/>
      <c r="AH1020"/>
      <c r="AI1020"/>
      <c r="AJ1020"/>
      <c r="AK1020"/>
      <c r="AL1020"/>
      <c r="AM1020"/>
      <c r="AN1020"/>
    </row>
    <row r="1021" spans="1:40" ht="15" customHeight="1">
      <c r="A1021"/>
      <c r="B1021"/>
      <c r="C1021"/>
      <c r="D1021"/>
      <c r="E1021"/>
      <c r="F1021"/>
      <c r="G1021"/>
      <c r="H1021"/>
      <c r="I1021"/>
      <c r="J1021"/>
      <c r="K1021"/>
      <c r="L1021"/>
      <c r="M1021"/>
      <c r="N1021"/>
      <c r="O1021"/>
      <c r="P1021"/>
      <c r="Q1021"/>
      <c r="R1021"/>
      <c r="S1021"/>
      <c r="T1021"/>
      <c r="U1021"/>
      <c r="V1021"/>
      <c r="W1021"/>
      <c r="X1021"/>
      <c r="Y1021"/>
      <c r="Z1021"/>
      <c r="AA1021"/>
      <c r="AB1021"/>
      <c r="AC1021"/>
      <c r="AD1021"/>
      <c r="AE1021"/>
      <c r="AF1021"/>
      <c r="AG1021"/>
      <c r="AH1021"/>
      <c r="AI1021"/>
      <c r="AJ1021"/>
      <c r="AK1021"/>
      <c r="AL1021"/>
      <c r="AM1021"/>
      <c r="AN1021"/>
    </row>
    <row r="1022" spans="1:40" ht="15" customHeight="1">
      <c r="A1022"/>
      <c r="B1022"/>
      <c r="C1022"/>
      <c r="D1022"/>
      <c r="E1022"/>
      <c r="F1022"/>
      <c r="G1022"/>
      <c r="H1022"/>
      <c r="I1022"/>
      <c r="J1022"/>
      <c r="K1022"/>
      <c r="L1022"/>
      <c r="M1022"/>
      <c r="N1022"/>
      <c r="O1022"/>
      <c r="P1022"/>
      <c r="Q1022"/>
      <c r="R1022"/>
      <c r="S1022"/>
      <c r="T1022"/>
      <c r="U1022"/>
      <c r="V1022"/>
      <c r="W1022"/>
      <c r="X1022"/>
      <c r="Y1022"/>
      <c r="Z1022"/>
      <c r="AA1022"/>
      <c r="AB1022"/>
      <c r="AC1022"/>
      <c r="AD1022"/>
      <c r="AE1022"/>
      <c r="AF1022"/>
      <c r="AG1022"/>
      <c r="AH1022"/>
      <c r="AI1022"/>
      <c r="AJ1022"/>
      <c r="AK1022"/>
      <c r="AL1022"/>
      <c r="AM1022"/>
      <c r="AN1022"/>
    </row>
    <row r="1023" spans="1:40" ht="15" customHeight="1">
      <c r="A1023"/>
      <c r="B1023"/>
      <c r="C1023"/>
      <c r="D1023"/>
      <c r="E1023"/>
      <c r="F1023"/>
      <c r="G1023"/>
      <c r="H1023"/>
      <c r="I1023"/>
      <c r="J1023"/>
      <c r="K1023"/>
      <c r="L1023"/>
      <c r="M1023"/>
      <c r="N1023"/>
      <c r="O1023"/>
      <c r="P1023"/>
      <c r="Q1023"/>
      <c r="R1023"/>
      <c r="S1023"/>
      <c r="T1023"/>
      <c r="U1023"/>
      <c r="V1023"/>
      <c r="W1023"/>
      <c r="X1023"/>
      <c r="Y1023"/>
      <c r="Z1023"/>
      <c r="AA1023"/>
      <c r="AB1023"/>
      <c r="AC1023"/>
      <c r="AD1023"/>
      <c r="AE1023"/>
      <c r="AF1023"/>
      <c r="AG1023"/>
      <c r="AH1023"/>
      <c r="AI1023"/>
      <c r="AJ1023"/>
      <c r="AK1023"/>
      <c r="AL1023"/>
      <c r="AM1023"/>
      <c r="AN1023"/>
    </row>
    <row r="1024" spans="1:40" ht="15" customHeight="1">
      <c r="A1024"/>
      <c r="B1024"/>
      <c r="C1024"/>
      <c r="D1024"/>
      <c r="E1024"/>
      <c r="F1024"/>
      <c r="G1024"/>
      <c r="H1024"/>
      <c r="I1024"/>
      <c r="J1024"/>
      <c r="K1024"/>
      <c r="L1024"/>
      <c r="M1024"/>
      <c r="N1024"/>
      <c r="O1024"/>
      <c r="P1024"/>
      <c r="Q1024"/>
      <c r="R1024"/>
      <c r="S1024"/>
      <c r="T1024"/>
      <c r="U1024"/>
      <c r="V1024"/>
      <c r="W1024"/>
      <c r="X1024"/>
      <c r="Y1024"/>
      <c r="Z1024"/>
      <c r="AA1024"/>
      <c r="AB1024"/>
      <c r="AC1024"/>
      <c r="AD1024"/>
      <c r="AE1024"/>
      <c r="AF1024"/>
      <c r="AG1024"/>
      <c r="AH1024"/>
      <c r="AI1024"/>
      <c r="AJ1024"/>
      <c r="AK1024"/>
      <c r="AL1024"/>
      <c r="AM1024"/>
      <c r="AN1024"/>
    </row>
    <row r="1025" spans="1:40" ht="15" customHeight="1">
      <c r="A1025"/>
      <c r="B1025"/>
      <c r="C1025"/>
      <c r="D1025"/>
      <c r="E1025"/>
      <c r="F1025"/>
      <c r="G1025"/>
      <c r="H1025"/>
      <c r="I1025"/>
      <c r="J1025"/>
      <c r="K1025"/>
      <c r="L1025"/>
      <c r="M1025"/>
      <c r="N1025"/>
      <c r="O1025"/>
      <c r="P1025"/>
      <c r="Q1025"/>
      <c r="R1025"/>
      <c r="S1025"/>
      <c r="T1025"/>
      <c r="U1025"/>
      <c r="V1025"/>
      <c r="W1025"/>
      <c r="X1025"/>
      <c r="Y1025"/>
      <c r="Z1025"/>
      <c r="AA1025"/>
      <c r="AB1025"/>
      <c r="AC1025"/>
      <c r="AD1025"/>
      <c r="AE1025"/>
      <c r="AF1025"/>
      <c r="AG1025"/>
      <c r="AH1025"/>
      <c r="AI1025"/>
      <c r="AJ1025"/>
      <c r="AK1025"/>
      <c r="AL1025"/>
      <c r="AM1025"/>
      <c r="AN1025"/>
    </row>
    <row r="1026" spans="1:40" ht="15" customHeight="1">
      <c r="A1026"/>
      <c r="B1026"/>
      <c r="C1026"/>
      <c r="D1026"/>
      <c r="E1026"/>
      <c r="F1026"/>
      <c r="G1026"/>
      <c r="H1026"/>
      <c r="I1026"/>
      <c r="J1026"/>
      <c r="K1026"/>
      <c r="L1026"/>
      <c r="M1026"/>
      <c r="N1026"/>
      <c r="O1026"/>
      <c r="P1026"/>
      <c r="Q1026"/>
      <c r="R1026"/>
      <c r="S1026"/>
      <c r="T1026"/>
      <c r="U1026"/>
      <c r="V1026"/>
      <c r="W1026"/>
      <c r="X1026"/>
      <c r="Y1026"/>
      <c r="Z1026"/>
      <c r="AA1026"/>
      <c r="AB1026"/>
      <c r="AC1026"/>
      <c r="AD1026"/>
      <c r="AE1026"/>
      <c r="AF1026"/>
      <c r="AG1026"/>
      <c r="AH1026"/>
      <c r="AI1026"/>
      <c r="AJ1026"/>
      <c r="AK1026"/>
      <c r="AL1026"/>
      <c r="AM1026"/>
      <c r="AN1026"/>
    </row>
    <row r="1027" spans="1:40" ht="15" customHeight="1">
      <c r="A1027"/>
      <c r="B1027"/>
      <c r="C1027"/>
      <c r="D1027"/>
      <c r="E1027"/>
      <c r="F1027"/>
      <c r="G1027"/>
      <c r="H1027"/>
      <c r="I1027"/>
      <c r="J1027"/>
      <c r="K1027"/>
      <c r="L1027"/>
      <c r="M1027"/>
      <c r="N1027"/>
      <c r="O1027"/>
      <c r="P1027"/>
      <c r="Q1027"/>
      <c r="R1027"/>
      <c r="S1027"/>
      <c r="T1027"/>
      <c r="U1027"/>
      <c r="V1027"/>
      <c r="W1027"/>
      <c r="X1027"/>
      <c r="Y1027"/>
      <c r="Z1027"/>
      <c r="AA1027"/>
      <c r="AB1027"/>
      <c r="AC1027"/>
      <c r="AD1027"/>
      <c r="AE1027"/>
      <c r="AF1027"/>
      <c r="AG1027"/>
      <c r="AH1027"/>
      <c r="AI1027"/>
      <c r="AJ1027"/>
      <c r="AK1027"/>
      <c r="AL1027"/>
      <c r="AM1027"/>
      <c r="AN1027"/>
    </row>
    <row r="1028" spans="1:40" ht="15" customHeight="1">
      <c r="A1028"/>
      <c r="B1028"/>
      <c r="C1028"/>
      <c r="D1028"/>
      <c r="E1028"/>
      <c r="F1028"/>
      <c r="G1028"/>
      <c r="H1028"/>
      <c r="I1028"/>
      <c r="J1028"/>
      <c r="K1028"/>
      <c r="L1028"/>
      <c r="M1028"/>
      <c r="N1028"/>
      <c r="O1028"/>
      <c r="P1028"/>
      <c r="Q1028"/>
      <c r="R1028"/>
      <c r="S1028"/>
      <c r="T1028"/>
      <c r="U1028"/>
      <c r="V1028"/>
      <c r="W1028"/>
      <c r="X1028"/>
      <c r="Y1028"/>
      <c r="Z1028"/>
      <c r="AA1028"/>
      <c r="AB1028"/>
      <c r="AC1028"/>
      <c r="AD1028"/>
      <c r="AE1028"/>
      <c r="AF1028"/>
      <c r="AG1028"/>
      <c r="AH1028"/>
      <c r="AI1028"/>
      <c r="AJ1028"/>
      <c r="AK1028"/>
      <c r="AL1028"/>
      <c r="AM1028"/>
      <c r="AN1028"/>
    </row>
    <row r="1029" spans="1:40" ht="15" customHeight="1">
      <c r="A1029"/>
      <c r="B1029"/>
      <c r="C1029"/>
      <c r="D1029"/>
      <c r="E1029"/>
      <c r="F1029"/>
      <c r="G1029"/>
      <c r="H1029"/>
      <c r="I1029"/>
      <c r="J1029"/>
      <c r="K1029"/>
      <c r="L1029"/>
      <c r="M1029"/>
      <c r="N1029"/>
      <c r="O1029"/>
      <c r="P1029"/>
      <c r="Q1029"/>
      <c r="R1029"/>
      <c r="S1029"/>
      <c r="T1029"/>
      <c r="U1029"/>
      <c r="V1029"/>
      <c r="W1029"/>
      <c r="X1029"/>
      <c r="Y1029"/>
      <c r="Z1029"/>
      <c r="AA1029"/>
      <c r="AB1029"/>
      <c r="AC1029"/>
      <c r="AD1029"/>
      <c r="AE1029"/>
      <c r="AF1029"/>
      <c r="AG1029"/>
      <c r="AH1029"/>
      <c r="AI1029"/>
      <c r="AJ1029"/>
      <c r="AK1029"/>
      <c r="AL1029"/>
      <c r="AM1029"/>
      <c r="AN1029"/>
    </row>
    <row r="1030" spans="1:40" ht="15" customHeight="1">
      <c r="A1030"/>
      <c r="B1030"/>
      <c r="C1030"/>
      <c r="D1030"/>
      <c r="E1030"/>
      <c r="F1030"/>
      <c r="G1030"/>
      <c r="H1030"/>
      <c r="I1030"/>
      <c r="J1030"/>
      <c r="K1030"/>
      <c r="L1030"/>
      <c r="M1030"/>
      <c r="N1030"/>
      <c r="O1030"/>
      <c r="P1030"/>
      <c r="Q1030"/>
      <c r="R1030"/>
      <c r="S1030"/>
      <c r="T1030"/>
      <c r="U1030"/>
      <c r="V1030"/>
      <c r="W1030"/>
      <c r="X1030"/>
      <c r="Y1030"/>
      <c r="Z1030"/>
      <c r="AA1030"/>
      <c r="AB1030"/>
      <c r="AC1030"/>
      <c r="AD1030"/>
      <c r="AE1030"/>
      <c r="AF1030"/>
      <c r="AG1030"/>
      <c r="AH1030"/>
      <c r="AI1030"/>
      <c r="AJ1030"/>
      <c r="AK1030"/>
      <c r="AL1030"/>
      <c r="AM1030"/>
      <c r="AN1030"/>
    </row>
    <row r="1031" spans="1:40" ht="15" customHeight="1">
      <c r="A1031"/>
      <c r="B1031"/>
      <c r="C1031"/>
      <c r="D1031"/>
      <c r="E1031"/>
      <c r="F1031"/>
      <c r="G1031"/>
      <c r="H1031"/>
      <c r="I1031"/>
      <c r="J1031"/>
      <c r="K1031"/>
      <c r="L1031"/>
      <c r="M1031"/>
      <c r="N1031"/>
      <c r="O1031"/>
      <c r="P1031"/>
      <c r="Q1031"/>
      <c r="R1031"/>
      <c r="S1031"/>
      <c r="T1031"/>
      <c r="U1031"/>
      <c r="V1031"/>
      <c r="W1031"/>
      <c r="X1031"/>
      <c r="Y1031"/>
      <c r="Z1031"/>
      <c r="AA1031"/>
      <c r="AB1031"/>
      <c r="AC1031"/>
      <c r="AD1031"/>
      <c r="AE1031"/>
      <c r="AF1031"/>
      <c r="AG1031"/>
      <c r="AH1031"/>
      <c r="AI1031"/>
      <c r="AJ1031"/>
      <c r="AK1031"/>
      <c r="AL1031"/>
      <c r="AM1031"/>
      <c r="AN1031"/>
    </row>
    <row r="1032" spans="1:40" ht="15" customHeight="1">
      <c r="A1032"/>
      <c r="B1032"/>
      <c r="C1032"/>
      <c r="D1032"/>
      <c r="E1032"/>
      <c r="F1032"/>
      <c r="G1032"/>
      <c r="H1032"/>
      <c r="I1032"/>
      <c r="J1032"/>
      <c r="K1032"/>
      <c r="L1032"/>
      <c r="M1032"/>
      <c r="N1032"/>
      <c r="O1032"/>
      <c r="P1032"/>
      <c r="Q1032"/>
      <c r="R1032"/>
      <c r="S1032"/>
      <c r="T1032"/>
      <c r="U1032"/>
      <c r="V1032"/>
      <c r="W1032"/>
      <c r="X1032"/>
      <c r="Y1032"/>
      <c r="Z1032"/>
      <c r="AA1032"/>
      <c r="AB1032"/>
      <c r="AC1032"/>
      <c r="AD1032"/>
      <c r="AE1032"/>
      <c r="AF1032"/>
      <c r="AG1032"/>
      <c r="AH1032"/>
      <c r="AI1032"/>
      <c r="AJ1032"/>
      <c r="AK1032"/>
      <c r="AL1032"/>
      <c r="AM1032"/>
      <c r="AN1032"/>
    </row>
    <row r="1033" spans="1:40" ht="15" customHeight="1">
      <c r="A1033"/>
      <c r="B1033"/>
      <c r="C1033"/>
      <c r="D1033"/>
      <c r="E1033"/>
      <c r="F1033"/>
      <c r="G1033"/>
      <c r="H1033"/>
      <c r="I1033"/>
      <c r="J1033"/>
      <c r="K1033"/>
      <c r="L1033"/>
      <c r="M1033"/>
      <c r="N1033"/>
      <c r="O1033"/>
      <c r="P1033"/>
      <c r="Q1033"/>
      <c r="R1033"/>
      <c r="S1033"/>
      <c r="T1033"/>
      <c r="U1033"/>
      <c r="V1033"/>
      <c r="W1033"/>
      <c r="X1033"/>
      <c r="Y1033"/>
      <c r="Z1033"/>
      <c r="AA1033"/>
      <c r="AB1033"/>
      <c r="AC1033"/>
      <c r="AD1033"/>
      <c r="AE1033"/>
      <c r="AF1033"/>
      <c r="AG1033"/>
      <c r="AH1033"/>
      <c r="AI1033"/>
      <c r="AJ1033"/>
      <c r="AK1033"/>
      <c r="AL1033"/>
      <c r="AM1033"/>
      <c r="AN1033"/>
    </row>
    <row r="1034" spans="1:40" ht="15" customHeight="1">
      <c r="A1034"/>
      <c r="B1034"/>
      <c r="C1034"/>
      <c r="D1034"/>
      <c r="E1034"/>
      <c r="F1034"/>
      <c r="G1034"/>
      <c r="H1034"/>
      <c r="I1034"/>
      <c r="J1034"/>
      <c r="K1034"/>
      <c r="L1034"/>
      <c r="M1034"/>
      <c r="N1034"/>
      <c r="O1034"/>
      <c r="P1034"/>
      <c r="Q1034"/>
      <c r="R1034"/>
      <c r="S1034"/>
      <c r="T1034"/>
      <c r="U1034"/>
      <c r="V1034"/>
      <c r="W1034"/>
      <c r="X1034"/>
      <c r="Y1034"/>
      <c r="Z1034"/>
      <c r="AA1034"/>
      <c r="AB1034"/>
      <c r="AC1034"/>
      <c r="AD1034"/>
      <c r="AE1034"/>
      <c r="AF1034"/>
      <c r="AG1034"/>
      <c r="AH1034"/>
      <c r="AI1034"/>
      <c r="AJ1034"/>
      <c r="AK1034"/>
      <c r="AL1034"/>
      <c r="AM1034"/>
      <c r="AN1034"/>
    </row>
    <row r="1035" spans="1:40" ht="15" customHeight="1">
      <c r="A1035"/>
      <c r="B1035"/>
      <c r="C1035"/>
      <c r="D1035"/>
      <c r="E1035"/>
      <c r="F1035"/>
      <c r="G1035"/>
      <c r="H1035"/>
      <c r="I1035"/>
      <c r="J1035"/>
      <c r="K1035"/>
      <c r="L1035"/>
      <c r="M1035"/>
      <c r="N1035"/>
      <c r="O1035"/>
      <c r="P1035"/>
      <c r="Q1035"/>
      <c r="R1035"/>
      <c r="S1035"/>
      <c r="T1035"/>
      <c r="U1035"/>
      <c r="V1035"/>
      <c r="W1035"/>
      <c r="X1035"/>
      <c r="Y1035"/>
      <c r="Z1035"/>
      <c r="AA1035"/>
      <c r="AB1035"/>
      <c r="AC1035"/>
      <c r="AD1035"/>
      <c r="AE1035"/>
      <c r="AF1035"/>
      <c r="AG1035"/>
      <c r="AH1035"/>
      <c r="AI1035"/>
      <c r="AJ1035"/>
      <c r="AK1035"/>
      <c r="AL1035"/>
      <c r="AM1035"/>
      <c r="AN1035"/>
    </row>
    <row r="1036" spans="1:40" ht="15" customHeight="1">
      <c r="A1036"/>
      <c r="B1036"/>
      <c r="C1036"/>
      <c r="D1036"/>
      <c r="E1036"/>
      <c r="F1036"/>
      <c r="G1036"/>
      <c r="H1036"/>
      <c r="I1036"/>
      <c r="J1036"/>
      <c r="K1036"/>
      <c r="L1036"/>
      <c r="M1036"/>
      <c r="N1036"/>
      <c r="O1036"/>
      <c r="P1036"/>
      <c r="Q1036"/>
      <c r="R1036"/>
      <c r="S1036"/>
      <c r="T1036"/>
      <c r="U1036"/>
      <c r="V1036"/>
      <c r="W1036"/>
      <c r="X1036"/>
      <c r="Y1036"/>
      <c r="Z1036"/>
      <c r="AA1036"/>
      <c r="AB1036"/>
      <c r="AC1036"/>
      <c r="AD1036"/>
      <c r="AE1036"/>
      <c r="AF1036"/>
      <c r="AG1036"/>
      <c r="AH1036"/>
      <c r="AI1036"/>
      <c r="AJ1036"/>
      <c r="AK1036"/>
      <c r="AL1036"/>
      <c r="AM1036"/>
      <c r="AN1036"/>
    </row>
    <row r="1037" spans="1:40" ht="15" customHeight="1">
      <c r="A1037"/>
      <c r="B1037"/>
      <c r="C1037"/>
      <c r="D1037"/>
      <c r="E1037"/>
      <c r="F1037"/>
      <c r="G1037"/>
      <c r="H1037"/>
      <c r="I1037"/>
      <c r="J1037"/>
      <c r="K1037"/>
      <c r="L1037"/>
      <c r="M1037"/>
      <c r="N1037"/>
      <c r="O1037"/>
      <c r="P1037"/>
      <c r="Q1037"/>
      <c r="R1037"/>
      <c r="S1037"/>
      <c r="T1037"/>
      <c r="U1037"/>
      <c r="V1037"/>
      <c r="W1037"/>
      <c r="X1037"/>
      <c r="Y1037"/>
      <c r="Z1037"/>
      <c r="AA1037"/>
      <c r="AB1037"/>
      <c r="AC1037"/>
      <c r="AD1037"/>
      <c r="AE1037"/>
      <c r="AF1037"/>
      <c r="AG1037"/>
      <c r="AH1037"/>
      <c r="AI1037"/>
      <c r="AJ1037"/>
      <c r="AK1037"/>
      <c r="AL1037"/>
      <c r="AM1037"/>
      <c r="AN1037"/>
    </row>
    <row r="1038" spans="1:40" ht="15" customHeight="1">
      <c r="A1038"/>
      <c r="B1038"/>
      <c r="C1038"/>
      <c r="D1038"/>
      <c r="E1038"/>
      <c r="F1038"/>
      <c r="G1038"/>
      <c r="H1038"/>
      <c r="I1038"/>
      <c r="J1038"/>
      <c r="K1038"/>
      <c r="L1038"/>
      <c r="M1038"/>
      <c r="N1038"/>
      <c r="O1038"/>
      <c r="P1038"/>
      <c r="Q1038"/>
      <c r="R1038"/>
      <c r="S1038"/>
      <c r="T1038"/>
      <c r="U1038"/>
      <c r="V1038"/>
      <c r="W1038"/>
      <c r="X1038"/>
      <c r="Y1038"/>
      <c r="Z1038"/>
      <c r="AA1038"/>
      <c r="AB1038"/>
      <c r="AC1038"/>
      <c r="AD1038"/>
      <c r="AE1038"/>
      <c r="AF1038"/>
      <c r="AG1038"/>
      <c r="AH1038"/>
      <c r="AI1038"/>
      <c r="AJ1038"/>
      <c r="AK1038"/>
      <c r="AL1038"/>
      <c r="AM1038"/>
      <c r="AN1038"/>
    </row>
    <row r="1039" spans="1:40" ht="15" customHeight="1">
      <c r="A1039"/>
      <c r="B1039"/>
      <c r="C1039"/>
      <c r="D1039"/>
      <c r="E1039"/>
      <c r="F1039"/>
      <c r="G1039"/>
      <c r="H1039"/>
      <c r="I1039"/>
      <c r="J1039"/>
      <c r="K1039"/>
      <c r="L1039"/>
      <c r="M1039"/>
      <c r="N1039"/>
      <c r="O1039"/>
      <c r="P1039"/>
      <c r="Q1039"/>
      <c r="R1039"/>
      <c r="S1039"/>
      <c r="T1039"/>
      <c r="U1039"/>
      <c r="V1039"/>
      <c r="W1039"/>
      <c r="X1039"/>
      <c r="Y1039"/>
      <c r="Z1039"/>
      <c r="AA1039"/>
      <c r="AB1039"/>
      <c r="AC1039"/>
      <c r="AD1039"/>
      <c r="AE1039"/>
      <c r="AF1039"/>
      <c r="AG1039"/>
      <c r="AH1039"/>
      <c r="AI1039"/>
      <c r="AJ1039"/>
      <c r="AK1039"/>
      <c r="AL1039"/>
      <c r="AM1039"/>
      <c r="AN1039"/>
    </row>
    <row r="1040" spans="1:40" ht="15" customHeight="1">
      <c r="A1040"/>
      <c r="B1040"/>
      <c r="C1040"/>
      <c r="D1040"/>
      <c r="E1040"/>
      <c r="F1040"/>
      <c r="G1040"/>
      <c r="H1040"/>
      <c r="I1040"/>
      <c r="J1040"/>
      <c r="K1040"/>
      <c r="L1040"/>
      <c r="M1040"/>
      <c r="N1040"/>
      <c r="O1040"/>
      <c r="P1040"/>
      <c r="Q1040"/>
      <c r="R1040"/>
      <c r="S1040"/>
      <c r="T1040"/>
      <c r="U1040"/>
      <c r="V1040"/>
      <c r="W1040"/>
      <c r="X1040"/>
      <c r="Y1040"/>
      <c r="Z1040"/>
      <c r="AA1040"/>
      <c r="AB1040"/>
      <c r="AC1040"/>
      <c r="AD1040"/>
      <c r="AE1040"/>
      <c r="AF1040"/>
      <c r="AG1040"/>
      <c r="AH1040"/>
      <c r="AI1040"/>
      <c r="AJ1040"/>
      <c r="AK1040"/>
      <c r="AL1040"/>
      <c r="AM1040"/>
      <c r="AN1040"/>
    </row>
    <row r="1041" spans="1:40" ht="15" customHeight="1">
      <c r="A1041"/>
      <c r="B1041"/>
      <c r="C1041"/>
      <c r="D1041"/>
      <c r="E1041"/>
      <c r="F1041"/>
      <c r="G1041"/>
      <c r="H1041"/>
      <c r="I1041"/>
      <c r="J1041"/>
      <c r="K1041"/>
      <c r="L1041"/>
      <c r="M1041"/>
      <c r="N1041"/>
      <c r="O1041"/>
      <c r="P1041"/>
      <c r="Q1041"/>
      <c r="R1041"/>
      <c r="S1041"/>
      <c r="T1041"/>
      <c r="U1041"/>
      <c r="V1041"/>
      <c r="W1041"/>
      <c r="X1041"/>
      <c r="Y1041"/>
      <c r="Z1041"/>
      <c r="AA1041"/>
      <c r="AB1041"/>
      <c r="AC1041"/>
      <c r="AD1041"/>
      <c r="AE1041"/>
      <c r="AF1041"/>
      <c r="AG1041"/>
      <c r="AH1041"/>
      <c r="AI1041"/>
      <c r="AJ1041"/>
      <c r="AK1041"/>
      <c r="AL1041"/>
      <c r="AM1041"/>
      <c r="AN1041"/>
    </row>
    <row r="1042" spans="1:40" ht="15" customHeight="1">
      <c r="A1042"/>
      <c r="B1042"/>
      <c r="C1042"/>
      <c r="D1042"/>
      <c r="E1042"/>
      <c r="F1042"/>
      <c r="G1042"/>
      <c r="H1042"/>
      <c r="I1042"/>
      <c r="J1042"/>
      <c r="K1042"/>
      <c r="L1042"/>
      <c r="M1042"/>
      <c r="N1042"/>
      <c r="O1042"/>
      <c r="P1042"/>
      <c r="Q1042"/>
      <c r="R1042"/>
      <c r="S1042"/>
      <c r="T1042"/>
      <c r="U1042"/>
      <c r="V1042"/>
      <c r="W1042"/>
      <c r="X1042"/>
      <c r="Y1042"/>
      <c r="Z1042"/>
      <c r="AA1042"/>
      <c r="AB1042"/>
      <c r="AC1042"/>
      <c r="AD1042"/>
      <c r="AE1042"/>
      <c r="AF1042"/>
      <c r="AG1042"/>
      <c r="AH1042"/>
      <c r="AI1042"/>
      <c r="AJ1042"/>
      <c r="AK1042"/>
      <c r="AL1042"/>
      <c r="AM1042"/>
      <c r="AN1042"/>
    </row>
    <row r="1043" spans="1:40" ht="15" customHeight="1">
      <c r="A1043"/>
      <c r="B1043"/>
      <c r="C1043"/>
      <c r="D1043"/>
      <c r="E1043"/>
      <c r="F1043"/>
      <c r="G1043"/>
      <c r="H1043"/>
      <c r="I1043"/>
      <c r="J1043"/>
      <c r="K1043"/>
      <c r="L1043"/>
      <c r="M1043"/>
      <c r="N1043"/>
      <c r="O1043"/>
      <c r="P1043"/>
      <c r="Q1043"/>
      <c r="R1043"/>
      <c r="S1043"/>
      <c r="T1043"/>
      <c r="U1043"/>
      <c r="V1043"/>
      <c r="W1043"/>
      <c r="X1043"/>
      <c r="Y1043"/>
      <c r="Z1043"/>
      <c r="AA1043"/>
      <c r="AB1043"/>
      <c r="AC1043"/>
      <c r="AD1043"/>
      <c r="AE1043"/>
      <c r="AF1043"/>
      <c r="AG1043"/>
      <c r="AH1043"/>
      <c r="AI1043"/>
      <c r="AJ1043"/>
      <c r="AK1043"/>
      <c r="AL1043"/>
      <c r="AM1043"/>
      <c r="AN1043"/>
    </row>
    <row r="1044" spans="1:40" ht="15" customHeight="1">
      <c r="A1044"/>
      <c r="B1044"/>
      <c r="C1044"/>
      <c r="D1044"/>
      <c r="E1044"/>
      <c r="F1044"/>
      <c r="G1044"/>
      <c r="H1044"/>
      <c r="I1044"/>
      <c r="J1044"/>
      <c r="K1044"/>
      <c r="L1044"/>
      <c r="M1044"/>
      <c r="N1044"/>
      <c r="O1044"/>
      <c r="P1044"/>
      <c r="Q1044"/>
      <c r="R1044"/>
      <c r="S1044"/>
      <c r="T1044"/>
      <c r="U1044"/>
      <c r="V1044"/>
      <c r="W1044"/>
      <c r="X1044"/>
      <c r="Y1044"/>
      <c r="Z1044"/>
      <c r="AA1044"/>
      <c r="AB1044"/>
      <c r="AC1044"/>
      <c r="AD1044"/>
      <c r="AE1044"/>
      <c r="AF1044"/>
      <c r="AG1044"/>
      <c r="AH1044"/>
      <c r="AI1044"/>
      <c r="AJ1044"/>
      <c r="AK1044"/>
      <c r="AL1044"/>
      <c r="AM1044"/>
      <c r="AN1044"/>
    </row>
    <row r="1045" spans="1:40" ht="15" customHeight="1">
      <c r="A1045"/>
      <c r="B1045"/>
      <c r="C1045"/>
      <c r="D1045"/>
      <c r="E1045"/>
      <c r="F1045"/>
      <c r="G1045"/>
      <c r="H1045"/>
      <c r="I1045"/>
      <c r="J1045"/>
      <c r="K1045"/>
      <c r="L1045"/>
      <c r="M1045"/>
      <c r="N1045"/>
      <c r="O1045"/>
      <c r="P1045"/>
      <c r="Q1045"/>
      <c r="R1045"/>
      <c r="S1045"/>
      <c r="T1045"/>
      <c r="U1045"/>
      <c r="V1045"/>
      <c r="W1045"/>
      <c r="X1045"/>
      <c r="Y1045"/>
      <c r="Z1045"/>
      <c r="AA1045"/>
      <c r="AB1045"/>
      <c r="AC1045"/>
      <c r="AD1045"/>
      <c r="AE1045"/>
      <c r="AF1045"/>
      <c r="AG1045"/>
      <c r="AH1045"/>
      <c r="AI1045"/>
      <c r="AJ1045"/>
      <c r="AK1045"/>
      <c r="AL1045"/>
      <c r="AM1045"/>
      <c r="AN1045"/>
    </row>
    <row r="1046" spans="1:40" ht="15" customHeight="1">
      <c r="A1046"/>
      <c r="B1046"/>
      <c r="C1046"/>
      <c r="D1046"/>
      <c r="E1046"/>
      <c r="F1046"/>
      <c r="G1046"/>
      <c r="H1046"/>
      <c r="I1046"/>
      <c r="J1046"/>
      <c r="K1046"/>
      <c r="L1046"/>
      <c r="M1046"/>
      <c r="N1046"/>
      <c r="O1046"/>
      <c r="P1046"/>
      <c r="Q1046"/>
      <c r="R1046"/>
      <c r="S1046"/>
      <c r="T1046"/>
      <c r="U1046"/>
      <c r="V1046"/>
      <c r="W1046"/>
      <c r="X1046"/>
      <c r="Y1046"/>
      <c r="Z1046"/>
      <c r="AA1046"/>
      <c r="AB1046"/>
      <c r="AC1046"/>
      <c r="AD1046"/>
      <c r="AE1046"/>
      <c r="AF1046"/>
      <c r="AG1046"/>
      <c r="AH1046"/>
      <c r="AI1046"/>
      <c r="AJ1046"/>
      <c r="AK1046"/>
      <c r="AL1046"/>
      <c r="AM1046"/>
      <c r="AN1046"/>
    </row>
    <row r="1047" spans="1:40" ht="15" customHeight="1">
      <c r="A1047"/>
      <c r="B1047"/>
      <c r="C1047"/>
      <c r="D1047"/>
      <c r="E1047"/>
      <c r="F1047"/>
      <c r="G1047"/>
      <c r="H1047"/>
      <c r="I1047"/>
      <c r="J1047"/>
      <c r="K1047"/>
      <c r="L1047"/>
      <c r="M1047"/>
      <c r="N1047"/>
      <c r="O1047"/>
      <c r="P1047"/>
      <c r="Q1047"/>
      <c r="R1047"/>
      <c r="S1047"/>
      <c r="T1047"/>
      <c r="U1047"/>
      <c r="V1047"/>
      <c r="W1047"/>
      <c r="X1047"/>
      <c r="Y1047"/>
      <c r="Z1047"/>
      <c r="AA1047"/>
      <c r="AB1047"/>
      <c r="AC1047"/>
      <c r="AD1047"/>
      <c r="AE1047"/>
      <c r="AF1047"/>
      <c r="AG1047"/>
      <c r="AH1047"/>
      <c r="AI1047"/>
      <c r="AJ1047"/>
      <c r="AK1047"/>
      <c r="AL1047"/>
      <c r="AM1047"/>
      <c r="AN1047"/>
    </row>
    <row r="1048" spans="1:40" ht="15" customHeight="1">
      <c r="A1048"/>
      <c r="B1048"/>
      <c r="C1048"/>
      <c r="D1048"/>
      <c r="E1048"/>
      <c r="F1048"/>
      <c r="G1048"/>
      <c r="H1048"/>
      <c r="I1048"/>
      <c r="J1048"/>
      <c r="K1048"/>
      <c r="L1048"/>
      <c r="M1048"/>
      <c r="N1048"/>
      <c r="O1048"/>
      <c r="P1048"/>
      <c r="Q1048"/>
      <c r="R1048"/>
      <c r="S1048"/>
      <c r="T1048"/>
      <c r="U1048"/>
      <c r="V1048"/>
      <c r="W1048"/>
      <c r="X1048"/>
      <c r="Y1048"/>
      <c r="Z1048"/>
      <c r="AA1048"/>
      <c r="AB1048"/>
      <c r="AC1048"/>
      <c r="AD1048"/>
      <c r="AE1048"/>
      <c r="AF1048"/>
      <c r="AG1048"/>
      <c r="AH1048"/>
      <c r="AI1048"/>
      <c r="AJ1048"/>
      <c r="AK1048"/>
      <c r="AL1048"/>
      <c r="AM1048"/>
      <c r="AN1048"/>
    </row>
    <row r="1049" spans="1:40" ht="15" customHeight="1">
      <c r="A1049"/>
      <c r="B1049"/>
      <c r="C1049"/>
      <c r="D1049"/>
      <c r="E1049"/>
      <c r="F1049"/>
      <c r="G1049"/>
      <c r="H1049"/>
      <c r="I1049"/>
      <c r="J1049"/>
      <c r="K1049"/>
      <c r="L1049"/>
      <c r="M1049"/>
      <c r="N1049"/>
      <c r="O1049"/>
      <c r="P1049"/>
      <c r="Q1049"/>
      <c r="R1049"/>
      <c r="S1049"/>
      <c r="T1049"/>
      <c r="U1049"/>
      <c r="V1049"/>
      <c r="W1049"/>
      <c r="X1049"/>
      <c r="Y1049"/>
      <c r="Z1049"/>
      <c r="AA1049"/>
      <c r="AB1049"/>
      <c r="AC1049"/>
      <c r="AD1049"/>
      <c r="AE1049"/>
      <c r="AF1049"/>
      <c r="AG1049"/>
      <c r="AH1049"/>
      <c r="AI1049"/>
      <c r="AJ1049"/>
      <c r="AK1049"/>
      <c r="AL1049"/>
      <c r="AM1049"/>
      <c r="AN1049"/>
    </row>
    <row r="1050" spans="1:40" ht="15" customHeight="1">
      <c r="A1050"/>
      <c r="B1050"/>
      <c r="C1050"/>
      <c r="D1050"/>
      <c r="E1050"/>
      <c r="F1050"/>
      <c r="G1050"/>
      <c r="H1050"/>
      <c r="I1050"/>
      <c r="J1050"/>
      <c r="K1050"/>
      <c r="L1050"/>
      <c r="M1050"/>
      <c r="N1050"/>
      <c r="O1050"/>
      <c r="P1050"/>
      <c r="Q1050"/>
      <c r="R1050"/>
      <c r="S1050"/>
      <c r="T1050"/>
      <c r="U1050"/>
      <c r="V1050"/>
      <c r="W1050"/>
      <c r="X1050"/>
      <c r="Y1050"/>
      <c r="Z1050"/>
      <c r="AA1050"/>
      <c r="AB1050"/>
      <c r="AC1050"/>
      <c r="AD1050"/>
      <c r="AE1050"/>
      <c r="AF1050"/>
      <c r="AG1050"/>
      <c r="AH1050"/>
      <c r="AI1050"/>
      <c r="AJ1050"/>
      <c r="AK1050"/>
      <c r="AL1050"/>
      <c r="AM1050"/>
      <c r="AN1050"/>
    </row>
    <row r="1051" spans="1:40" ht="15" customHeight="1">
      <c r="A1051"/>
      <c r="B1051"/>
      <c r="C1051"/>
      <c r="D1051"/>
      <c r="E1051"/>
      <c r="F1051"/>
      <c r="G1051"/>
      <c r="H1051"/>
      <c r="I1051"/>
      <c r="J1051"/>
      <c r="K1051"/>
      <c r="L1051"/>
      <c r="M1051"/>
      <c r="N1051"/>
      <c r="O1051"/>
      <c r="P1051"/>
      <c r="Q1051"/>
      <c r="R1051"/>
      <c r="S1051"/>
      <c r="T1051"/>
      <c r="U1051"/>
      <c r="V1051"/>
      <c r="W1051"/>
      <c r="X1051"/>
      <c r="Y1051"/>
      <c r="Z1051"/>
      <c r="AA1051"/>
      <c r="AB1051"/>
      <c r="AC1051"/>
      <c r="AD1051"/>
      <c r="AE1051"/>
      <c r="AF1051"/>
      <c r="AG1051"/>
      <c r="AH1051"/>
      <c r="AI1051"/>
      <c r="AJ1051"/>
      <c r="AK1051"/>
      <c r="AL1051"/>
      <c r="AM1051"/>
      <c r="AN1051"/>
    </row>
    <row r="1052" spans="1:40" ht="15" customHeight="1">
      <c r="A1052"/>
      <c r="B1052"/>
      <c r="C1052"/>
      <c r="D1052"/>
      <c r="E1052"/>
      <c r="F1052"/>
      <c r="G1052"/>
      <c r="H1052"/>
      <c r="I1052"/>
      <c r="J1052"/>
      <c r="K1052"/>
      <c r="L1052"/>
      <c r="M1052"/>
      <c r="N1052"/>
      <c r="O1052"/>
      <c r="P1052"/>
      <c r="Q1052"/>
      <c r="R1052"/>
      <c r="S1052"/>
      <c r="T1052"/>
      <c r="U1052"/>
      <c r="V1052"/>
      <c r="W1052"/>
      <c r="X1052"/>
      <c r="Y1052"/>
      <c r="Z1052"/>
      <c r="AA1052"/>
      <c r="AB1052"/>
      <c r="AC1052"/>
      <c r="AD1052"/>
      <c r="AE1052"/>
      <c r="AF1052"/>
      <c r="AG1052"/>
      <c r="AH1052"/>
      <c r="AI1052"/>
      <c r="AJ1052"/>
      <c r="AK1052"/>
      <c r="AL1052"/>
      <c r="AM1052"/>
      <c r="AN1052"/>
    </row>
    <row r="1053" spans="1:40" ht="15" customHeight="1">
      <c r="A1053"/>
      <c r="B1053"/>
      <c r="C1053"/>
      <c r="D1053"/>
      <c r="E1053"/>
      <c r="F1053"/>
      <c r="G1053"/>
      <c r="H1053"/>
      <c r="I1053"/>
      <c r="J1053"/>
      <c r="K1053"/>
      <c r="L1053"/>
      <c r="M1053"/>
      <c r="N1053"/>
      <c r="O1053"/>
      <c r="P1053"/>
      <c r="Q1053"/>
      <c r="R1053"/>
      <c r="S1053"/>
      <c r="T1053"/>
      <c r="U1053"/>
      <c r="V1053"/>
      <c r="W1053"/>
      <c r="X1053"/>
      <c r="Y1053"/>
      <c r="Z1053"/>
      <c r="AA1053"/>
      <c r="AB1053"/>
      <c r="AC1053"/>
      <c r="AD1053"/>
      <c r="AE1053"/>
      <c r="AF1053"/>
      <c r="AG1053"/>
      <c r="AH1053"/>
      <c r="AI1053"/>
      <c r="AJ1053"/>
      <c r="AK1053"/>
      <c r="AL1053"/>
      <c r="AM1053"/>
      <c r="AN1053"/>
    </row>
    <row r="1054" spans="1:40" ht="15" customHeight="1">
      <c r="A1054"/>
      <c r="B1054"/>
      <c r="C1054"/>
      <c r="D1054"/>
      <c r="E1054"/>
      <c r="F1054"/>
      <c r="G1054"/>
      <c r="H1054"/>
      <c r="I1054"/>
      <c r="J1054"/>
      <c r="K1054"/>
      <c r="L1054"/>
      <c r="M1054"/>
      <c r="N1054"/>
      <c r="O1054"/>
      <c r="P1054"/>
      <c r="Q1054"/>
      <c r="R1054"/>
      <c r="S1054"/>
      <c r="T1054"/>
      <c r="U1054"/>
      <c r="V1054"/>
      <c r="W1054"/>
      <c r="X1054"/>
      <c r="Y1054"/>
      <c r="Z1054"/>
      <c r="AA1054"/>
      <c r="AB1054"/>
      <c r="AC1054"/>
      <c r="AD1054"/>
      <c r="AE1054"/>
      <c r="AF1054"/>
      <c r="AG1054"/>
      <c r="AH1054"/>
      <c r="AI1054"/>
      <c r="AJ1054"/>
      <c r="AK1054"/>
      <c r="AL1054"/>
      <c r="AM1054"/>
      <c r="AN1054"/>
    </row>
    <row r="1055" spans="1:40" ht="15" customHeight="1">
      <c r="A1055"/>
      <c r="B1055"/>
      <c r="C1055"/>
      <c r="D1055"/>
      <c r="E1055"/>
      <c r="F1055"/>
      <c r="G1055"/>
      <c r="H1055"/>
      <c r="I1055"/>
      <c r="J1055"/>
      <c r="K1055"/>
      <c r="L1055"/>
      <c r="M1055"/>
      <c r="N1055"/>
      <c r="O1055"/>
      <c r="P1055"/>
      <c r="Q1055"/>
      <c r="R1055"/>
      <c r="S1055"/>
      <c r="T1055"/>
      <c r="U1055"/>
      <c r="V1055"/>
      <c r="W1055"/>
      <c r="X1055"/>
      <c r="Y1055"/>
      <c r="Z1055"/>
      <c r="AA1055"/>
      <c r="AB1055"/>
      <c r="AC1055"/>
      <c r="AD1055"/>
      <c r="AE1055"/>
      <c r="AF1055"/>
      <c r="AG1055"/>
      <c r="AH1055"/>
      <c r="AI1055"/>
      <c r="AJ1055"/>
      <c r="AK1055"/>
      <c r="AL1055"/>
      <c r="AM1055"/>
      <c r="AN1055"/>
    </row>
    <row r="1056" spans="1:40" ht="15" customHeight="1">
      <c r="A1056"/>
      <c r="B1056"/>
      <c r="C1056"/>
      <c r="D1056"/>
      <c r="E1056"/>
      <c r="F1056"/>
      <c r="G1056"/>
      <c r="H1056"/>
      <c r="I1056"/>
      <c r="J1056"/>
      <c r="K1056"/>
      <c r="L1056"/>
      <c r="M1056"/>
      <c r="N1056"/>
      <c r="O1056"/>
      <c r="P1056"/>
      <c r="Q1056"/>
      <c r="R1056"/>
      <c r="S1056"/>
      <c r="T1056"/>
      <c r="U1056"/>
      <c r="V1056"/>
      <c r="W1056"/>
      <c r="X1056"/>
      <c r="Y1056"/>
      <c r="Z1056"/>
      <c r="AA1056"/>
      <c r="AB1056"/>
      <c r="AC1056"/>
      <c r="AD1056"/>
      <c r="AE1056"/>
      <c r="AF1056"/>
      <c r="AG1056"/>
      <c r="AH1056"/>
      <c r="AI1056"/>
      <c r="AJ1056"/>
      <c r="AK1056"/>
      <c r="AL1056"/>
      <c r="AM1056"/>
      <c r="AN1056"/>
    </row>
    <row r="1057" spans="1:40" ht="15" customHeight="1">
      <c r="A1057"/>
      <c r="B1057"/>
      <c r="C1057"/>
      <c r="D1057"/>
      <c r="E1057"/>
      <c r="F1057"/>
      <c r="G1057"/>
      <c r="H1057"/>
      <c r="I1057"/>
      <c r="J1057"/>
      <c r="K1057"/>
      <c r="L1057"/>
      <c r="M1057"/>
      <c r="N1057"/>
      <c r="O1057"/>
      <c r="P1057"/>
      <c r="Q1057"/>
      <c r="R1057"/>
      <c r="S1057"/>
      <c r="T1057"/>
      <c r="U1057"/>
      <c r="V1057"/>
      <c r="W1057"/>
      <c r="X1057"/>
      <c r="Y1057"/>
      <c r="Z1057"/>
      <c r="AA1057"/>
      <c r="AB1057"/>
      <c r="AC1057"/>
      <c r="AD1057"/>
      <c r="AE1057"/>
      <c r="AF1057"/>
      <c r="AG1057"/>
      <c r="AH1057"/>
      <c r="AI1057"/>
      <c r="AJ1057"/>
      <c r="AK1057"/>
      <c r="AL1057"/>
      <c r="AM1057"/>
      <c r="AN1057"/>
    </row>
    <row r="1058" spans="1:40" ht="15" customHeight="1">
      <c r="A1058"/>
      <c r="B1058"/>
      <c r="C1058"/>
      <c r="D1058"/>
      <c r="E1058"/>
      <c r="F1058"/>
      <c r="G1058"/>
      <c r="H1058"/>
      <c r="I1058"/>
      <c r="J1058"/>
      <c r="K1058"/>
      <c r="L1058"/>
      <c r="M1058"/>
      <c r="N1058"/>
      <c r="O1058"/>
      <c r="P1058"/>
      <c r="Q1058"/>
      <c r="R1058"/>
      <c r="S1058"/>
      <c r="T1058"/>
      <c r="U1058"/>
      <c r="V1058"/>
      <c r="W1058"/>
      <c r="X1058"/>
      <c r="Y1058"/>
      <c r="Z1058"/>
      <c r="AA1058"/>
      <c r="AB1058"/>
      <c r="AC1058"/>
      <c r="AD1058"/>
      <c r="AE1058"/>
      <c r="AF1058"/>
      <c r="AG1058"/>
      <c r="AH1058"/>
      <c r="AI1058"/>
      <c r="AJ1058"/>
      <c r="AK1058"/>
      <c r="AL1058"/>
      <c r="AM1058"/>
      <c r="AN1058"/>
    </row>
    <row r="1059" spans="1:40" ht="15" customHeight="1">
      <c r="A1059"/>
      <c r="B1059"/>
      <c r="C1059"/>
      <c r="D1059"/>
      <c r="E1059"/>
      <c r="F1059"/>
      <c r="G1059"/>
      <c r="H1059"/>
      <c r="I1059"/>
      <c r="J1059"/>
      <c r="K1059"/>
      <c r="L1059"/>
      <c r="M1059"/>
      <c r="N1059"/>
      <c r="O1059"/>
      <c r="P1059"/>
      <c r="Q1059"/>
      <c r="R1059"/>
      <c r="S1059"/>
      <c r="T1059"/>
      <c r="U1059"/>
      <c r="V1059"/>
      <c r="W1059"/>
      <c r="X1059"/>
      <c r="Y1059"/>
      <c r="Z1059"/>
      <c r="AA1059"/>
      <c r="AB1059"/>
      <c r="AC1059"/>
      <c r="AD1059"/>
      <c r="AE1059"/>
      <c r="AF1059"/>
      <c r="AG1059"/>
      <c r="AH1059"/>
      <c r="AI1059"/>
      <c r="AJ1059"/>
      <c r="AK1059"/>
      <c r="AL1059"/>
      <c r="AM1059"/>
      <c r="AN1059"/>
    </row>
    <row r="1060" spans="1:40" ht="15" customHeight="1">
      <c r="A1060"/>
      <c r="B1060"/>
      <c r="C1060"/>
      <c r="D1060"/>
      <c r="E1060"/>
      <c r="F1060"/>
      <c r="G1060"/>
      <c r="H1060"/>
      <c r="I1060"/>
      <c r="J1060"/>
      <c r="K1060"/>
      <c r="L1060"/>
      <c r="M1060"/>
      <c r="N1060"/>
      <c r="O1060"/>
      <c r="P1060"/>
      <c r="Q1060"/>
      <c r="R1060"/>
      <c r="S1060"/>
      <c r="T1060"/>
      <c r="U1060"/>
      <c r="V1060"/>
      <c r="W1060"/>
      <c r="X1060"/>
      <c r="Y1060"/>
      <c r="Z1060"/>
      <c r="AA1060"/>
      <c r="AB1060"/>
      <c r="AC1060"/>
      <c r="AD1060"/>
      <c r="AE1060"/>
      <c r="AF1060"/>
      <c r="AG1060"/>
      <c r="AH1060"/>
      <c r="AI1060"/>
      <c r="AJ1060"/>
      <c r="AK1060"/>
      <c r="AL1060"/>
      <c r="AM1060"/>
      <c r="AN1060"/>
    </row>
    <row r="1061" spans="1:40" ht="15" customHeight="1">
      <c r="A1061"/>
      <c r="B1061"/>
      <c r="C1061"/>
      <c r="D1061"/>
      <c r="E1061"/>
      <c r="F1061"/>
      <c r="G1061"/>
      <c r="H1061"/>
      <c r="I1061"/>
      <c r="J1061"/>
      <c r="K1061"/>
      <c r="L1061"/>
      <c r="M1061"/>
      <c r="N1061"/>
      <c r="O1061"/>
      <c r="P1061"/>
      <c r="Q1061"/>
      <c r="R1061"/>
      <c r="S1061"/>
      <c r="T1061"/>
      <c r="U1061"/>
      <c r="V1061"/>
      <c r="W1061"/>
      <c r="X1061"/>
      <c r="Y1061"/>
      <c r="Z1061"/>
      <c r="AA1061"/>
      <c r="AB1061"/>
      <c r="AC1061"/>
      <c r="AD1061"/>
      <c r="AE1061"/>
      <c r="AF1061"/>
      <c r="AG1061"/>
      <c r="AH1061"/>
      <c r="AI1061"/>
      <c r="AJ1061"/>
      <c r="AK1061"/>
      <c r="AL1061"/>
      <c r="AM1061"/>
      <c r="AN1061"/>
    </row>
    <row r="1062" spans="1:40" ht="15" customHeight="1">
      <c r="A1062"/>
      <c r="B1062"/>
      <c r="C1062"/>
      <c r="D1062"/>
      <c r="E1062"/>
      <c r="F1062"/>
      <c r="G1062"/>
      <c r="H1062"/>
      <c r="I1062"/>
      <c r="J1062"/>
      <c r="K1062"/>
      <c r="L1062"/>
      <c r="M1062"/>
      <c r="N1062"/>
      <c r="O1062"/>
      <c r="P1062"/>
      <c r="Q1062"/>
      <c r="R1062"/>
      <c r="S1062"/>
      <c r="T1062"/>
      <c r="U1062"/>
      <c r="V1062"/>
      <c r="W1062"/>
      <c r="X1062"/>
      <c r="Y1062"/>
      <c r="Z1062"/>
      <c r="AA1062"/>
      <c r="AB1062"/>
      <c r="AC1062"/>
      <c r="AD1062"/>
      <c r="AE1062"/>
      <c r="AF1062"/>
      <c r="AG1062"/>
      <c r="AH1062"/>
      <c r="AI1062"/>
      <c r="AJ1062"/>
      <c r="AK1062"/>
      <c r="AL1062"/>
      <c r="AM1062"/>
      <c r="AN1062"/>
    </row>
    <row r="1063" spans="1:40" ht="15" customHeight="1">
      <c r="A1063"/>
      <c r="B1063"/>
      <c r="C1063"/>
      <c r="D1063"/>
      <c r="E1063"/>
      <c r="F1063"/>
      <c r="G1063"/>
      <c r="H1063"/>
      <c r="I1063"/>
      <c r="J1063"/>
      <c r="K1063"/>
      <c r="L1063"/>
      <c r="M1063"/>
      <c r="N1063"/>
      <c r="O1063"/>
      <c r="P1063"/>
      <c r="Q1063"/>
      <c r="R1063"/>
      <c r="S1063"/>
      <c r="T1063"/>
      <c r="U1063"/>
      <c r="V1063"/>
      <c r="W1063"/>
      <c r="X1063"/>
      <c r="Y1063"/>
      <c r="Z1063"/>
      <c r="AA1063"/>
      <c r="AB1063"/>
      <c r="AC1063"/>
      <c r="AD1063"/>
      <c r="AE1063"/>
      <c r="AF1063"/>
      <c r="AG1063"/>
      <c r="AH1063"/>
      <c r="AI1063"/>
      <c r="AJ1063"/>
      <c r="AK1063"/>
      <c r="AL1063"/>
      <c r="AM1063"/>
      <c r="AN1063"/>
    </row>
    <row r="1064" spans="1:40" ht="15" customHeight="1">
      <c r="A1064"/>
      <c r="B1064"/>
      <c r="C1064"/>
      <c r="D1064"/>
      <c r="E1064"/>
      <c r="F1064"/>
      <c r="G1064"/>
      <c r="H1064"/>
      <c r="I1064"/>
      <c r="J1064"/>
      <c r="K1064"/>
      <c r="L1064"/>
      <c r="M1064"/>
      <c r="N1064"/>
      <c r="O1064"/>
      <c r="P1064"/>
      <c r="Q1064"/>
      <c r="R1064"/>
      <c r="S1064"/>
      <c r="T1064"/>
      <c r="U1064"/>
      <c r="V1064"/>
      <c r="W1064"/>
      <c r="X1064"/>
      <c r="Y1064"/>
      <c r="Z1064"/>
      <c r="AA1064"/>
      <c r="AB1064"/>
      <c r="AC1064"/>
      <c r="AD1064"/>
      <c r="AE1064"/>
      <c r="AF1064"/>
      <c r="AG1064"/>
      <c r="AH1064"/>
      <c r="AI1064"/>
      <c r="AJ1064"/>
      <c r="AK1064"/>
      <c r="AL1064"/>
      <c r="AM1064"/>
      <c r="AN1064"/>
    </row>
    <row r="1065" spans="1:40" ht="15" customHeight="1">
      <c r="A1065"/>
      <c r="B1065"/>
      <c r="C1065"/>
      <c r="D1065"/>
      <c r="E1065"/>
      <c r="F1065"/>
      <c r="G1065"/>
      <c r="H1065"/>
      <c r="I1065"/>
      <c r="J1065"/>
      <c r="K1065"/>
      <c r="L1065"/>
      <c r="M1065"/>
      <c r="N1065"/>
      <c r="O1065"/>
      <c r="P1065"/>
      <c r="Q1065"/>
      <c r="R1065"/>
      <c r="S1065"/>
      <c r="T1065"/>
      <c r="U1065"/>
      <c r="V1065"/>
      <c r="W1065"/>
      <c r="X1065"/>
      <c r="Y1065"/>
      <c r="Z1065"/>
      <c r="AA1065"/>
      <c r="AB1065"/>
      <c r="AC1065"/>
      <c r="AD1065"/>
      <c r="AE1065"/>
      <c r="AF1065"/>
      <c r="AG1065"/>
      <c r="AH1065"/>
      <c r="AI1065"/>
      <c r="AJ1065"/>
      <c r="AK1065"/>
      <c r="AL1065"/>
      <c r="AM1065"/>
      <c r="AN1065"/>
    </row>
    <row r="1066" spans="1:40" ht="15" customHeight="1">
      <c r="A1066"/>
      <c r="B1066"/>
      <c r="C1066"/>
      <c r="D1066"/>
      <c r="E1066"/>
      <c r="F1066"/>
      <c r="G1066"/>
      <c r="H1066"/>
      <c r="I1066"/>
      <c r="J1066"/>
      <c r="K1066"/>
      <c r="L1066"/>
      <c r="M1066"/>
      <c r="N1066"/>
      <c r="O1066"/>
      <c r="P1066"/>
      <c r="Q1066"/>
      <c r="R1066"/>
      <c r="S1066"/>
      <c r="T1066"/>
      <c r="U1066"/>
      <c r="V1066"/>
      <c r="W1066"/>
      <c r="X1066"/>
      <c r="Y1066"/>
      <c r="Z1066"/>
      <c r="AA1066"/>
      <c r="AB1066"/>
      <c r="AC1066"/>
      <c r="AD1066"/>
      <c r="AE1066"/>
      <c r="AF1066"/>
      <c r="AG1066"/>
      <c r="AH1066"/>
      <c r="AI1066"/>
      <c r="AJ1066"/>
      <c r="AK1066"/>
      <c r="AL1066"/>
      <c r="AM1066"/>
      <c r="AN1066"/>
    </row>
    <row r="1067" spans="1:40" ht="15" customHeight="1">
      <c r="A1067"/>
      <c r="B1067"/>
      <c r="C1067"/>
      <c r="D1067"/>
      <c r="E1067"/>
      <c r="F1067"/>
      <c r="G1067"/>
      <c r="H1067"/>
      <c r="I1067"/>
      <c r="J1067"/>
      <c r="K1067"/>
      <c r="L1067"/>
      <c r="M1067"/>
      <c r="N1067"/>
      <c r="O1067"/>
      <c r="P1067"/>
      <c r="Q1067"/>
      <c r="R1067"/>
      <c r="S1067"/>
      <c r="T1067"/>
      <c r="U1067"/>
      <c r="V1067"/>
      <c r="W1067"/>
      <c r="X1067"/>
      <c r="Y1067"/>
      <c r="Z1067"/>
      <c r="AA1067"/>
      <c r="AB1067"/>
      <c r="AC1067"/>
      <c r="AD1067"/>
      <c r="AE1067"/>
      <c r="AF1067"/>
      <c r="AG1067"/>
      <c r="AH1067"/>
      <c r="AI1067"/>
      <c r="AJ1067"/>
      <c r="AK1067"/>
      <c r="AL1067"/>
      <c r="AM1067"/>
      <c r="AN1067"/>
    </row>
    <row r="1068" spans="1:40" ht="15" customHeight="1">
      <c r="A1068"/>
      <c r="B1068"/>
      <c r="C1068"/>
      <c r="D1068"/>
      <c r="E1068"/>
      <c r="F1068"/>
      <c r="G1068"/>
      <c r="H1068"/>
      <c r="I1068"/>
      <c r="J1068"/>
      <c r="K1068"/>
      <c r="L1068"/>
      <c r="M1068"/>
      <c r="N1068"/>
      <c r="O1068"/>
      <c r="P1068"/>
      <c r="Q1068"/>
      <c r="R1068"/>
      <c r="S1068"/>
      <c r="T1068"/>
      <c r="U1068"/>
      <c r="V1068"/>
      <c r="W1068"/>
      <c r="X1068"/>
      <c r="Y1068"/>
      <c r="Z1068"/>
      <c r="AA1068"/>
      <c r="AB1068"/>
      <c r="AC1068"/>
      <c r="AD1068"/>
      <c r="AE1068"/>
      <c r="AF1068"/>
      <c r="AG1068"/>
      <c r="AH1068"/>
      <c r="AI1068"/>
      <c r="AJ1068"/>
      <c r="AK1068"/>
      <c r="AL1068"/>
      <c r="AM1068"/>
      <c r="AN1068"/>
    </row>
    <row r="1069" spans="1:40" ht="15" customHeight="1">
      <c r="A1069"/>
      <c r="B1069"/>
      <c r="C1069"/>
      <c r="D1069"/>
      <c r="E1069"/>
      <c r="F1069"/>
      <c r="G1069"/>
      <c r="H1069"/>
      <c r="I1069"/>
      <c r="J1069"/>
      <c r="K1069"/>
      <c r="L1069"/>
      <c r="M1069"/>
      <c r="N1069"/>
      <c r="O1069"/>
      <c r="P1069"/>
      <c r="Q1069"/>
      <c r="R1069"/>
      <c r="S1069"/>
      <c r="T1069"/>
      <c r="U1069"/>
      <c r="V1069"/>
      <c r="W1069"/>
      <c r="X1069"/>
      <c r="Y1069"/>
      <c r="Z1069"/>
      <c r="AA1069"/>
      <c r="AB1069"/>
      <c r="AC1069"/>
      <c r="AD1069"/>
      <c r="AE1069"/>
      <c r="AF1069"/>
      <c r="AG1069"/>
      <c r="AH1069"/>
      <c r="AI1069"/>
      <c r="AJ1069"/>
      <c r="AK1069"/>
      <c r="AL1069"/>
      <c r="AM1069"/>
      <c r="AN1069"/>
    </row>
    <row r="1070" spans="1:40" ht="15" customHeight="1">
      <c r="A1070"/>
      <c r="B1070"/>
      <c r="C1070"/>
      <c r="D1070"/>
      <c r="E1070"/>
      <c r="F1070"/>
      <c r="G1070"/>
      <c r="H1070"/>
      <c r="I1070"/>
      <c r="J1070"/>
      <c r="K1070"/>
      <c r="L1070"/>
      <c r="M1070"/>
      <c r="N1070"/>
      <c r="O1070"/>
      <c r="P1070"/>
      <c r="Q1070"/>
      <c r="R1070"/>
      <c r="S1070"/>
      <c r="T1070"/>
      <c r="U1070"/>
      <c r="V1070"/>
      <c r="W1070"/>
      <c r="X1070"/>
      <c r="Y1070"/>
      <c r="Z1070"/>
      <c r="AA1070"/>
      <c r="AB1070"/>
      <c r="AC1070"/>
      <c r="AD1070"/>
      <c r="AE1070"/>
      <c r="AF1070"/>
      <c r="AG1070"/>
      <c r="AH1070"/>
      <c r="AI1070"/>
      <c r="AJ1070"/>
      <c r="AK1070"/>
      <c r="AL1070"/>
      <c r="AM1070"/>
      <c r="AN1070"/>
    </row>
    <row r="1071" spans="1:40" ht="15" customHeight="1">
      <c r="A1071"/>
      <c r="B1071"/>
      <c r="C1071"/>
      <c r="D1071"/>
      <c r="E1071"/>
      <c r="F1071"/>
      <c r="G1071"/>
      <c r="H1071"/>
      <c r="I1071"/>
      <c r="J1071"/>
      <c r="K1071"/>
      <c r="L1071"/>
      <c r="M1071"/>
      <c r="N1071"/>
      <c r="O1071"/>
      <c r="P1071"/>
      <c r="Q1071"/>
      <c r="R1071"/>
      <c r="S1071"/>
      <c r="T1071"/>
      <c r="U1071"/>
      <c r="V1071"/>
      <c r="W1071"/>
      <c r="X1071"/>
      <c r="Y1071"/>
      <c r="Z1071"/>
      <c r="AA1071"/>
      <c r="AB1071"/>
      <c r="AC1071"/>
      <c r="AD1071"/>
      <c r="AE1071"/>
      <c r="AF1071"/>
      <c r="AG1071"/>
      <c r="AH1071"/>
      <c r="AI1071"/>
      <c r="AJ1071"/>
      <c r="AK1071"/>
      <c r="AL1071"/>
      <c r="AM1071"/>
      <c r="AN1071"/>
    </row>
    <row r="1072" spans="1:40" ht="15" customHeight="1">
      <c r="A1072"/>
      <c r="B1072"/>
      <c r="C1072"/>
      <c r="D1072"/>
      <c r="E1072"/>
      <c r="F1072"/>
      <c r="G1072"/>
      <c r="H1072"/>
      <c r="I1072"/>
      <c r="J1072"/>
      <c r="K1072"/>
      <c r="L1072"/>
      <c r="M1072"/>
      <c r="N1072"/>
      <c r="O1072"/>
      <c r="P1072"/>
      <c r="Q1072"/>
      <c r="R1072"/>
      <c r="S1072"/>
      <c r="T1072"/>
      <c r="U1072"/>
      <c r="V1072"/>
      <c r="W1072"/>
      <c r="X1072"/>
      <c r="Y1072"/>
      <c r="Z1072"/>
      <c r="AA1072"/>
      <c r="AB1072"/>
      <c r="AC1072"/>
      <c r="AD1072"/>
      <c r="AE1072"/>
      <c r="AF1072"/>
      <c r="AG1072"/>
      <c r="AH1072"/>
      <c r="AI1072"/>
      <c r="AJ1072"/>
      <c r="AK1072"/>
      <c r="AL1072"/>
      <c r="AM1072"/>
      <c r="AN1072"/>
    </row>
    <row r="1073" spans="1:40" ht="15" customHeight="1">
      <c r="A1073"/>
      <c r="B1073"/>
      <c r="C1073"/>
      <c r="D1073"/>
      <c r="E1073"/>
      <c r="F1073"/>
      <c r="G1073"/>
      <c r="H1073"/>
      <c r="I1073"/>
      <c r="J1073"/>
      <c r="K1073"/>
      <c r="L1073"/>
      <c r="M1073"/>
      <c r="N1073"/>
      <c r="O1073"/>
      <c r="P1073"/>
      <c r="Q1073"/>
      <c r="R1073"/>
      <c r="S1073"/>
      <c r="T1073"/>
      <c r="U1073"/>
      <c r="V1073"/>
      <c r="W1073"/>
      <c r="X1073"/>
      <c r="Y1073"/>
      <c r="Z1073"/>
      <c r="AA1073"/>
      <c r="AB1073"/>
      <c r="AC1073"/>
      <c r="AD1073"/>
      <c r="AE1073"/>
      <c r="AF1073"/>
      <c r="AG1073"/>
      <c r="AH1073"/>
      <c r="AI1073"/>
      <c r="AJ1073"/>
      <c r="AK1073"/>
      <c r="AL1073"/>
      <c r="AM1073"/>
      <c r="AN1073"/>
    </row>
    <row r="1074" spans="1:40" ht="15" customHeight="1">
      <c r="A1074"/>
      <c r="B1074"/>
      <c r="C1074"/>
      <c r="D1074"/>
      <c r="E1074"/>
      <c r="F1074"/>
      <c r="G1074"/>
      <c r="H1074"/>
      <c r="I1074"/>
      <c r="J1074"/>
      <c r="K1074"/>
      <c r="L1074"/>
      <c r="M1074"/>
      <c r="N1074"/>
      <c r="O1074"/>
      <c r="P1074"/>
      <c r="Q1074"/>
      <c r="R1074"/>
      <c r="S1074"/>
      <c r="T1074"/>
      <c r="U1074"/>
      <c r="V1074"/>
      <c r="W1074"/>
      <c r="X1074"/>
      <c r="Y1074"/>
      <c r="Z1074"/>
      <c r="AA1074"/>
      <c r="AB1074"/>
      <c r="AC1074"/>
      <c r="AD1074"/>
      <c r="AE1074"/>
      <c r="AF1074"/>
      <c r="AG1074"/>
      <c r="AH1074"/>
      <c r="AI1074"/>
      <c r="AJ1074"/>
      <c r="AK1074"/>
      <c r="AL1074"/>
      <c r="AM1074"/>
      <c r="AN1074"/>
    </row>
    <row r="1075" spans="1:40" ht="15" customHeight="1">
      <c r="A1075"/>
      <c r="B1075"/>
      <c r="C1075"/>
      <c r="D1075"/>
      <c r="E1075"/>
      <c r="F1075"/>
      <c r="G1075"/>
      <c r="H1075"/>
      <c r="I1075"/>
      <c r="J1075"/>
      <c r="K1075"/>
      <c r="L1075"/>
      <c r="M1075"/>
      <c r="N1075"/>
      <c r="O1075"/>
      <c r="P1075"/>
      <c r="Q1075"/>
      <c r="R1075"/>
      <c r="S1075"/>
      <c r="T1075"/>
      <c r="U1075"/>
      <c r="V1075"/>
      <c r="W1075"/>
      <c r="X1075"/>
      <c r="Y1075"/>
      <c r="Z1075"/>
      <c r="AA1075"/>
      <c r="AB1075"/>
      <c r="AC1075"/>
      <c r="AD1075"/>
      <c r="AE1075"/>
      <c r="AF1075"/>
      <c r="AG1075"/>
      <c r="AH1075"/>
      <c r="AI1075"/>
      <c r="AJ1075"/>
      <c r="AK1075"/>
      <c r="AL1075"/>
      <c r="AM1075"/>
      <c r="AN1075"/>
    </row>
    <row r="1076" spans="1:40" ht="15" customHeight="1">
      <c r="A1076"/>
      <c r="B1076"/>
      <c r="C1076"/>
      <c r="D1076"/>
      <c r="E1076"/>
      <c r="F1076"/>
      <c r="G1076"/>
      <c r="H1076"/>
      <c r="I1076"/>
      <c r="J1076"/>
      <c r="K1076"/>
      <c r="L1076"/>
      <c r="M1076"/>
      <c r="N1076"/>
      <c r="O1076"/>
      <c r="P1076"/>
      <c r="Q1076"/>
      <c r="R1076"/>
      <c r="S1076"/>
      <c r="T1076"/>
      <c r="U1076"/>
      <c r="V1076"/>
      <c r="W1076"/>
      <c r="X1076"/>
      <c r="Y1076"/>
      <c r="Z1076"/>
      <c r="AA1076"/>
      <c r="AB1076"/>
      <c r="AC1076"/>
      <c r="AD1076"/>
      <c r="AE1076"/>
      <c r="AF1076"/>
      <c r="AG1076"/>
      <c r="AH1076"/>
      <c r="AI1076"/>
      <c r="AJ1076"/>
      <c r="AK1076"/>
      <c r="AL1076"/>
      <c r="AM1076"/>
      <c r="AN1076"/>
    </row>
    <row r="1077" spans="1:40" ht="15" customHeight="1">
      <c r="A1077"/>
      <c r="B1077"/>
      <c r="C1077"/>
      <c r="D1077"/>
      <c r="E1077"/>
      <c r="F1077"/>
      <c r="G1077"/>
      <c r="H1077"/>
      <c r="I1077"/>
      <c r="J1077"/>
      <c r="K1077"/>
      <c r="L1077"/>
      <c r="M1077"/>
      <c r="N1077"/>
      <c r="O1077"/>
      <c r="P1077"/>
      <c r="Q1077"/>
      <c r="R1077"/>
      <c r="S1077"/>
      <c r="T1077"/>
      <c r="U1077"/>
      <c r="V1077"/>
      <c r="W1077"/>
      <c r="X1077"/>
      <c r="Y1077"/>
      <c r="Z1077"/>
      <c r="AA1077"/>
      <c r="AB1077"/>
      <c r="AC1077"/>
      <c r="AD1077"/>
      <c r="AE1077"/>
      <c r="AF1077"/>
      <c r="AG1077"/>
      <c r="AH1077"/>
      <c r="AI1077"/>
      <c r="AJ1077"/>
      <c r="AK1077"/>
      <c r="AL1077"/>
      <c r="AM1077"/>
      <c r="AN1077"/>
    </row>
    <row r="1078" spans="1:40" ht="15" customHeight="1">
      <c r="A1078"/>
      <c r="B1078"/>
      <c r="C1078"/>
      <c r="D1078"/>
      <c r="E1078"/>
      <c r="F1078"/>
      <c r="G1078"/>
      <c r="H1078"/>
      <c r="I1078"/>
      <c r="J1078"/>
      <c r="K1078"/>
      <c r="L1078"/>
      <c r="M1078"/>
      <c r="N1078"/>
      <c r="O1078"/>
      <c r="P1078"/>
      <c r="Q1078"/>
      <c r="R1078"/>
      <c r="S1078"/>
      <c r="T1078"/>
      <c r="U1078"/>
      <c r="V1078"/>
      <c r="W1078"/>
      <c r="X1078"/>
      <c r="Y1078"/>
      <c r="Z1078"/>
      <c r="AA1078"/>
      <c r="AB1078"/>
      <c r="AC1078"/>
      <c r="AD1078"/>
      <c r="AE1078"/>
      <c r="AF1078"/>
      <c r="AG1078"/>
      <c r="AH1078"/>
      <c r="AI1078"/>
      <c r="AJ1078"/>
      <c r="AK1078"/>
      <c r="AL1078"/>
      <c r="AM1078"/>
      <c r="AN1078"/>
    </row>
    <row r="1079" spans="1:40" ht="15" customHeight="1">
      <c r="A1079"/>
      <c r="B1079"/>
      <c r="C1079"/>
      <c r="D1079"/>
      <c r="E1079"/>
      <c r="F1079"/>
      <c r="G1079"/>
      <c r="H1079"/>
      <c r="I1079"/>
      <c r="J1079"/>
      <c r="K1079"/>
      <c r="L1079"/>
      <c r="M1079"/>
      <c r="N1079"/>
      <c r="O1079"/>
      <c r="P1079"/>
      <c r="Q1079"/>
      <c r="R1079"/>
      <c r="S1079"/>
      <c r="T1079"/>
      <c r="U1079"/>
      <c r="V1079"/>
      <c r="W1079"/>
      <c r="X1079"/>
      <c r="Y1079"/>
      <c r="Z1079"/>
      <c r="AA1079"/>
      <c r="AB1079"/>
      <c r="AC1079"/>
      <c r="AD1079"/>
      <c r="AE1079"/>
      <c r="AF1079"/>
      <c r="AG1079"/>
      <c r="AH1079"/>
      <c r="AI1079"/>
      <c r="AJ1079"/>
      <c r="AK1079"/>
      <c r="AL1079"/>
      <c r="AM1079"/>
      <c r="AN1079"/>
    </row>
    <row r="1080" spans="1:40" ht="15" customHeight="1">
      <c r="A1080"/>
      <c r="B1080"/>
      <c r="C1080"/>
      <c r="D1080"/>
      <c r="E1080"/>
      <c r="F1080"/>
      <c r="G1080"/>
      <c r="H1080"/>
      <c r="I1080"/>
      <c r="J1080"/>
      <c r="K1080"/>
      <c r="L1080"/>
      <c r="M1080"/>
      <c r="N1080"/>
      <c r="O1080"/>
      <c r="P1080"/>
      <c r="Q1080"/>
      <c r="R1080"/>
      <c r="S1080"/>
      <c r="T1080"/>
      <c r="U1080"/>
      <c r="V1080"/>
      <c r="W1080"/>
      <c r="X1080"/>
      <c r="Y1080"/>
      <c r="Z1080"/>
      <c r="AA1080"/>
      <c r="AB1080"/>
      <c r="AC1080"/>
      <c r="AD1080"/>
      <c r="AE1080"/>
      <c r="AF1080"/>
      <c r="AG1080"/>
      <c r="AH1080"/>
      <c r="AI1080"/>
      <c r="AJ1080"/>
      <c r="AK1080"/>
      <c r="AL1080"/>
      <c r="AM1080"/>
      <c r="AN1080"/>
    </row>
    <row r="1081" spans="1:40" ht="15" customHeight="1">
      <c r="A1081"/>
      <c r="B1081"/>
      <c r="C1081"/>
      <c r="D1081"/>
      <c r="E1081"/>
      <c r="F1081"/>
      <c r="G1081"/>
      <c r="H1081"/>
      <c r="I1081"/>
      <c r="J1081"/>
      <c r="K1081"/>
      <c r="L1081"/>
      <c r="M1081"/>
      <c r="N1081"/>
      <c r="O1081"/>
      <c r="P1081"/>
      <c r="Q1081"/>
      <c r="R1081"/>
      <c r="S1081"/>
      <c r="T1081"/>
      <c r="U1081"/>
      <c r="V1081"/>
      <c r="W1081"/>
      <c r="X1081"/>
      <c r="Y1081"/>
      <c r="Z1081"/>
      <c r="AA1081"/>
      <c r="AB1081"/>
      <c r="AC1081"/>
      <c r="AD1081"/>
      <c r="AE1081"/>
      <c r="AF1081"/>
      <c r="AG1081"/>
      <c r="AH1081"/>
      <c r="AI1081"/>
      <c r="AJ1081"/>
      <c r="AK1081"/>
      <c r="AL1081"/>
      <c r="AM1081"/>
      <c r="AN1081"/>
    </row>
    <row r="1082" spans="1:40" ht="15" customHeight="1">
      <c r="A1082"/>
      <c r="B1082"/>
      <c r="C1082"/>
      <c r="D1082"/>
      <c r="E1082"/>
      <c r="F1082"/>
      <c r="G1082"/>
      <c r="H1082"/>
      <c r="I1082"/>
      <c r="J1082"/>
      <c r="K1082"/>
      <c r="L1082"/>
      <c r="M1082"/>
      <c r="N1082"/>
      <c r="O1082"/>
      <c r="P1082"/>
      <c r="Q1082"/>
      <c r="R1082"/>
      <c r="S1082"/>
      <c r="T1082"/>
      <c r="U1082"/>
      <c r="V1082"/>
      <c r="W1082"/>
      <c r="X1082"/>
      <c r="Y1082"/>
      <c r="Z1082"/>
      <c r="AA1082"/>
      <c r="AB1082"/>
      <c r="AC1082"/>
      <c r="AD1082"/>
      <c r="AE1082"/>
      <c r="AF1082"/>
      <c r="AG1082"/>
      <c r="AH1082"/>
      <c r="AI1082"/>
      <c r="AJ1082"/>
      <c r="AK1082"/>
      <c r="AL1082"/>
      <c r="AM1082"/>
      <c r="AN1082"/>
    </row>
    <row r="1083" spans="1:40" ht="15" customHeight="1">
      <c r="A1083"/>
      <c r="B1083"/>
      <c r="C1083"/>
      <c r="D1083"/>
      <c r="E1083"/>
      <c r="F1083"/>
      <c r="G1083"/>
      <c r="H1083"/>
      <c r="I1083"/>
      <c r="J1083"/>
      <c r="K1083"/>
      <c r="L1083"/>
      <c r="M1083"/>
      <c r="N1083"/>
      <c r="O1083"/>
      <c r="P1083"/>
      <c r="Q1083"/>
      <c r="R1083"/>
      <c r="S1083"/>
      <c r="T1083"/>
      <c r="U1083"/>
      <c r="V1083"/>
      <c r="W1083"/>
      <c r="X1083"/>
      <c r="Y1083"/>
      <c r="Z1083"/>
      <c r="AA1083"/>
      <c r="AB1083"/>
      <c r="AC1083"/>
      <c r="AD1083"/>
      <c r="AE1083"/>
      <c r="AF1083"/>
      <c r="AG1083"/>
      <c r="AH1083"/>
      <c r="AI1083"/>
      <c r="AJ1083"/>
      <c r="AK1083"/>
      <c r="AL1083"/>
      <c r="AM1083"/>
      <c r="AN1083"/>
    </row>
    <row r="1084" spans="1:40" ht="15" customHeight="1">
      <c r="A1084"/>
      <c r="B1084"/>
      <c r="C1084"/>
      <c r="D1084"/>
      <c r="E1084"/>
      <c r="F1084"/>
      <c r="G1084"/>
      <c r="H1084"/>
      <c r="I1084"/>
      <c r="J1084"/>
      <c r="K1084"/>
      <c r="L1084"/>
      <c r="M1084"/>
      <c r="N1084"/>
      <c r="O1084"/>
      <c r="P1084"/>
      <c r="Q1084"/>
      <c r="R1084"/>
      <c r="S1084"/>
      <c r="T1084"/>
      <c r="U1084"/>
      <c r="V1084"/>
      <c r="W1084"/>
      <c r="X1084"/>
      <c r="Y1084"/>
      <c r="Z1084"/>
      <c r="AA1084"/>
      <c r="AB1084"/>
      <c r="AC1084"/>
      <c r="AD1084"/>
      <c r="AE1084"/>
      <c r="AF1084"/>
      <c r="AG1084"/>
      <c r="AH1084"/>
      <c r="AI1084"/>
      <c r="AJ1084"/>
      <c r="AK1084"/>
      <c r="AL1084"/>
      <c r="AM1084"/>
      <c r="AN1084"/>
    </row>
    <row r="1085" spans="1:40" ht="15" customHeight="1">
      <c r="A1085"/>
      <c r="B1085"/>
      <c r="C1085"/>
      <c r="D1085"/>
      <c r="E1085"/>
      <c r="F1085"/>
      <c r="G1085"/>
      <c r="H1085"/>
      <c r="I1085"/>
      <c r="J1085"/>
      <c r="K1085"/>
      <c r="L1085"/>
      <c r="M1085"/>
      <c r="N1085"/>
      <c r="O1085"/>
      <c r="P1085"/>
      <c r="Q1085"/>
      <c r="R1085"/>
      <c r="S1085"/>
      <c r="T1085"/>
      <c r="U1085"/>
      <c r="V1085"/>
      <c r="W1085"/>
      <c r="X1085"/>
      <c r="Y1085"/>
      <c r="Z1085"/>
      <c r="AA1085"/>
      <c r="AB1085"/>
      <c r="AC1085"/>
      <c r="AD1085"/>
      <c r="AE1085"/>
      <c r="AF1085"/>
      <c r="AG1085"/>
      <c r="AH1085"/>
      <c r="AI1085"/>
      <c r="AJ1085"/>
      <c r="AK1085"/>
      <c r="AL1085"/>
      <c r="AM1085"/>
      <c r="AN1085"/>
    </row>
    <row r="1086" spans="1:40" ht="15" customHeight="1">
      <c r="A1086"/>
      <c r="B1086"/>
      <c r="C1086"/>
      <c r="D1086"/>
      <c r="E1086"/>
      <c r="F1086"/>
      <c r="G1086"/>
      <c r="H1086"/>
      <c r="I1086"/>
      <c r="J1086"/>
      <c r="K1086"/>
      <c r="L1086"/>
      <c r="M1086"/>
      <c r="N1086"/>
      <c r="O1086"/>
      <c r="P1086"/>
      <c r="Q1086"/>
      <c r="R1086"/>
      <c r="S1086"/>
      <c r="T1086"/>
      <c r="U1086"/>
      <c r="V1086"/>
      <c r="W1086"/>
      <c r="X1086"/>
      <c r="Y1086"/>
      <c r="Z1086"/>
      <c r="AA1086"/>
      <c r="AB1086"/>
      <c r="AC1086"/>
      <c r="AD1086"/>
      <c r="AE1086"/>
      <c r="AF1086"/>
      <c r="AG1086"/>
      <c r="AH1086"/>
      <c r="AI1086"/>
      <c r="AJ1086"/>
      <c r="AK1086"/>
      <c r="AL1086"/>
      <c r="AM1086"/>
      <c r="AN1086"/>
    </row>
    <row r="1087" spans="1:40" ht="15" customHeight="1">
      <c r="A1087"/>
      <c r="B1087"/>
      <c r="C1087"/>
      <c r="D1087"/>
      <c r="E1087"/>
      <c r="F1087"/>
      <c r="G1087"/>
      <c r="H1087"/>
      <c r="I1087"/>
      <c r="J1087"/>
      <c r="K1087"/>
      <c r="L1087"/>
      <c r="M1087"/>
      <c r="N1087"/>
      <c r="O1087"/>
      <c r="P1087"/>
      <c r="Q1087"/>
      <c r="R1087"/>
      <c r="S1087"/>
      <c r="T1087"/>
      <c r="U1087"/>
      <c r="V1087"/>
      <c r="W1087"/>
      <c r="X1087"/>
      <c r="Y1087"/>
      <c r="Z1087"/>
      <c r="AA1087"/>
      <c r="AB1087"/>
      <c r="AC1087"/>
      <c r="AD1087"/>
      <c r="AE1087"/>
      <c r="AF1087"/>
      <c r="AG1087"/>
      <c r="AH1087"/>
      <c r="AI1087"/>
      <c r="AJ1087"/>
      <c r="AK1087"/>
      <c r="AL1087"/>
      <c r="AM1087"/>
      <c r="AN1087"/>
    </row>
    <row r="1088" spans="1:40" ht="15" customHeight="1">
      <c r="A1088"/>
      <c r="B1088"/>
      <c r="C1088"/>
      <c r="D1088"/>
      <c r="E1088"/>
      <c r="F1088"/>
      <c r="G1088"/>
      <c r="H1088"/>
      <c r="I1088"/>
      <c r="J1088"/>
      <c r="K1088"/>
      <c r="L1088"/>
      <c r="M1088"/>
      <c r="N1088"/>
      <c r="O1088"/>
      <c r="P1088"/>
      <c r="Q1088"/>
      <c r="R1088"/>
      <c r="S1088"/>
      <c r="T1088"/>
      <c r="U1088"/>
      <c r="V1088"/>
      <c r="W1088"/>
      <c r="X1088"/>
      <c r="Y1088"/>
      <c r="Z1088"/>
      <c r="AA1088"/>
      <c r="AB1088"/>
      <c r="AC1088"/>
      <c r="AD1088"/>
      <c r="AE1088"/>
      <c r="AF1088"/>
      <c r="AG1088"/>
      <c r="AH1088"/>
      <c r="AI1088"/>
      <c r="AJ1088"/>
      <c r="AK1088"/>
      <c r="AL1088"/>
      <c r="AM1088"/>
      <c r="AN1088"/>
    </row>
    <row r="1089" spans="1:40" ht="15" customHeight="1">
      <c r="A1089"/>
      <c r="B1089"/>
      <c r="C1089"/>
      <c r="D1089"/>
      <c r="E1089"/>
      <c r="F1089"/>
      <c r="G1089"/>
      <c r="H1089"/>
      <c r="I1089"/>
      <c r="J1089"/>
      <c r="K1089"/>
      <c r="L1089"/>
      <c r="M1089"/>
      <c r="N1089"/>
      <c r="O1089"/>
      <c r="P1089"/>
      <c r="Q1089"/>
      <c r="R1089"/>
      <c r="S1089"/>
      <c r="T1089"/>
      <c r="U1089"/>
      <c r="V1089"/>
      <c r="W1089"/>
      <c r="X1089"/>
      <c r="Y1089"/>
      <c r="Z1089"/>
      <c r="AA1089"/>
      <c r="AB1089"/>
      <c r="AC1089"/>
      <c r="AD1089"/>
      <c r="AE1089"/>
      <c r="AF1089"/>
      <c r="AG1089"/>
      <c r="AH1089"/>
      <c r="AI1089"/>
      <c r="AJ1089"/>
      <c r="AK1089"/>
      <c r="AL1089"/>
      <c r="AM1089"/>
      <c r="AN1089"/>
    </row>
    <row r="1090" spans="1:40" ht="15" customHeight="1">
      <c r="A1090"/>
      <c r="B1090"/>
      <c r="C1090"/>
      <c r="D1090"/>
      <c r="E1090"/>
      <c r="F1090"/>
      <c r="G1090"/>
      <c r="H1090"/>
      <c r="I1090"/>
      <c r="J1090"/>
      <c r="K1090"/>
      <c r="L1090"/>
      <c r="M1090"/>
      <c r="N1090"/>
      <c r="O1090"/>
      <c r="P1090"/>
      <c r="Q1090"/>
      <c r="R1090"/>
      <c r="S1090"/>
      <c r="T1090"/>
      <c r="U1090"/>
      <c r="V1090"/>
      <c r="W1090"/>
      <c r="X1090"/>
      <c r="Y1090"/>
      <c r="Z1090"/>
      <c r="AA1090"/>
      <c r="AB1090"/>
      <c r="AC1090"/>
      <c r="AD1090"/>
      <c r="AE1090"/>
      <c r="AF1090"/>
      <c r="AG1090"/>
      <c r="AH1090"/>
      <c r="AI1090"/>
      <c r="AJ1090"/>
      <c r="AK1090"/>
      <c r="AL1090"/>
      <c r="AM1090"/>
      <c r="AN1090"/>
    </row>
    <row r="1091" spans="1:40" ht="15" customHeight="1">
      <c r="A1091"/>
      <c r="B1091"/>
      <c r="C1091"/>
      <c r="D1091"/>
      <c r="E1091"/>
      <c r="F1091"/>
      <c r="G1091"/>
      <c r="H1091"/>
      <c r="I1091"/>
      <c r="J1091"/>
      <c r="K1091"/>
      <c r="L1091"/>
      <c r="M1091"/>
      <c r="N1091"/>
      <c r="O1091"/>
      <c r="P1091"/>
      <c r="Q1091"/>
      <c r="R1091"/>
      <c r="S1091"/>
      <c r="T1091"/>
      <c r="U1091"/>
      <c r="V1091"/>
      <c r="W1091"/>
      <c r="X1091"/>
      <c r="Y1091"/>
      <c r="Z1091"/>
      <c r="AA1091"/>
      <c r="AB1091"/>
      <c r="AC1091"/>
      <c r="AD1091"/>
      <c r="AE1091"/>
      <c r="AF1091"/>
      <c r="AG1091"/>
      <c r="AH1091"/>
      <c r="AI1091"/>
      <c r="AJ1091"/>
      <c r="AK1091"/>
      <c r="AL1091"/>
      <c r="AM1091"/>
      <c r="AN1091"/>
    </row>
    <row r="1092" spans="1:40" ht="15" customHeight="1">
      <c r="A1092"/>
      <c r="B1092"/>
      <c r="C1092"/>
      <c r="D1092"/>
      <c r="E1092"/>
      <c r="F1092"/>
      <c r="G1092"/>
      <c r="H1092"/>
      <c r="I1092"/>
      <c r="J1092"/>
      <c r="K1092"/>
      <c r="L1092"/>
      <c r="M1092"/>
      <c r="N1092"/>
      <c r="O1092"/>
      <c r="P1092"/>
      <c r="Q1092"/>
      <c r="R1092"/>
      <c r="S1092"/>
      <c r="T1092"/>
      <c r="U1092"/>
      <c r="V1092"/>
      <c r="W1092"/>
      <c r="X1092"/>
      <c r="Y1092"/>
      <c r="Z1092"/>
      <c r="AA1092"/>
      <c r="AB1092"/>
      <c r="AC1092"/>
      <c r="AD1092"/>
      <c r="AE1092"/>
      <c r="AF1092"/>
      <c r="AG1092"/>
      <c r="AH1092"/>
      <c r="AI1092"/>
      <c r="AJ1092"/>
      <c r="AK1092"/>
      <c r="AL1092"/>
      <c r="AM1092"/>
      <c r="AN1092"/>
    </row>
    <row r="1093" spans="1:40" ht="15" customHeight="1">
      <c r="A1093"/>
      <c r="B1093"/>
      <c r="C1093"/>
      <c r="D1093"/>
      <c r="E1093"/>
      <c r="F1093"/>
      <c r="G1093"/>
      <c r="H1093"/>
      <c r="I1093"/>
      <c r="J1093"/>
      <c r="K1093"/>
      <c r="L1093"/>
      <c r="M1093"/>
      <c r="N1093"/>
      <c r="O1093"/>
      <c r="P1093"/>
      <c r="Q1093"/>
      <c r="R1093"/>
      <c r="S1093"/>
      <c r="T1093"/>
      <c r="U1093"/>
      <c r="V1093"/>
      <c r="W1093"/>
      <c r="X1093"/>
      <c r="Y1093"/>
      <c r="Z1093"/>
      <c r="AA1093"/>
      <c r="AB1093"/>
      <c r="AC1093"/>
      <c r="AD1093"/>
      <c r="AE1093"/>
      <c r="AF1093"/>
      <c r="AG1093"/>
      <c r="AH1093"/>
      <c r="AI1093"/>
      <c r="AJ1093"/>
      <c r="AK1093"/>
      <c r="AL1093"/>
      <c r="AM1093"/>
      <c r="AN1093"/>
    </row>
    <row r="1094" spans="1:40" ht="15" customHeight="1">
      <c r="A1094"/>
      <c r="B1094"/>
      <c r="C1094"/>
      <c r="D1094"/>
      <c r="E1094"/>
      <c r="F1094"/>
      <c r="G1094"/>
      <c r="H1094"/>
      <c r="I1094"/>
      <c r="J1094"/>
      <c r="K1094"/>
      <c r="L1094"/>
      <c r="M1094"/>
      <c r="N1094"/>
      <c r="O1094"/>
      <c r="P1094"/>
      <c r="Q1094"/>
      <c r="R1094"/>
      <c r="S1094"/>
      <c r="T1094"/>
      <c r="U1094"/>
      <c r="V1094"/>
      <c r="W1094"/>
      <c r="X1094"/>
      <c r="Y1094"/>
      <c r="Z1094"/>
      <c r="AA1094"/>
      <c r="AB1094"/>
      <c r="AC1094"/>
      <c r="AD1094"/>
      <c r="AE1094"/>
      <c r="AF1094"/>
      <c r="AG1094"/>
      <c r="AH1094"/>
      <c r="AI1094"/>
      <c r="AJ1094"/>
      <c r="AK1094"/>
      <c r="AL1094"/>
      <c r="AM1094"/>
      <c r="AN1094"/>
    </row>
    <row r="1095" spans="1:40" ht="15" customHeight="1">
      <c r="A1095"/>
      <c r="B1095"/>
      <c r="C1095"/>
      <c r="D1095"/>
      <c r="E1095"/>
      <c r="F1095"/>
      <c r="G1095"/>
      <c r="H1095"/>
      <c r="I1095"/>
      <c r="J1095"/>
      <c r="K1095"/>
      <c r="L1095"/>
      <c r="M1095"/>
      <c r="N1095"/>
      <c r="O1095"/>
      <c r="P1095"/>
      <c r="Q1095"/>
      <c r="R1095"/>
      <c r="S1095"/>
      <c r="T1095"/>
      <c r="U1095"/>
      <c r="V1095"/>
      <c r="W1095"/>
      <c r="X1095"/>
      <c r="Y1095"/>
      <c r="Z1095"/>
      <c r="AA1095"/>
      <c r="AB1095"/>
      <c r="AC1095"/>
      <c r="AD1095"/>
      <c r="AE1095"/>
      <c r="AF1095"/>
      <c r="AG1095"/>
      <c r="AH1095"/>
      <c r="AI1095"/>
      <c r="AJ1095"/>
      <c r="AK1095"/>
      <c r="AL1095"/>
      <c r="AM1095"/>
      <c r="AN1095"/>
    </row>
    <row r="1096" spans="1:40" ht="15" customHeight="1">
      <c r="A1096"/>
      <c r="B1096"/>
      <c r="C1096"/>
      <c r="D1096"/>
      <c r="E1096"/>
      <c r="F1096"/>
      <c r="G1096"/>
      <c r="H1096"/>
      <c r="I1096"/>
      <c r="J1096"/>
      <c r="K1096"/>
      <c r="L1096"/>
      <c r="M1096"/>
      <c r="N1096"/>
      <c r="O1096"/>
      <c r="P1096"/>
      <c r="Q1096"/>
      <c r="R1096"/>
      <c r="S1096"/>
      <c r="T1096"/>
      <c r="U1096"/>
      <c r="V1096"/>
      <c r="W1096"/>
      <c r="X1096"/>
      <c r="Y1096"/>
      <c r="Z1096"/>
      <c r="AA1096"/>
      <c r="AB1096"/>
      <c r="AC1096"/>
      <c r="AD1096"/>
      <c r="AE1096"/>
      <c r="AF1096"/>
      <c r="AG1096"/>
      <c r="AH1096"/>
      <c r="AI1096"/>
      <c r="AJ1096"/>
      <c r="AK1096"/>
      <c r="AL1096"/>
      <c r="AM1096"/>
      <c r="AN1096"/>
    </row>
    <row r="1097" spans="1:40" ht="15" customHeight="1">
      <c r="A1097"/>
      <c r="B1097"/>
      <c r="C1097"/>
      <c r="D1097"/>
      <c r="E1097"/>
      <c r="F1097"/>
      <c r="G1097"/>
      <c r="H1097"/>
      <c r="I1097"/>
      <c r="J1097"/>
      <c r="K1097"/>
      <c r="L1097"/>
      <c r="M1097"/>
      <c r="N1097"/>
      <c r="O1097"/>
      <c r="P1097"/>
      <c r="Q1097"/>
      <c r="R1097"/>
      <c r="S1097"/>
      <c r="T1097"/>
      <c r="U1097"/>
      <c r="V1097"/>
      <c r="W1097"/>
      <c r="X1097"/>
      <c r="Y1097"/>
      <c r="Z1097"/>
      <c r="AA1097"/>
      <c r="AB1097"/>
      <c r="AC1097"/>
      <c r="AD1097"/>
      <c r="AE1097"/>
      <c r="AF1097"/>
      <c r="AG1097"/>
      <c r="AH1097"/>
      <c r="AI1097"/>
      <c r="AJ1097"/>
      <c r="AK1097"/>
      <c r="AL1097"/>
      <c r="AM1097"/>
      <c r="AN1097"/>
    </row>
    <row r="1098" spans="1:40" ht="15" customHeight="1">
      <c r="A1098"/>
      <c r="B1098"/>
      <c r="C1098"/>
      <c r="D1098"/>
      <c r="E1098"/>
      <c r="F1098"/>
      <c r="G1098"/>
      <c r="H1098"/>
      <c r="I1098"/>
      <c r="J1098"/>
      <c r="K1098"/>
      <c r="L1098"/>
      <c r="M1098"/>
      <c r="N1098"/>
      <c r="O1098"/>
      <c r="P1098"/>
      <c r="Q1098"/>
      <c r="R1098"/>
      <c r="S1098"/>
      <c r="T1098"/>
      <c r="U1098"/>
      <c r="V1098"/>
      <c r="W1098"/>
      <c r="X1098"/>
      <c r="Y1098"/>
      <c r="Z1098"/>
      <c r="AA1098"/>
      <c r="AB1098"/>
      <c r="AC1098"/>
      <c r="AD1098"/>
      <c r="AE1098"/>
      <c r="AF1098"/>
      <c r="AG1098"/>
      <c r="AH1098"/>
      <c r="AI1098"/>
      <c r="AJ1098"/>
      <c r="AK1098"/>
      <c r="AL1098"/>
      <c r="AM1098"/>
      <c r="AN1098"/>
    </row>
    <row r="1099" spans="1:40" ht="15" customHeight="1">
      <c r="A1099"/>
      <c r="B1099"/>
      <c r="C1099"/>
      <c r="D1099"/>
      <c r="E1099"/>
      <c r="F1099"/>
      <c r="G1099"/>
      <c r="H1099"/>
      <c r="I1099"/>
      <c r="J1099"/>
      <c r="K1099"/>
      <c r="L1099"/>
      <c r="M1099"/>
      <c r="N1099"/>
      <c r="O1099"/>
      <c r="P1099"/>
      <c r="Q1099"/>
      <c r="R1099"/>
      <c r="S1099"/>
      <c r="T1099"/>
      <c r="U1099"/>
      <c r="V1099"/>
      <c r="W1099"/>
      <c r="X1099"/>
      <c r="Y1099"/>
      <c r="Z1099"/>
      <c r="AA1099"/>
      <c r="AB1099"/>
      <c r="AC1099"/>
      <c r="AD1099"/>
      <c r="AE1099"/>
      <c r="AF1099"/>
      <c r="AG1099"/>
      <c r="AH1099"/>
      <c r="AI1099"/>
      <c r="AJ1099"/>
      <c r="AK1099"/>
      <c r="AL1099"/>
      <c r="AM1099"/>
      <c r="AN1099"/>
    </row>
  </sheetData>
  <sheetProtection/>
  <printOptions/>
  <pageMargins left="0.75" right="0.75" top="1" bottom="1" header="0.5" footer="0.5"/>
  <pageSetup horizontalDpi="600" verticalDpi="600" orientation="portrait" r:id="rId3"/>
  <legacyDrawing r:id="rId2"/>
</worksheet>
</file>

<file path=xl/worksheets/sheet10.xml><?xml version="1.0" encoding="utf-8"?>
<worksheet xmlns="http://schemas.openxmlformats.org/spreadsheetml/2006/main" xmlns:r="http://schemas.openxmlformats.org/officeDocument/2006/relationships">
  <sheetPr>
    <tabColor indexed="16"/>
  </sheetPr>
  <dimension ref="A1:I52"/>
  <sheetViews>
    <sheetView showGridLines="0" showZeros="0" view="pageBreakPreview" zoomScale="75" zoomScaleSheetLayoutView="75" zoomScalePageLayoutView="0" workbookViewId="0" topLeftCell="A1">
      <selection activeCell="Q21" sqref="Q21"/>
    </sheetView>
  </sheetViews>
  <sheetFormatPr defaultColWidth="8.796875" defaultRowHeight="15"/>
  <cols>
    <col min="1" max="1" width="17" style="0" customWidth="1"/>
    <col min="2" max="6" width="8.59765625" style="0" customWidth="1"/>
    <col min="8" max="8" width="8.59765625" style="62" customWidth="1"/>
  </cols>
  <sheetData>
    <row r="1" spans="1:8" ht="18">
      <c r="A1" s="34" t="s">
        <v>792</v>
      </c>
      <c r="B1" s="34"/>
      <c r="C1" s="34"/>
      <c r="D1" s="34"/>
      <c r="E1" s="34"/>
      <c r="F1" s="34"/>
      <c r="G1" s="34"/>
      <c r="H1" s="233"/>
    </row>
    <row r="2" spans="1:8" s="109" customFormat="1" ht="12.75">
      <c r="A2" s="108"/>
      <c r="B2" s="108"/>
      <c r="C2" s="108"/>
      <c r="D2" s="108"/>
      <c r="E2" s="108"/>
      <c r="F2" s="108"/>
      <c r="G2" s="108"/>
      <c r="H2" s="234"/>
    </row>
    <row r="3" spans="1:8" ht="15.75">
      <c r="A3" s="35" t="s">
        <v>597</v>
      </c>
      <c r="B3" s="35"/>
      <c r="C3" s="35"/>
      <c r="D3" s="35"/>
      <c r="E3" s="35"/>
      <c r="F3" s="35"/>
      <c r="G3" s="35"/>
      <c r="H3" s="235"/>
    </row>
    <row r="4" spans="1:8" ht="15.75">
      <c r="A4" s="35" t="s">
        <v>810</v>
      </c>
      <c r="B4" s="35"/>
      <c r="C4" s="35"/>
      <c r="D4" s="35"/>
      <c r="E4" s="35"/>
      <c r="F4" s="35"/>
      <c r="G4" s="35"/>
      <c r="H4" s="235"/>
    </row>
    <row r="5" spans="1:8" ht="15.75">
      <c r="A5" s="35" t="s">
        <v>39</v>
      </c>
      <c r="B5" s="35"/>
      <c r="C5" s="35"/>
      <c r="D5" s="35"/>
      <c r="E5" s="35"/>
      <c r="F5" s="35"/>
      <c r="G5" s="35"/>
      <c r="H5" s="235"/>
    </row>
    <row r="6" spans="1:8" s="109" customFormat="1" ht="12.75">
      <c r="A6" s="113"/>
      <c r="B6" s="113"/>
      <c r="C6" s="113"/>
      <c r="D6" s="113"/>
      <c r="E6" s="113"/>
      <c r="F6" s="113"/>
      <c r="G6" s="113"/>
      <c r="H6" s="261"/>
    </row>
    <row r="7" spans="1:8" s="14" customFormat="1" ht="15.75">
      <c r="A7" s="143"/>
      <c r="B7" s="63"/>
      <c r="C7" s="63"/>
      <c r="D7" s="63"/>
      <c r="E7" s="63"/>
      <c r="F7" s="63"/>
      <c r="G7" s="63" t="s">
        <v>802</v>
      </c>
      <c r="H7" s="257" t="s">
        <v>803</v>
      </c>
    </row>
    <row r="8" spans="1:8" s="14" customFormat="1" ht="15.75">
      <c r="A8" s="144"/>
      <c r="B8" s="33" t="s">
        <v>804</v>
      </c>
      <c r="C8" s="33" t="s">
        <v>805</v>
      </c>
      <c r="D8" s="33" t="s">
        <v>806</v>
      </c>
      <c r="E8" s="33" t="s">
        <v>807</v>
      </c>
      <c r="F8" s="33" t="s">
        <v>808</v>
      </c>
      <c r="G8" s="33" t="s">
        <v>805</v>
      </c>
      <c r="H8" s="258" t="s">
        <v>805</v>
      </c>
    </row>
    <row r="9" spans="1:8" s="77" customFormat="1" ht="9" customHeight="1">
      <c r="A9" s="76"/>
      <c r="H9" s="262"/>
    </row>
    <row r="10" spans="1:8" ht="12.75" customHeight="1">
      <c r="A10" s="6" t="s">
        <v>981</v>
      </c>
      <c r="B10" s="79">
        <f>+'Summary Medians from SPSS 07-08'!$S$291</f>
        <v>24625.68</v>
      </c>
      <c r="C10" s="79">
        <f>+'Summary Medians from SPSS 07-08'!$Y$291</f>
        <v>36778</v>
      </c>
      <c r="D10" s="79">
        <f>+'Summary Medians from SPSS 07-08'!$AE$291</f>
        <v>37518</v>
      </c>
      <c r="E10" s="79">
        <f>+'Summary Medians from SPSS 07-08'!$AK$291</f>
        <v>25554.5</v>
      </c>
      <c r="F10" s="79">
        <f>+'Summary Medians from SPSS 07-08'!$AQ$291</f>
        <v>26082</v>
      </c>
      <c r="G10" s="79">
        <f>+'Summary Medians from SPSS 07-08'!$AW$291</f>
        <v>34061</v>
      </c>
      <c r="H10" s="23">
        <f>+'Summary Medians from SPSS 07-08'!$BC$291</f>
        <v>32750</v>
      </c>
    </row>
    <row r="11" spans="1:8" s="46" customFormat="1" ht="9" customHeight="1">
      <c r="A11" s="44"/>
      <c r="B11" s="45"/>
      <c r="C11" s="45"/>
      <c r="D11" s="45"/>
      <c r="E11" s="45"/>
      <c r="F11" s="45"/>
      <c r="G11" s="45"/>
      <c r="H11" s="238"/>
    </row>
    <row r="12" spans="1:8" ht="12.75" customHeight="1">
      <c r="A12" s="2" t="s">
        <v>600</v>
      </c>
      <c r="B12" s="27">
        <f>+'Summary Medians from SPSS 07-08'!$S$19</f>
        <v>22170</v>
      </c>
      <c r="C12" s="27">
        <f>+'Summary Medians from SPSS 07-08'!$Y$19</f>
        <v>42265</v>
      </c>
      <c r="D12" s="27">
        <f>+'Summary Medians from SPSS 07-08'!$AE$19</f>
        <v>36591</v>
      </c>
      <c r="E12" s="27">
        <f>+'Summary Medians from SPSS 07-08'!$AK$19</f>
        <v>24410</v>
      </c>
      <c r="F12" s="27">
        <f>+'Summary Medians from SPSS 07-08'!$AQ$19</f>
        <v>39483</v>
      </c>
      <c r="G12" s="27">
        <f>+'Summary Medians from SPSS 07-08'!$AW$19</f>
        <v>0</v>
      </c>
      <c r="H12" s="25">
        <f>+'Summary Medians from SPSS 07-08'!$BC$19</f>
        <v>30434</v>
      </c>
    </row>
    <row r="13" spans="1:8" ht="12.75" customHeight="1">
      <c r="A13" s="2" t="s">
        <v>601</v>
      </c>
      <c r="B13" s="27">
        <f>+'Summary Medians from SPSS 07-08'!$S$36</f>
        <v>16421</v>
      </c>
      <c r="C13" s="27">
        <f>+'Summary Medians from SPSS 07-08'!$Y$36</f>
        <v>31807</v>
      </c>
      <c r="D13" s="27"/>
      <c r="E13" s="27">
        <f>+'Summary Medians from SPSS 07-08'!$AK$36</f>
        <v>18378</v>
      </c>
      <c r="F13" s="27">
        <f>+'Summary Medians from SPSS 07-08'!$AQ$36</f>
        <v>0</v>
      </c>
      <c r="G13" s="27">
        <f>+'Summary Medians from SPSS 07-08'!$AW$36</f>
        <v>0</v>
      </c>
      <c r="H13" s="25">
        <f>+'Summary Medians from SPSS 07-08'!$BC$36</f>
        <v>0</v>
      </c>
    </row>
    <row r="14" spans="1:8" ht="12.75" customHeight="1">
      <c r="A14" s="2" t="s">
        <v>811</v>
      </c>
      <c r="B14" s="27">
        <f>+'Summary Medians from SPSS 07-08'!$S$53</f>
        <v>0</v>
      </c>
      <c r="C14" s="27">
        <f>+'Summary Medians from SPSS 07-08'!$Y$53</f>
        <v>0</v>
      </c>
      <c r="D14" s="27"/>
      <c r="E14" s="27">
        <f>+'Summary Medians from SPSS 07-08'!$AK$53</f>
        <v>0</v>
      </c>
      <c r="F14" s="27">
        <f>+'Summary Medians from SPSS 07-08'!$AQ$53</f>
        <v>0</v>
      </c>
      <c r="G14" s="27">
        <f>+'Summary Medians from SPSS 07-08'!$AW$53</f>
        <v>0</v>
      </c>
      <c r="H14" s="25">
        <f>+'Summary Medians from SPSS 07-08'!$BC$53</f>
        <v>0</v>
      </c>
    </row>
    <row r="15" spans="1:8" ht="12.75" customHeight="1">
      <c r="A15" s="2" t="s">
        <v>602</v>
      </c>
      <c r="B15" s="27">
        <f>+'Summary Medians from SPSS 07-08'!$S$70</f>
        <v>22818.16</v>
      </c>
      <c r="C15" s="27">
        <f>+'Summary Medians from SPSS 07-08'!$Y$70</f>
        <v>52433.17</v>
      </c>
      <c r="D15" s="27">
        <f>+'Summary Medians from SPSS 07-08'!$AE$70</f>
        <v>47630.9</v>
      </c>
      <c r="E15" s="27">
        <f>+'Summary Medians from SPSS 07-08'!$AK$70</f>
        <v>28322.95</v>
      </c>
      <c r="F15" s="27">
        <f>+'Summary Medians from SPSS 07-08'!$AQ$70</f>
        <v>0</v>
      </c>
      <c r="G15" s="27">
        <f>+'Summary Medians from SPSS 07-08'!$AW$70</f>
        <v>0</v>
      </c>
      <c r="H15" s="25">
        <f>+'Summary Medians from SPSS 07-08'!$BC$70</f>
        <v>39376.7</v>
      </c>
    </row>
    <row r="16" spans="1:8" ht="9" customHeight="1">
      <c r="A16" s="2"/>
      <c r="B16" s="27"/>
      <c r="C16" s="27"/>
      <c r="D16" s="27"/>
      <c r="E16" s="27"/>
      <c r="F16" s="27"/>
      <c r="G16" s="27"/>
      <c r="H16" s="25"/>
    </row>
    <row r="17" spans="1:8" ht="12.75" customHeight="1">
      <c r="A17" s="2" t="s">
        <v>603</v>
      </c>
      <c r="B17" s="27">
        <f>+'Summary Medians from SPSS 07-08'!$S$87</f>
        <v>28428</v>
      </c>
      <c r="C17" s="27">
        <f>+'Summary Medians from SPSS 07-08'!$Y$87</f>
        <v>14238</v>
      </c>
      <c r="D17" s="27">
        <f>+'Summary Medians from SPSS 07-08'!$AE$87</f>
        <v>40412</v>
      </c>
      <c r="E17" s="27">
        <f>+'Summary Medians from SPSS 07-08'!$AK$87</f>
        <v>0</v>
      </c>
      <c r="F17" s="27">
        <f>+'Summary Medians from SPSS 07-08'!$AQ$87</f>
        <v>0</v>
      </c>
      <c r="G17" s="27">
        <f>+'Summary Medians from SPSS 07-08'!$AW$87</f>
        <v>0</v>
      </c>
      <c r="H17" s="25">
        <f>+'Summary Medians from SPSS 07-08'!$BC$87</f>
        <v>0</v>
      </c>
    </row>
    <row r="18" spans="1:8" ht="12.75" customHeight="1">
      <c r="A18" s="2" t="s">
        <v>604</v>
      </c>
      <c r="B18" s="27">
        <f>+'Summary Medians from SPSS 07-08'!$S$104</f>
        <v>25886</v>
      </c>
      <c r="C18" s="27">
        <f>+'Summary Medians from SPSS 07-08'!$Y$104</f>
        <v>43952.5</v>
      </c>
      <c r="D18" s="27">
        <f>+'Summary Medians from SPSS 07-08'!$AE$104</f>
        <v>44939</v>
      </c>
      <c r="E18" s="27">
        <f>+'Summary Medians from SPSS 07-08'!$AK$104</f>
        <v>33098</v>
      </c>
      <c r="F18" s="27">
        <f>+'Summary Medians from SPSS 07-08'!$AQ$104</f>
        <v>0</v>
      </c>
      <c r="G18" s="27">
        <f>+'Summary Medians from SPSS 07-08'!$AW$104</f>
        <v>0</v>
      </c>
      <c r="H18" s="25">
        <f>+'Summary Medians from SPSS 07-08'!$BC$104</f>
        <v>0</v>
      </c>
    </row>
    <row r="19" spans="1:8" ht="12.75" customHeight="1">
      <c r="A19" s="2" t="s">
        <v>605</v>
      </c>
      <c r="B19" s="27">
        <f>+'Summary Medians from SPSS 07-08'!$S$121</f>
        <v>16228.5</v>
      </c>
      <c r="C19" s="27">
        <f>+'Summary Medians from SPSS 07-08'!$Y$121</f>
        <v>25739</v>
      </c>
      <c r="D19" s="27">
        <f>+'Summary Medians from SPSS 07-08'!$AE$121</f>
        <v>23260</v>
      </c>
      <c r="E19" s="27">
        <f>+'Summary Medians from SPSS 07-08'!$AK$121</f>
        <v>21851</v>
      </c>
      <c r="F19" s="27">
        <f>+'Summary Medians from SPSS 07-08'!$AQ$121</f>
        <v>0</v>
      </c>
      <c r="G19" s="27">
        <f>+'Summary Medians from SPSS 07-08'!$AW$121</f>
        <v>0</v>
      </c>
      <c r="H19" s="25">
        <f>+'Summary Medians from SPSS 07-08'!$BC$121</f>
        <v>32267</v>
      </c>
    </row>
    <row r="20" spans="1:8" ht="12.75" customHeight="1">
      <c r="A20" s="2" t="s">
        <v>606</v>
      </c>
      <c r="B20" s="27">
        <f>+'Summary Medians from SPSS 07-08'!$S$138</f>
        <v>32284</v>
      </c>
      <c r="C20" s="27">
        <f>+'Summary Medians from SPSS 07-08'!$Y$138</f>
        <v>39957</v>
      </c>
      <c r="D20" s="27">
        <f>+'Summary Medians from SPSS 07-08'!$AE$138</f>
        <v>40983</v>
      </c>
      <c r="E20" s="27">
        <f>+'Summary Medians from SPSS 07-08'!$AK$138</f>
        <v>28297</v>
      </c>
      <c r="F20" s="27">
        <f>+'Summary Medians from SPSS 07-08'!$AQ$138</f>
        <v>0</v>
      </c>
      <c r="G20" s="27">
        <f>+'Summary Medians from SPSS 07-08'!$AW$138</f>
        <v>0</v>
      </c>
      <c r="H20" s="25">
        <f>+'Summary Medians from SPSS 07-08'!$BC$138</f>
        <v>0</v>
      </c>
    </row>
    <row r="21" spans="1:8" ht="9" customHeight="1">
      <c r="A21" s="2"/>
      <c r="B21" s="27"/>
      <c r="C21" s="27"/>
      <c r="D21" s="27"/>
      <c r="E21" s="27"/>
      <c r="F21" s="27"/>
      <c r="G21" s="27"/>
      <c r="H21" s="25"/>
    </row>
    <row r="22" spans="1:8" ht="12.75" customHeight="1">
      <c r="A22" s="2" t="s">
        <v>607</v>
      </c>
      <c r="B22" s="27">
        <f>+'Summary Medians from SPSS 07-08'!$S$155</f>
        <v>18550</v>
      </c>
      <c r="C22" s="27">
        <f>+'Summary Medians from SPSS 07-08'!$Y$155</f>
        <v>18661</v>
      </c>
      <c r="D22" s="27">
        <f>+'Summary Medians from SPSS 07-08'!$AE$155</f>
        <v>18711</v>
      </c>
      <c r="E22" s="27">
        <f>+'Summary Medians from SPSS 07-08'!$AK$155</f>
        <v>17098</v>
      </c>
      <c r="F22" s="27">
        <f>+'Summary Medians from SPSS 07-08'!$AQ$155</f>
        <v>0</v>
      </c>
      <c r="G22" s="27">
        <f>+'Summary Medians from SPSS 07-08'!$AW$155</f>
        <v>0</v>
      </c>
      <c r="H22" s="25">
        <f>+'Summary Medians from SPSS 07-08'!$BC$155</f>
        <v>32750</v>
      </c>
    </row>
    <row r="23" spans="1:8" ht="12.75" customHeight="1">
      <c r="A23" s="2" t="s">
        <v>608</v>
      </c>
      <c r="B23" s="27">
        <f>+'Summary Medians from SPSS 07-08'!$S$172</f>
        <v>21207.5</v>
      </c>
      <c r="C23" s="27">
        <f>+'Summary Medians from SPSS 07-08'!$Y$172</f>
        <v>34880</v>
      </c>
      <c r="D23" s="27">
        <f>+'Summary Medians from SPSS 07-08'!$AE$172</f>
        <v>29999</v>
      </c>
      <c r="E23" s="27">
        <f>+'Summary Medians from SPSS 07-08'!$AK$172</f>
        <v>28977</v>
      </c>
      <c r="F23" s="27">
        <f>+'Summary Medians from SPSS 07-08'!$AQ$172</f>
        <v>0</v>
      </c>
      <c r="G23" s="27">
        <f>+'Summary Medians from SPSS 07-08'!$AW$172</f>
        <v>0</v>
      </c>
      <c r="H23" s="25">
        <f>+'Summary Medians from SPSS 07-08'!$BC$172</f>
        <v>33343</v>
      </c>
    </row>
    <row r="24" spans="1:8" ht="12.75" customHeight="1">
      <c r="A24" s="2" t="s">
        <v>609</v>
      </c>
      <c r="B24" s="27">
        <f>+'Summary Medians from SPSS 07-08'!$S$189</f>
        <v>24053</v>
      </c>
      <c r="C24" s="27">
        <f>+'Summary Medians from SPSS 07-08'!$Y$189</f>
        <v>41876</v>
      </c>
      <c r="D24" s="27">
        <f>+'Summary Medians from SPSS 07-08'!$AE$189</f>
        <v>37518</v>
      </c>
      <c r="E24" s="27">
        <f>+'Summary Medians from SPSS 07-08'!$AK$189</f>
        <v>22917.7</v>
      </c>
      <c r="F24" s="27">
        <f>+'Summary Medians from SPSS 07-08'!$AQ$189</f>
        <v>24092.8</v>
      </c>
      <c r="G24" s="27">
        <f>+'Summary Medians from SPSS 07-08'!$AW$189</f>
        <v>34061</v>
      </c>
      <c r="H24" s="25">
        <f>+'Summary Medians from SPSS 07-08'!$BC$189</f>
        <v>30404.18</v>
      </c>
    </row>
    <row r="25" spans="1:8" ht="12.75" customHeight="1">
      <c r="A25" s="2" t="s">
        <v>610</v>
      </c>
      <c r="B25" s="27">
        <f>+'Summary Medians from SPSS 07-08'!$S$206</f>
        <v>33450</v>
      </c>
      <c r="C25" s="27">
        <f>+'Summary Medians from SPSS 07-08'!$Y$206</f>
        <v>62830</v>
      </c>
      <c r="D25" s="27">
        <f>+'Summary Medians from SPSS 07-08'!$AE$206</f>
        <v>53686</v>
      </c>
      <c r="E25" s="27">
        <f>+'Summary Medians from SPSS 07-08'!$AK$206</f>
        <v>32680</v>
      </c>
      <c r="F25" s="27">
        <f>+'Summary Medians from SPSS 07-08'!$AQ$206</f>
        <v>0</v>
      </c>
      <c r="G25" s="27">
        <f>+'Summary Medians from SPSS 07-08'!$AW$206</f>
        <v>0</v>
      </c>
      <c r="H25" s="25">
        <f>+'Summary Medians from SPSS 07-08'!$BC$206</f>
        <v>0</v>
      </c>
    </row>
    <row r="26" ht="9" customHeight="1">
      <c r="A26" s="2"/>
    </row>
    <row r="27" spans="1:8" ht="12.75" customHeight="1">
      <c r="A27" s="2" t="s">
        <v>611</v>
      </c>
      <c r="B27" s="27">
        <f>+'Summary Medians from SPSS 07-08'!$S$223</f>
        <v>28940</v>
      </c>
      <c r="C27" s="27">
        <f>+'Summary Medians from SPSS 07-08'!$Y$223</f>
        <v>39366.5</v>
      </c>
      <c r="D27" s="27">
        <f>+'Summary Medians from SPSS 07-08'!$AE$223</f>
        <v>38740</v>
      </c>
      <c r="E27" s="27">
        <f>+'Summary Medians from SPSS 07-08'!$AK$223</f>
        <v>26042</v>
      </c>
      <c r="F27" s="27">
        <f>+'Summary Medians from SPSS 07-08'!$AQ$223</f>
        <v>0</v>
      </c>
      <c r="G27" s="27">
        <f>+'Summary Medians from SPSS 07-08'!$AW$223</f>
        <v>0</v>
      </c>
      <c r="H27" s="25">
        <f>+'Summary Medians from SPSS 07-08'!$BC$223</f>
        <v>38658</v>
      </c>
    </row>
    <row r="28" spans="1:8" ht="12.75" customHeight="1">
      <c r="A28" s="6" t="s">
        <v>612</v>
      </c>
      <c r="B28" s="27">
        <f>+'Summary Medians from SPSS 07-08'!$S$240</f>
        <v>20407.2</v>
      </c>
      <c r="C28" s="27">
        <f>+'Summary Medians from SPSS 07-08'!$Y$240</f>
        <v>25042.5</v>
      </c>
      <c r="D28" s="27">
        <f>+'Summary Medians from SPSS 07-08'!$AE$240</f>
        <v>22910</v>
      </c>
      <c r="E28" s="27">
        <f>+'Summary Medians from SPSS 07-08'!$AK$240</f>
        <v>22837.5</v>
      </c>
      <c r="F28" s="27">
        <f>+'Summary Medians from SPSS 07-08'!$AQ$240</f>
        <v>26082</v>
      </c>
      <c r="G28" s="27">
        <f>+'Summary Medians from SPSS 07-08'!$AW$240</f>
        <v>29700</v>
      </c>
      <c r="H28" s="25">
        <f>+'Summary Medians from SPSS 07-08'!$BC$240</f>
        <v>23282</v>
      </c>
    </row>
    <row r="29" spans="1:8" ht="12.75" customHeight="1">
      <c r="A29" s="2" t="s">
        <v>817</v>
      </c>
      <c r="B29" s="27">
        <f>+'Summary Medians from SPSS 07-08'!$S$257</f>
        <v>28536</v>
      </c>
      <c r="C29" s="27">
        <f>+'Summary Medians from SPSS 07-08'!$Y$257</f>
        <v>41140</v>
      </c>
      <c r="D29" s="27">
        <f>+'Summary Medians from SPSS 07-08'!$AE$257</f>
        <v>39118</v>
      </c>
      <c r="E29" s="27">
        <f>+'Summary Medians from SPSS 07-08'!$AK$257</f>
        <v>26175</v>
      </c>
      <c r="F29" s="27">
        <f>+'Summary Medians from SPSS 07-08'!$AQ$257</f>
        <v>0</v>
      </c>
      <c r="G29" s="27">
        <f>+'Summary Medians from SPSS 07-08'!$AW$257</f>
        <v>0</v>
      </c>
      <c r="H29" s="25">
        <f>+'Summary Medians from SPSS 07-08'!$BC$257</f>
        <v>35896</v>
      </c>
    </row>
    <row r="30" spans="1:8" ht="12.75" customHeight="1">
      <c r="A30" s="9" t="s">
        <v>614</v>
      </c>
      <c r="B30" s="32">
        <f>+'Summary Medians from SPSS 07-08'!$S$274</f>
        <v>22432</v>
      </c>
      <c r="C30" s="32">
        <f>+'Summary Medians from SPSS 07-08'!$Y$274</f>
        <v>38368</v>
      </c>
      <c r="D30" s="32">
        <f>+'Summary Medians from SPSS 07-08'!$AE$274</f>
        <v>37518</v>
      </c>
      <c r="E30" s="32">
        <f>+'Summary Medians from SPSS 07-08'!$AK$274</f>
        <v>24838</v>
      </c>
      <c r="F30" s="32">
        <f>+'Summary Medians from SPSS 07-08'!$AQ$274</f>
        <v>0</v>
      </c>
      <c r="G30" s="32">
        <f>+'Summary Medians from SPSS 07-08'!$AW$274</f>
        <v>49073</v>
      </c>
      <c r="H30" s="29">
        <f>+'Summary Medians from SPSS 07-08'!$BC$274</f>
        <v>0</v>
      </c>
    </row>
    <row r="31" ht="9" customHeight="1">
      <c r="A31" s="18"/>
    </row>
    <row r="32" spans="1:8" ht="33.75" customHeight="1">
      <c r="A32" s="531" t="s">
        <v>809</v>
      </c>
      <c r="B32" s="531"/>
      <c r="C32" s="531"/>
      <c r="D32" s="531"/>
      <c r="E32" s="531"/>
      <c r="F32" s="531"/>
      <c r="G32" s="531"/>
      <c r="H32" s="531"/>
    </row>
    <row r="33" ht="15.75">
      <c r="H33" s="475" t="s">
        <v>1117</v>
      </c>
    </row>
    <row r="35" ht="15.75">
      <c r="I35" t="s">
        <v>951</v>
      </c>
    </row>
    <row r="36" ht="15.75">
      <c r="I36">
        <v>19</v>
      </c>
    </row>
    <row r="37" ht="15.75">
      <c r="I37">
        <f>I36+17</f>
        <v>36</v>
      </c>
    </row>
    <row r="38" ht="15.75">
      <c r="I38">
        <f aca="true" t="shared" si="0" ref="I38:I52">I37+17</f>
        <v>53</v>
      </c>
    </row>
    <row r="39" ht="15.75">
      <c r="I39">
        <f t="shared" si="0"/>
        <v>70</v>
      </c>
    </row>
    <row r="40" ht="15.75">
      <c r="I40">
        <f t="shared" si="0"/>
        <v>87</v>
      </c>
    </row>
    <row r="41" ht="15.75">
      <c r="I41">
        <f t="shared" si="0"/>
        <v>104</v>
      </c>
    </row>
    <row r="42" ht="15.75">
      <c r="I42">
        <f t="shared" si="0"/>
        <v>121</v>
      </c>
    </row>
    <row r="43" ht="15.75">
      <c r="I43">
        <f t="shared" si="0"/>
        <v>138</v>
      </c>
    </row>
    <row r="44" ht="15.75">
      <c r="I44">
        <f t="shared" si="0"/>
        <v>155</v>
      </c>
    </row>
    <row r="45" ht="15.75">
      <c r="I45">
        <f t="shared" si="0"/>
        <v>172</v>
      </c>
    </row>
    <row r="46" ht="15.75">
      <c r="I46">
        <f t="shared" si="0"/>
        <v>189</v>
      </c>
    </row>
    <row r="47" ht="15.75">
      <c r="I47">
        <f t="shared" si="0"/>
        <v>206</v>
      </c>
    </row>
    <row r="48" ht="15.75">
      <c r="I48">
        <f t="shared" si="0"/>
        <v>223</v>
      </c>
    </row>
    <row r="49" ht="15.75">
      <c r="I49">
        <f t="shared" si="0"/>
        <v>240</v>
      </c>
    </row>
    <row r="50" ht="15.75">
      <c r="I50">
        <f t="shared" si="0"/>
        <v>257</v>
      </c>
    </row>
    <row r="51" ht="15.75">
      <c r="I51">
        <f t="shared" si="0"/>
        <v>274</v>
      </c>
    </row>
    <row r="52" ht="15.75">
      <c r="I52">
        <f t="shared" si="0"/>
        <v>291</v>
      </c>
    </row>
  </sheetData>
  <sheetProtection/>
  <mergeCells count="1">
    <mergeCell ref="A32:H32"/>
  </mergeCells>
  <printOptions horizontalCentered="1"/>
  <pageMargins left="0.75" right="0.75" top="1" bottom="1" header="0.6" footer="0.5"/>
  <pageSetup firstPageNumber="114" useFirstPageNumber="1" horizontalDpi="600" verticalDpi="600" orientation="landscape" r:id="rId1"/>
  <headerFooter alignWithMargins="0">
    <oddHeader>&amp;R&amp;"Arial,Regular"&amp;8SREB-State Data Exchange</oddHeader>
    <oddFooter>&amp;C&amp;"ARIAL,Regular"&amp;10&amp;P</oddFooter>
  </headerFooter>
</worksheet>
</file>

<file path=xl/worksheets/sheet11.xml><?xml version="1.0" encoding="utf-8"?>
<worksheet xmlns="http://schemas.openxmlformats.org/spreadsheetml/2006/main" xmlns:r="http://schemas.openxmlformats.org/officeDocument/2006/relationships">
  <sheetPr>
    <tabColor indexed="17"/>
  </sheetPr>
  <dimension ref="A1:BD293"/>
  <sheetViews>
    <sheetView showGridLines="0" showZeros="0" view="pageBreakPreview" zoomScale="85" zoomScaleNormal="85" zoomScaleSheetLayoutView="85" zoomScalePageLayoutView="0" workbookViewId="0" topLeftCell="A1">
      <pane xSplit="2" ySplit="2" topLeftCell="R63" activePane="bottomRight" state="frozen"/>
      <selection pane="topLeft" activeCell="A1" sqref="A1"/>
      <selection pane="topRight" activeCell="C1" sqref="C1"/>
      <selection pane="bottomLeft" activeCell="A3" sqref="A3"/>
      <selection pane="bottomRight" activeCell="AH88" sqref="AH88"/>
    </sheetView>
  </sheetViews>
  <sheetFormatPr defaultColWidth="8.796875" defaultRowHeight="15"/>
  <cols>
    <col min="1" max="1" width="5" style="154" customWidth="1"/>
    <col min="2" max="2" width="18" style="159" bestFit="1" customWidth="1"/>
    <col min="3" max="4" width="6.19921875" style="154" bestFit="1" customWidth="1"/>
    <col min="5" max="5" width="8.19921875" style="154" bestFit="1" customWidth="1"/>
    <col min="6" max="7" width="6.5" style="154" bestFit="1" customWidth="1"/>
    <col min="8" max="8" width="8.19921875" style="154" bestFit="1" customWidth="1"/>
    <col min="9" max="10" width="6.19921875" style="154" bestFit="1" customWidth="1"/>
    <col min="11" max="11" width="8.19921875" style="154" bestFit="1" customWidth="1"/>
    <col min="12" max="13" width="6.5" style="154" bestFit="1" customWidth="1"/>
    <col min="14" max="14" width="8.19921875" style="154" bestFit="1" customWidth="1"/>
    <col min="15" max="15" width="6.19921875" style="154" bestFit="1" customWidth="1"/>
    <col min="16" max="16" width="7" style="154" bestFit="1" customWidth="1"/>
    <col min="17" max="17" width="8.19921875" style="154" bestFit="1" customWidth="1"/>
    <col min="18" max="19" width="6.5" style="154" bestFit="1" customWidth="1"/>
    <col min="20" max="20" width="8.19921875" style="154" bestFit="1" customWidth="1"/>
    <col min="21" max="21" width="7" style="154" customWidth="1"/>
    <col min="22" max="22" width="6.5" style="154" bestFit="1" customWidth="1"/>
    <col min="23" max="23" width="8.19921875" style="154" bestFit="1" customWidth="1"/>
    <col min="24" max="25" width="6.69921875" style="154" bestFit="1" customWidth="1"/>
    <col min="26" max="26" width="8.19921875" style="154" bestFit="1" customWidth="1"/>
    <col min="27" max="27" width="6.19921875" style="154" bestFit="1" customWidth="1"/>
    <col min="28" max="28" width="6.5" style="154" bestFit="1" customWidth="1"/>
    <col min="29" max="29" width="8.09765625" style="154" bestFit="1" customWidth="1"/>
    <col min="30" max="30" width="6.69921875" style="154" bestFit="1" customWidth="1"/>
    <col min="31" max="31" width="6" style="154" bestFit="1" customWidth="1"/>
    <col min="32" max="32" width="7.8984375" style="154" bestFit="1" customWidth="1"/>
    <col min="33" max="34" width="5.8984375" style="154" bestFit="1" customWidth="1"/>
    <col min="35" max="35" width="7.8984375" style="154" bestFit="1" customWidth="1"/>
    <col min="36" max="37" width="5.8984375" style="154" bestFit="1" customWidth="1"/>
    <col min="38" max="38" width="7.8984375" style="154" bestFit="1" customWidth="1"/>
    <col min="39" max="40" width="5.8984375" style="154" bestFit="1" customWidth="1"/>
    <col min="41" max="41" width="7.8984375" style="154" bestFit="1" customWidth="1"/>
    <col min="42" max="43" width="5.8984375" style="154" bestFit="1" customWidth="1"/>
    <col min="44" max="44" width="7.8984375" style="154" bestFit="1" customWidth="1"/>
    <col min="45" max="46" width="5.69921875" style="154" bestFit="1" customWidth="1"/>
    <col min="47" max="47" width="7.69921875" style="154" bestFit="1" customWidth="1"/>
    <col min="48" max="49" width="5.69921875" style="154" bestFit="1" customWidth="1"/>
    <col min="50" max="50" width="7.69921875" style="154" bestFit="1" customWidth="1"/>
    <col min="51" max="52" width="5.69921875" style="154" bestFit="1" customWidth="1"/>
    <col min="53" max="53" width="7.69921875" style="154" bestFit="1" customWidth="1"/>
    <col min="54" max="55" width="5.69921875" style="154" bestFit="1" customWidth="1"/>
    <col min="56" max="56" width="7.69921875" style="154" bestFit="1" customWidth="1"/>
    <col min="57" max="16384" width="9" style="154" customWidth="1"/>
  </cols>
  <sheetData>
    <row r="1" spans="1:56" ht="25.5">
      <c r="A1" s="150" t="s">
        <v>747</v>
      </c>
      <c r="B1" s="217"/>
      <c r="C1" s="151" t="s">
        <v>886</v>
      </c>
      <c r="D1" s="152"/>
      <c r="E1" s="153"/>
      <c r="F1" s="151" t="s">
        <v>887</v>
      </c>
      <c r="G1" s="152"/>
      <c r="H1" s="153"/>
      <c r="I1" s="151" t="s">
        <v>888</v>
      </c>
      <c r="J1" s="152"/>
      <c r="K1" s="153"/>
      <c r="L1" s="151" t="s">
        <v>889</v>
      </c>
      <c r="M1" s="152"/>
      <c r="N1" s="153"/>
      <c r="O1" s="151" t="s">
        <v>890</v>
      </c>
      <c r="P1" s="152"/>
      <c r="Q1" s="153"/>
      <c r="R1" s="151" t="s">
        <v>891</v>
      </c>
      <c r="S1" s="152"/>
      <c r="T1" s="153"/>
      <c r="U1" s="151" t="s">
        <v>892</v>
      </c>
      <c r="V1" s="152"/>
      <c r="W1" s="153"/>
      <c r="X1" s="151" t="s">
        <v>893</v>
      </c>
      <c r="Y1" s="152"/>
      <c r="Z1" s="153"/>
      <c r="AA1" s="151" t="s">
        <v>894</v>
      </c>
      <c r="AB1" s="152"/>
      <c r="AC1" s="153"/>
      <c r="AD1" s="151" t="s">
        <v>895</v>
      </c>
      <c r="AE1" s="152"/>
      <c r="AF1" s="153"/>
      <c r="AG1" s="151" t="s">
        <v>831</v>
      </c>
      <c r="AH1" s="152"/>
      <c r="AI1" s="153"/>
      <c r="AJ1" s="151" t="s">
        <v>1086</v>
      </c>
      <c r="AK1" s="152"/>
      <c r="AL1" s="153"/>
      <c r="AM1" s="151" t="s">
        <v>1087</v>
      </c>
      <c r="AN1" s="152"/>
      <c r="AO1" s="153"/>
      <c r="AP1" s="151" t="s">
        <v>1088</v>
      </c>
      <c r="AQ1" s="152"/>
      <c r="AR1" s="153"/>
      <c r="AS1" s="151" t="s">
        <v>828</v>
      </c>
      <c r="AT1" s="152"/>
      <c r="AU1" s="153"/>
      <c r="AV1" s="151" t="s">
        <v>827</v>
      </c>
      <c r="AW1" s="152"/>
      <c r="AX1" s="153"/>
      <c r="AY1" s="151" t="s">
        <v>826</v>
      </c>
      <c r="AZ1" s="152"/>
      <c r="BA1" s="153"/>
      <c r="BB1" s="151" t="s">
        <v>825</v>
      </c>
      <c r="BC1" s="152"/>
      <c r="BD1" s="153"/>
    </row>
    <row r="2" spans="1:56" s="167" customFormat="1" ht="25.5">
      <c r="A2" s="155" t="s">
        <v>521</v>
      </c>
      <c r="B2" s="218" t="s">
        <v>813</v>
      </c>
      <c r="C2" s="155" t="s">
        <v>883</v>
      </c>
      <c r="D2" s="156" t="s">
        <v>884</v>
      </c>
      <c r="E2" s="157" t="s">
        <v>885</v>
      </c>
      <c r="F2" s="155" t="s">
        <v>883</v>
      </c>
      <c r="G2" s="156" t="s">
        <v>884</v>
      </c>
      <c r="H2" s="157" t="s">
        <v>885</v>
      </c>
      <c r="I2" s="155" t="s">
        <v>883</v>
      </c>
      <c r="J2" s="156" t="s">
        <v>884</v>
      </c>
      <c r="K2" s="157" t="s">
        <v>885</v>
      </c>
      <c r="L2" s="155" t="s">
        <v>883</v>
      </c>
      <c r="M2" s="156" t="s">
        <v>884</v>
      </c>
      <c r="N2" s="157" t="s">
        <v>885</v>
      </c>
      <c r="O2" s="155" t="s">
        <v>883</v>
      </c>
      <c r="P2" s="156" t="s">
        <v>884</v>
      </c>
      <c r="Q2" s="157" t="s">
        <v>885</v>
      </c>
      <c r="R2" s="155" t="s">
        <v>883</v>
      </c>
      <c r="S2" s="156" t="s">
        <v>884</v>
      </c>
      <c r="T2" s="157" t="s">
        <v>885</v>
      </c>
      <c r="U2" s="155" t="s">
        <v>883</v>
      </c>
      <c r="V2" s="156" t="s">
        <v>884</v>
      </c>
      <c r="W2" s="157" t="s">
        <v>885</v>
      </c>
      <c r="X2" s="155" t="s">
        <v>883</v>
      </c>
      <c r="Y2" s="156" t="s">
        <v>884</v>
      </c>
      <c r="Z2" s="157" t="s">
        <v>885</v>
      </c>
      <c r="AA2" s="155" t="s">
        <v>883</v>
      </c>
      <c r="AB2" s="156" t="s">
        <v>884</v>
      </c>
      <c r="AC2" s="157" t="s">
        <v>885</v>
      </c>
      <c r="AD2" s="155" t="s">
        <v>883</v>
      </c>
      <c r="AE2" s="156" t="s">
        <v>884</v>
      </c>
      <c r="AF2" s="157" t="s">
        <v>885</v>
      </c>
      <c r="AG2" s="155" t="s">
        <v>883</v>
      </c>
      <c r="AH2" s="156" t="s">
        <v>884</v>
      </c>
      <c r="AI2" s="157" t="s">
        <v>885</v>
      </c>
      <c r="AJ2" s="155" t="s">
        <v>883</v>
      </c>
      <c r="AK2" s="156" t="s">
        <v>884</v>
      </c>
      <c r="AL2" s="157" t="s">
        <v>885</v>
      </c>
      <c r="AM2" s="155" t="s">
        <v>883</v>
      </c>
      <c r="AN2" s="156" t="s">
        <v>884</v>
      </c>
      <c r="AO2" s="157" t="s">
        <v>885</v>
      </c>
      <c r="AP2" s="155" t="s">
        <v>883</v>
      </c>
      <c r="AQ2" s="156" t="s">
        <v>884</v>
      </c>
      <c r="AR2" s="157" t="s">
        <v>885</v>
      </c>
      <c r="AS2" s="155" t="s">
        <v>883</v>
      </c>
      <c r="AT2" s="156" t="s">
        <v>884</v>
      </c>
      <c r="AU2" s="157" t="s">
        <v>885</v>
      </c>
      <c r="AV2" s="155" t="s">
        <v>883</v>
      </c>
      <c r="AW2" s="156" t="s">
        <v>884</v>
      </c>
      <c r="AX2" s="157" t="s">
        <v>885</v>
      </c>
      <c r="AY2" s="155" t="s">
        <v>883</v>
      </c>
      <c r="AZ2" s="156" t="s">
        <v>884</v>
      </c>
      <c r="BA2" s="157" t="s">
        <v>885</v>
      </c>
      <c r="BB2" s="155" t="s">
        <v>883</v>
      </c>
      <c r="BC2" s="156" t="s">
        <v>884</v>
      </c>
      <c r="BD2" s="157" t="s">
        <v>885</v>
      </c>
    </row>
    <row r="3" spans="1:56" ht="12.75">
      <c r="A3" s="158" t="s">
        <v>520</v>
      </c>
      <c r="B3" s="219" t="s">
        <v>89</v>
      </c>
      <c r="C3" s="457">
        <v>5278</v>
      </c>
      <c r="D3" s="458">
        <v>5700</v>
      </c>
      <c r="E3" s="459">
        <f aca="true" t="shared" si="0" ref="E3:E66">IF(C3&gt;0,(((D3-C3)/C3)*100),0)</f>
        <v>7.99545282303903</v>
      </c>
      <c r="F3" s="457">
        <v>15294</v>
      </c>
      <c r="G3" s="458">
        <v>16334</v>
      </c>
      <c r="H3" s="459">
        <f aca="true" t="shared" si="1" ref="H3:H18">IF(F3&gt;0,(((G3-F3)/F3)*100),0)</f>
        <v>6.800052308094677</v>
      </c>
      <c r="I3" s="457">
        <v>5278</v>
      </c>
      <c r="J3" s="458">
        <v>5700</v>
      </c>
      <c r="K3" s="459">
        <f aca="true" t="shared" si="2" ref="K3:K18">IF(I3&gt;0,(((J3-I3)/I3)*100),0)</f>
        <v>7.99545282303903</v>
      </c>
      <c r="L3" s="457">
        <v>15294</v>
      </c>
      <c r="M3" s="458">
        <v>16254</v>
      </c>
      <c r="N3" s="459">
        <f aca="true" t="shared" si="3" ref="N3:N18">IF(L3&gt;0,(((M3-L3)/L3)*100),0)</f>
        <v>6.2769713613181635</v>
      </c>
      <c r="O3" s="457"/>
      <c r="P3" s="458"/>
      <c r="Q3" s="459"/>
      <c r="R3" s="457"/>
      <c r="S3" s="458"/>
      <c r="T3" s="459"/>
      <c r="U3" s="457"/>
      <c r="V3" s="458"/>
      <c r="W3" s="459"/>
      <c r="X3" s="457"/>
      <c r="Y3" s="458"/>
      <c r="Z3" s="459">
        <f aca="true" t="shared" si="4" ref="Z3:Z66">IF(X3&gt;0,(((Y3-X3)/X3)*100),0)</f>
        <v>0</v>
      </c>
      <c r="AA3" s="457"/>
      <c r="AB3" s="458"/>
      <c r="AC3" s="459">
        <f aca="true" t="shared" si="5" ref="AC3:AC66">IF(AA3&gt;0,(((AB3-AA3)/AA3)*100),0)</f>
        <v>0</v>
      </c>
      <c r="AD3" s="457"/>
      <c r="AE3" s="458"/>
      <c r="AF3" s="459">
        <f aca="true" t="shared" si="6" ref="AF3:AF66">IF(AD3&gt;0,(((AE3-AD3)/AD3)*100),0)</f>
        <v>0</v>
      </c>
      <c r="AG3" s="457"/>
      <c r="AH3" s="458"/>
      <c r="AI3" s="459">
        <f aca="true" t="shared" si="7" ref="AI3:AI66">IF(AG3&gt;0,(((AH3-AG3)/AG3)*100),0)</f>
        <v>0</v>
      </c>
      <c r="AJ3" s="457"/>
      <c r="AK3" s="458"/>
      <c r="AL3" s="459">
        <f aca="true" t="shared" si="8" ref="AL3:AL66">IF(AJ3&gt;0,(((AK3-AJ3)/AJ3)*100),0)</f>
        <v>0</v>
      </c>
      <c r="AM3" s="457"/>
      <c r="AN3" s="458"/>
      <c r="AO3" s="459">
        <f aca="true" t="shared" si="9" ref="AO3:AO66">IF(AM3&gt;0,(((AN3-AM3)/AM3)*100),0)</f>
        <v>0</v>
      </c>
      <c r="AP3" s="457"/>
      <c r="AQ3" s="458"/>
      <c r="AR3" s="459">
        <f aca="true" t="shared" si="10" ref="AR3:AR66">IF(AP3&gt;0,(((AQ3-AP3)/AP3)*100),0)</f>
        <v>0</v>
      </c>
      <c r="AS3" s="457"/>
      <c r="AT3" s="458"/>
      <c r="AU3" s="459">
        <f aca="true" t="shared" si="11" ref="AU3:AU19">IF(AS3&gt;0,(((AT3-AS3)/AS3)*100),0)</f>
        <v>0</v>
      </c>
      <c r="AV3" s="457"/>
      <c r="AW3" s="458"/>
      <c r="AX3" s="459">
        <f aca="true" t="shared" si="12" ref="AX3:AX19">IF(AV3&gt;0,(((AW3-AV3)/AV3)*100),0)</f>
        <v>0</v>
      </c>
      <c r="AY3" s="457"/>
      <c r="AZ3" s="458"/>
      <c r="BA3" s="459">
        <f aca="true" t="shared" si="13" ref="BA3:BA19">IF(AY3&gt;0,(((AZ3-AY3)/AY3)*100),0)</f>
        <v>0</v>
      </c>
      <c r="BB3" s="457"/>
      <c r="BC3" s="458"/>
      <c r="BD3" s="459">
        <f aca="true" t="shared" si="14" ref="BD3:BD19">IF(BB3&gt;0,(((BC3-BB3)/BB3)*100),0)</f>
        <v>0</v>
      </c>
    </row>
    <row r="4" spans="1:56" ht="12.75">
      <c r="A4" s="160"/>
      <c r="B4" s="219" t="s">
        <v>90</v>
      </c>
      <c r="C4" s="457">
        <v>4848</v>
      </c>
      <c r="D4" s="458">
        <v>5216</v>
      </c>
      <c r="E4" s="459">
        <f t="shared" si="0"/>
        <v>7.590759075907591</v>
      </c>
      <c r="F4" s="457">
        <v>10224</v>
      </c>
      <c r="G4" s="458">
        <v>11024</v>
      </c>
      <c r="H4" s="459">
        <f t="shared" si="1"/>
        <v>7.82472613458529</v>
      </c>
      <c r="I4" s="457">
        <v>6072</v>
      </c>
      <c r="J4" s="458">
        <v>6548</v>
      </c>
      <c r="K4" s="459">
        <f t="shared" si="2"/>
        <v>7.8392621870882735</v>
      </c>
      <c r="L4" s="457">
        <v>12476</v>
      </c>
      <c r="M4" s="458">
        <v>13466</v>
      </c>
      <c r="N4" s="459">
        <f t="shared" si="3"/>
        <v>7.935235652452708</v>
      </c>
      <c r="O4" s="457"/>
      <c r="P4" s="458"/>
      <c r="Q4" s="459"/>
      <c r="R4" s="457"/>
      <c r="S4" s="458"/>
      <c r="T4" s="459"/>
      <c r="U4" s="457"/>
      <c r="V4" s="458"/>
      <c r="W4" s="459"/>
      <c r="X4" s="457"/>
      <c r="Y4" s="458"/>
      <c r="Z4" s="459">
        <f t="shared" si="4"/>
        <v>0</v>
      </c>
      <c r="AA4" s="457"/>
      <c r="AB4" s="458"/>
      <c r="AC4" s="459">
        <f t="shared" si="5"/>
        <v>0</v>
      </c>
      <c r="AD4" s="457"/>
      <c r="AE4" s="458"/>
      <c r="AF4" s="459">
        <f t="shared" si="6"/>
        <v>0</v>
      </c>
      <c r="AG4" s="457"/>
      <c r="AH4" s="458"/>
      <c r="AI4" s="459">
        <f t="shared" si="7"/>
        <v>0</v>
      </c>
      <c r="AJ4" s="457"/>
      <c r="AK4" s="458"/>
      <c r="AL4" s="459">
        <f t="shared" si="8"/>
        <v>0</v>
      </c>
      <c r="AM4" s="457"/>
      <c r="AN4" s="458"/>
      <c r="AO4" s="459">
        <f t="shared" si="9"/>
        <v>0</v>
      </c>
      <c r="AP4" s="457"/>
      <c r="AQ4" s="458"/>
      <c r="AR4" s="459">
        <f t="shared" si="10"/>
        <v>0</v>
      </c>
      <c r="AS4" s="457"/>
      <c r="AT4" s="458"/>
      <c r="AU4" s="459">
        <f t="shared" si="11"/>
        <v>0</v>
      </c>
      <c r="AV4" s="457"/>
      <c r="AW4" s="458"/>
      <c r="AX4" s="459">
        <f t="shared" si="12"/>
        <v>0</v>
      </c>
      <c r="AY4" s="457"/>
      <c r="AZ4" s="458"/>
      <c r="BA4" s="459">
        <f t="shared" si="13"/>
        <v>0</v>
      </c>
      <c r="BB4" s="457"/>
      <c r="BC4" s="458"/>
      <c r="BD4" s="459">
        <f t="shared" si="14"/>
        <v>0</v>
      </c>
    </row>
    <row r="5" spans="1:56" ht="12.75">
      <c r="A5" s="160"/>
      <c r="B5" s="219" t="s">
        <v>91</v>
      </c>
      <c r="C5" s="457">
        <v>4466</v>
      </c>
      <c r="D5" s="458">
        <v>4876</v>
      </c>
      <c r="E5" s="459">
        <f t="shared" si="0"/>
        <v>9.180474697716077</v>
      </c>
      <c r="F5" s="457">
        <v>8321</v>
      </c>
      <c r="G5" s="458">
        <v>9031</v>
      </c>
      <c r="H5" s="459">
        <f t="shared" si="1"/>
        <v>8.532628289869006</v>
      </c>
      <c r="I5" s="457">
        <v>4996</v>
      </c>
      <c r="J5" s="458">
        <v>5213</v>
      </c>
      <c r="K5" s="459">
        <f t="shared" si="2"/>
        <v>4.343474779823859</v>
      </c>
      <c r="L5" s="457">
        <v>9440</v>
      </c>
      <c r="M5" s="458">
        <v>10025</v>
      </c>
      <c r="N5" s="459">
        <f t="shared" si="3"/>
        <v>6.197033898305085</v>
      </c>
      <c r="O5" s="457"/>
      <c r="P5" s="458"/>
      <c r="Q5" s="459"/>
      <c r="R5" s="457"/>
      <c r="S5" s="458"/>
      <c r="T5" s="459"/>
      <c r="U5" s="457"/>
      <c r="V5" s="458"/>
      <c r="W5" s="459"/>
      <c r="X5" s="457"/>
      <c r="Y5" s="458"/>
      <c r="Z5" s="459">
        <f t="shared" si="4"/>
        <v>0</v>
      </c>
      <c r="AA5" s="457"/>
      <c r="AB5" s="458"/>
      <c r="AC5" s="459">
        <f t="shared" si="5"/>
        <v>0</v>
      </c>
      <c r="AD5" s="457"/>
      <c r="AE5" s="458"/>
      <c r="AF5" s="459">
        <f t="shared" si="6"/>
        <v>0</v>
      </c>
      <c r="AG5" s="457"/>
      <c r="AH5" s="458"/>
      <c r="AI5" s="459">
        <f t="shared" si="7"/>
        <v>0</v>
      </c>
      <c r="AJ5" s="457"/>
      <c r="AK5" s="458"/>
      <c r="AL5" s="459">
        <f t="shared" si="8"/>
        <v>0</v>
      </c>
      <c r="AM5" s="457"/>
      <c r="AN5" s="458"/>
      <c r="AO5" s="459">
        <f t="shared" si="9"/>
        <v>0</v>
      </c>
      <c r="AP5" s="457"/>
      <c r="AQ5" s="458"/>
      <c r="AR5" s="459">
        <f t="shared" si="10"/>
        <v>0</v>
      </c>
      <c r="AS5" s="457"/>
      <c r="AT5" s="458"/>
      <c r="AU5" s="459">
        <f t="shared" si="11"/>
        <v>0</v>
      </c>
      <c r="AV5" s="457"/>
      <c r="AW5" s="458"/>
      <c r="AX5" s="459">
        <f t="shared" si="12"/>
        <v>0</v>
      </c>
      <c r="AY5" s="457"/>
      <c r="AZ5" s="458"/>
      <c r="BA5" s="459">
        <f t="shared" si="13"/>
        <v>0</v>
      </c>
      <c r="BB5" s="457"/>
      <c r="BC5" s="458"/>
      <c r="BD5" s="459">
        <f t="shared" si="14"/>
        <v>0</v>
      </c>
    </row>
    <row r="6" spans="1:56" ht="12.75">
      <c r="A6" s="160"/>
      <c r="B6" s="219" t="s">
        <v>92</v>
      </c>
      <c r="C6" s="457">
        <v>4651</v>
      </c>
      <c r="D6" s="458">
        <v>5010</v>
      </c>
      <c r="E6" s="459">
        <f t="shared" si="0"/>
        <v>7.718770156955493</v>
      </c>
      <c r="F6" s="457">
        <v>8419</v>
      </c>
      <c r="G6" s="458">
        <v>9203</v>
      </c>
      <c r="H6" s="459">
        <f t="shared" si="1"/>
        <v>9.312269865779783</v>
      </c>
      <c r="I6" s="457">
        <v>4608</v>
      </c>
      <c r="J6" s="458">
        <v>5108</v>
      </c>
      <c r="K6" s="459">
        <f t="shared" si="2"/>
        <v>10.850694444444445</v>
      </c>
      <c r="L6" s="457">
        <v>9216</v>
      </c>
      <c r="M6" s="458">
        <v>9716</v>
      </c>
      <c r="N6" s="459">
        <f t="shared" si="3"/>
        <v>5.425347222222222</v>
      </c>
      <c r="O6" s="457"/>
      <c r="P6" s="458"/>
      <c r="Q6" s="459"/>
      <c r="R6" s="457"/>
      <c r="S6" s="458"/>
      <c r="T6" s="459"/>
      <c r="U6" s="457"/>
      <c r="V6" s="458"/>
      <c r="W6" s="459"/>
      <c r="X6" s="457"/>
      <c r="Y6" s="458"/>
      <c r="Z6" s="459">
        <f t="shared" si="4"/>
        <v>0</v>
      </c>
      <c r="AA6" s="457"/>
      <c r="AB6" s="458"/>
      <c r="AC6" s="459">
        <f t="shared" si="5"/>
        <v>0</v>
      </c>
      <c r="AD6" s="457"/>
      <c r="AE6" s="458"/>
      <c r="AF6" s="459">
        <f t="shared" si="6"/>
        <v>0</v>
      </c>
      <c r="AG6" s="457"/>
      <c r="AH6" s="458"/>
      <c r="AI6" s="459">
        <f t="shared" si="7"/>
        <v>0</v>
      </c>
      <c r="AJ6" s="457"/>
      <c r="AK6" s="458"/>
      <c r="AL6" s="459">
        <f t="shared" si="8"/>
        <v>0</v>
      </c>
      <c r="AM6" s="457"/>
      <c r="AN6" s="458"/>
      <c r="AO6" s="459">
        <f t="shared" si="9"/>
        <v>0</v>
      </c>
      <c r="AP6" s="457"/>
      <c r="AQ6" s="458"/>
      <c r="AR6" s="459">
        <f t="shared" si="10"/>
        <v>0</v>
      </c>
      <c r="AS6" s="457"/>
      <c r="AT6" s="458"/>
      <c r="AU6" s="459">
        <f t="shared" si="11"/>
        <v>0</v>
      </c>
      <c r="AV6" s="457"/>
      <c r="AW6" s="458"/>
      <c r="AX6" s="459">
        <f t="shared" si="12"/>
        <v>0</v>
      </c>
      <c r="AY6" s="457"/>
      <c r="AZ6" s="458"/>
      <c r="BA6" s="459">
        <f t="shared" si="13"/>
        <v>0</v>
      </c>
      <c r="BB6" s="457"/>
      <c r="BC6" s="458"/>
      <c r="BD6" s="459">
        <f t="shared" si="14"/>
        <v>0</v>
      </c>
    </row>
    <row r="7" spans="1:56" ht="12.75">
      <c r="A7" s="160"/>
      <c r="B7" s="219" t="s">
        <v>93</v>
      </c>
      <c r="C7" s="457">
        <v>4986</v>
      </c>
      <c r="D7" s="458">
        <v>5344</v>
      </c>
      <c r="E7" s="459">
        <f t="shared" si="0"/>
        <v>7.18010429201765</v>
      </c>
      <c r="F7" s="457">
        <v>9635</v>
      </c>
      <c r="G7" s="458">
        <v>10323</v>
      </c>
      <c r="H7" s="459">
        <f t="shared" si="1"/>
        <v>7.1406331084587435</v>
      </c>
      <c r="I7" s="457">
        <v>4701</v>
      </c>
      <c r="J7" s="458">
        <v>5037</v>
      </c>
      <c r="K7" s="459">
        <f t="shared" si="2"/>
        <v>7.147415443522655</v>
      </c>
      <c r="L7" s="457">
        <v>9249</v>
      </c>
      <c r="M7" s="458">
        <v>9908</v>
      </c>
      <c r="N7" s="459">
        <f t="shared" si="3"/>
        <v>7.125094604822142</v>
      </c>
      <c r="O7" s="457"/>
      <c r="P7" s="458"/>
      <c r="Q7" s="459"/>
      <c r="R7" s="457"/>
      <c r="S7" s="458"/>
      <c r="T7" s="459"/>
      <c r="U7" s="457"/>
      <c r="V7" s="458"/>
      <c r="W7" s="459"/>
      <c r="X7" s="457"/>
      <c r="Y7" s="458"/>
      <c r="Z7" s="459">
        <f t="shared" si="4"/>
        <v>0</v>
      </c>
      <c r="AA7" s="457"/>
      <c r="AB7" s="458"/>
      <c r="AC7" s="459">
        <f t="shared" si="5"/>
        <v>0</v>
      </c>
      <c r="AD7" s="457"/>
      <c r="AE7" s="458"/>
      <c r="AF7" s="459">
        <f t="shared" si="6"/>
        <v>0</v>
      </c>
      <c r="AG7" s="457"/>
      <c r="AH7" s="458"/>
      <c r="AI7" s="459">
        <f t="shared" si="7"/>
        <v>0</v>
      </c>
      <c r="AJ7" s="457"/>
      <c r="AK7" s="458"/>
      <c r="AL7" s="459">
        <f t="shared" si="8"/>
        <v>0</v>
      </c>
      <c r="AM7" s="457"/>
      <c r="AN7" s="458"/>
      <c r="AO7" s="459">
        <f t="shared" si="9"/>
        <v>0</v>
      </c>
      <c r="AP7" s="457"/>
      <c r="AQ7" s="458"/>
      <c r="AR7" s="459">
        <f t="shared" si="10"/>
        <v>0</v>
      </c>
      <c r="AS7" s="457"/>
      <c r="AT7" s="458"/>
      <c r="AU7" s="459">
        <f t="shared" si="11"/>
        <v>0</v>
      </c>
      <c r="AV7" s="457"/>
      <c r="AW7" s="458"/>
      <c r="AX7" s="459">
        <f t="shared" si="12"/>
        <v>0</v>
      </c>
      <c r="AY7" s="457"/>
      <c r="AZ7" s="458"/>
      <c r="BA7" s="459">
        <f t="shared" si="13"/>
        <v>0</v>
      </c>
      <c r="BB7" s="457"/>
      <c r="BC7" s="458"/>
      <c r="BD7" s="459">
        <f t="shared" si="14"/>
        <v>0</v>
      </c>
    </row>
    <row r="8" spans="1:56" ht="12.75">
      <c r="A8" s="160"/>
      <c r="B8" s="219" t="s">
        <v>94</v>
      </c>
      <c r="C8" s="457">
        <v>3870</v>
      </c>
      <c r="D8" s="458">
        <v>4050</v>
      </c>
      <c r="E8" s="459">
        <f t="shared" si="0"/>
        <v>4.651162790697675</v>
      </c>
      <c r="F8" s="457">
        <v>7170</v>
      </c>
      <c r="G8" s="458">
        <v>7350</v>
      </c>
      <c r="H8" s="459">
        <f t="shared" si="1"/>
        <v>2.510460251046025</v>
      </c>
      <c r="I8" s="457"/>
      <c r="J8" s="458"/>
      <c r="K8" s="459">
        <f t="shared" si="2"/>
        <v>0</v>
      </c>
      <c r="L8" s="457"/>
      <c r="M8" s="458"/>
      <c r="N8" s="459">
        <f t="shared" si="3"/>
        <v>0</v>
      </c>
      <c r="O8" s="457"/>
      <c r="P8" s="458"/>
      <c r="Q8" s="459"/>
      <c r="R8" s="457"/>
      <c r="S8" s="458"/>
      <c r="T8" s="459"/>
      <c r="U8" s="457"/>
      <c r="V8" s="458"/>
      <c r="W8" s="459"/>
      <c r="X8" s="457"/>
      <c r="Y8" s="458"/>
      <c r="Z8" s="459">
        <f t="shared" si="4"/>
        <v>0</v>
      </c>
      <c r="AA8" s="457"/>
      <c r="AB8" s="458"/>
      <c r="AC8" s="459">
        <f t="shared" si="5"/>
        <v>0</v>
      </c>
      <c r="AD8" s="457"/>
      <c r="AE8" s="458"/>
      <c r="AF8" s="459">
        <f t="shared" si="6"/>
        <v>0</v>
      </c>
      <c r="AG8" s="457"/>
      <c r="AH8" s="458"/>
      <c r="AI8" s="459">
        <f t="shared" si="7"/>
        <v>0</v>
      </c>
      <c r="AJ8" s="457"/>
      <c r="AK8" s="458"/>
      <c r="AL8" s="459">
        <f t="shared" si="8"/>
        <v>0</v>
      </c>
      <c r="AM8" s="457"/>
      <c r="AN8" s="458"/>
      <c r="AO8" s="459">
        <f t="shared" si="9"/>
        <v>0</v>
      </c>
      <c r="AP8" s="457"/>
      <c r="AQ8" s="458"/>
      <c r="AR8" s="459">
        <f t="shared" si="10"/>
        <v>0</v>
      </c>
      <c r="AS8" s="457"/>
      <c r="AT8" s="458"/>
      <c r="AU8" s="459">
        <f t="shared" si="11"/>
        <v>0</v>
      </c>
      <c r="AV8" s="457"/>
      <c r="AW8" s="458"/>
      <c r="AX8" s="459">
        <f t="shared" si="12"/>
        <v>0</v>
      </c>
      <c r="AY8" s="457"/>
      <c r="AZ8" s="458"/>
      <c r="BA8" s="459">
        <f t="shared" si="13"/>
        <v>0</v>
      </c>
      <c r="BB8" s="457"/>
      <c r="BC8" s="458"/>
      <c r="BD8" s="459">
        <f t="shared" si="14"/>
        <v>0</v>
      </c>
    </row>
    <row r="9" spans="1:56" s="465" customFormat="1" ht="19.5" customHeight="1">
      <c r="A9" s="460"/>
      <c r="B9" s="461" t="s">
        <v>821</v>
      </c>
      <c r="C9" s="462">
        <v>4705.5</v>
      </c>
      <c r="D9" s="463">
        <v>5040</v>
      </c>
      <c r="E9" s="464">
        <f t="shared" si="0"/>
        <v>7.108702582084795</v>
      </c>
      <c r="F9" s="462">
        <v>9279.5</v>
      </c>
      <c r="G9" s="463">
        <v>9680</v>
      </c>
      <c r="H9" s="464">
        <f t="shared" si="1"/>
        <v>4.3159652998545175</v>
      </c>
      <c r="I9" s="462">
        <v>4842</v>
      </c>
      <c r="J9" s="463">
        <v>5192</v>
      </c>
      <c r="K9" s="464">
        <f t="shared" si="2"/>
        <v>7.228418009087154</v>
      </c>
      <c r="L9" s="462">
        <v>10044</v>
      </c>
      <c r="M9" s="463">
        <v>10800</v>
      </c>
      <c r="N9" s="464">
        <f t="shared" si="3"/>
        <v>7.526881720430108</v>
      </c>
      <c r="O9" s="462"/>
      <c r="P9" s="463"/>
      <c r="Q9" s="464"/>
      <c r="R9" s="462"/>
      <c r="S9" s="463"/>
      <c r="T9" s="464"/>
      <c r="U9" s="462"/>
      <c r="V9" s="463"/>
      <c r="W9" s="464"/>
      <c r="X9" s="462"/>
      <c r="Y9" s="463"/>
      <c r="Z9" s="464">
        <f t="shared" si="4"/>
        <v>0</v>
      </c>
      <c r="AA9" s="462"/>
      <c r="AB9" s="463"/>
      <c r="AC9" s="464">
        <f t="shared" si="5"/>
        <v>0</v>
      </c>
      <c r="AD9" s="462"/>
      <c r="AE9" s="463"/>
      <c r="AF9" s="464">
        <f t="shared" si="6"/>
        <v>0</v>
      </c>
      <c r="AG9" s="462"/>
      <c r="AH9" s="463"/>
      <c r="AI9" s="464">
        <f t="shared" si="7"/>
        <v>0</v>
      </c>
      <c r="AJ9" s="462"/>
      <c r="AK9" s="463"/>
      <c r="AL9" s="464">
        <f t="shared" si="8"/>
        <v>0</v>
      </c>
      <c r="AM9" s="462"/>
      <c r="AN9" s="463"/>
      <c r="AO9" s="464">
        <f t="shared" si="9"/>
        <v>0</v>
      </c>
      <c r="AP9" s="462"/>
      <c r="AQ9" s="463"/>
      <c r="AR9" s="464">
        <f t="shared" si="10"/>
        <v>0</v>
      </c>
      <c r="AS9" s="462"/>
      <c r="AT9" s="463"/>
      <c r="AU9" s="464">
        <f t="shared" si="11"/>
        <v>0</v>
      </c>
      <c r="AV9" s="462"/>
      <c r="AW9" s="463"/>
      <c r="AX9" s="464">
        <f t="shared" si="12"/>
        <v>0</v>
      </c>
      <c r="AY9" s="462"/>
      <c r="AZ9" s="463"/>
      <c r="BA9" s="464">
        <f t="shared" si="13"/>
        <v>0</v>
      </c>
      <c r="BB9" s="462"/>
      <c r="BC9" s="463"/>
      <c r="BD9" s="464">
        <f t="shared" si="14"/>
        <v>0</v>
      </c>
    </row>
    <row r="10" spans="1:56" ht="12.75">
      <c r="A10" s="160"/>
      <c r="B10" s="219" t="s">
        <v>95</v>
      </c>
      <c r="C10" s="457"/>
      <c r="D10" s="458"/>
      <c r="E10" s="459">
        <f t="shared" si="0"/>
        <v>0</v>
      </c>
      <c r="F10" s="457"/>
      <c r="G10" s="458"/>
      <c r="H10" s="459">
        <f t="shared" si="1"/>
        <v>0</v>
      </c>
      <c r="I10" s="457"/>
      <c r="J10" s="458"/>
      <c r="K10" s="459">
        <f t="shared" si="2"/>
        <v>0</v>
      </c>
      <c r="L10" s="457"/>
      <c r="M10" s="458"/>
      <c r="N10" s="459">
        <f t="shared" si="3"/>
        <v>0</v>
      </c>
      <c r="O10" s="457"/>
      <c r="P10" s="458"/>
      <c r="Q10" s="459">
        <f aca="true" t="shared" si="15" ref="Q10:Q66">IF(O10&gt;0,(((P10-O10)/O10)*100),0)</f>
        <v>0</v>
      </c>
      <c r="R10" s="457"/>
      <c r="S10" s="458"/>
      <c r="T10" s="459">
        <f aca="true" t="shared" si="16" ref="T10:T66">IF(R10&gt;0,(((S10-R10)/R10)*100),0)</f>
        <v>0</v>
      </c>
      <c r="U10" s="457"/>
      <c r="V10" s="458"/>
      <c r="W10" s="459">
        <f aca="true" t="shared" si="17" ref="W10:W36">IF(U10&gt;0,(((V10-U10)/U10)*100),0)</f>
        <v>0</v>
      </c>
      <c r="X10" s="457"/>
      <c r="Y10" s="458"/>
      <c r="Z10" s="459">
        <f t="shared" si="4"/>
        <v>0</v>
      </c>
      <c r="AA10" s="457"/>
      <c r="AB10" s="458"/>
      <c r="AC10" s="459">
        <f t="shared" si="5"/>
        <v>0</v>
      </c>
      <c r="AD10" s="457"/>
      <c r="AE10" s="458"/>
      <c r="AF10" s="459">
        <f t="shared" si="6"/>
        <v>0</v>
      </c>
      <c r="AG10" s="457"/>
      <c r="AH10" s="458"/>
      <c r="AI10" s="459">
        <f t="shared" si="7"/>
        <v>0</v>
      </c>
      <c r="AJ10" s="457"/>
      <c r="AK10" s="458"/>
      <c r="AL10" s="459">
        <f t="shared" si="8"/>
        <v>0</v>
      </c>
      <c r="AM10" s="457"/>
      <c r="AN10" s="458"/>
      <c r="AO10" s="459">
        <f t="shared" si="9"/>
        <v>0</v>
      </c>
      <c r="AP10" s="457"/>
      <c r="AQ10" s="458"/>
      <c r="AR10" s="459">
        <f t="shared" si="10"/>
        <v>0</v>
      </c>
      <c r="AS10" s="457"/>
      <c r="AT10" s="458"/>
      <c r="AU10" s="459">
        <f t="shared" si="11"/>
        <v>0</v>
      </c>
      <c r="AV10" s="457"/>
      <c r="AW10" s="458"/>
      <c r="AX10" s="459">
        <f t="shared" si="12"/>
        <v>0</v>
      </c>
      <c r="AY10" s="457"/>
      <c r="AZ10" s="458"/>
      <c r="BA10" s="459">
        <f t="shared" si="13"/>
        <v>0</v>
      </c>
      <c r="BB10" s="457"/>
      <c r="BC10" s="458"/>
      <c r="BD10" s="459">
        <f t="shared" si="14"/>
        <v>0</v>
      </c>
    </row>
    <row r="11" spans="1:56" ht="12.75">
      <c r="A11" s="160"/>
      <c r="B11" s="219" t="s">
        <v>96</v>
      </c>
      <c r="C11" s="457">
        <v>2955</v>
      </c>
      <c r="D11" s="458">
        <v>2955</v>
      </c>
      <c r="E11" s="459">
        <f t="shared" si="0"/>
        <v>0</v>
      </c>
      <c r="F11" s="457">
        <v>5085</v>
      </c>
      <c r="G11" s="458">
        <v>5085</v>
      </c>
      <c r="H11" s="459">
        <f t="shared" si="1"/>
        <v>0</v>
      </c>
      <c r="I11" s="457"/>
      <c r="J11" s="458"/>
      <c r="K11" s="459">
        <f t="shared" si="2"/>
        <v>0</v>
      </c>
      <c r="L11" s="457"/>
      <c r="M11" s="458"/>
      <c r="N11" s="459">
        <f t="shared" si="3"/>
        <v>0</v>
      </c>
      <c r="O11" s="457"/>
      <c r="P11" s="458"/>
      <c r="Q11" s="459">
        <f t="shared" si="15"/>
        <v>0</v>
      </c>
      <c r="R11" s="457"/>
      <c r="S11" s="458"/>
      <c r="T11" s="459">
        <f t="shared" si="16"/>
        <v>0</v>
      </c>
      <c r="U11" s="457"/>
      <c r="V11" s="458"/>
      <c r="W11" s="459">
        <f t="shared" si="17"/>
        <v>0</v>
      </c>
      <c r="X11" s="457"/>
      <c r="Y11" s="458"/>
      <c r="Z11" s="459">
        <f t="shared" si="4"/>
        <v>0</v>
      </c>
      <c r="AA11" s="457"/>
      <c r="AB11" s="458"/>
      <c r="AC11" s="459">
        <f t="shared" si="5"/>
        <v>0</v>
      </c>
      <c r="AD11" s="457"/>
      <c r="AE11" s="458"/>
      <c r="AF11" s="459">
        <f t="shared" si="6"/>
        <v>0</v>
      </c>
      <c r="AG11" s="457"/>
      <c r="AH11" s="458"/>
      <c r="AI11" s="459">
        <f t="shared" si="7"/>
        <v>0</v>
      </c>
      <c r="AJ11" s="457"/>
      <c r="AK11" s="458"/>
      <c r="AL11" s="459">
        <f t="shared" si="8"/>
        <v>0</v>
      </c>
      <c r="AM11" s="457"/>
      <c r="AN11" s="458"/>
      <c r="AO11" s="459">
        <f t="shared" si="9"/>
        <v>0</v>
      </c>
      <c r="AP11" s="457"/>
      <c r="AQ11" s="458"/>
      <c r="AR11" s="459">
        <f t="shared" si="10"/>
        <v>0</v>
      </c>
      <c r="AS11" s="457"/>
      <c r="AT11" s="458"/>
      <c r="AU11" s="459">
        <f t="shared" si="11"/>
        <v>0</v>
      </c>
      <c r="AV11" s="457"/>
      <c r="AW11" s="458"/>
      <c r="AX11" s="459">
        <f t="shared" si="12"/>
        <v>0</v>
      </c>
      <c r="AY11" s="457"/>
      <c r="AZ11" s="458"/>
      <c r="BA11" s="459">
        <f t="shared" si="13"/>
        <v>0</v>
      </c>
      <c r="BB11" s="457"/>
      <c r="BC11" s="458"/>
      <c r="BD11" s="459">
        <f t="shared" si="14"/>
        <v>0</v>
      </c>
    </row>
    <row r="12" spans="1:56" ht="12.75">
      <c r="A12" s="160"/>
      <c r="B12" s="219" t="s">
        <v>97</v>
      </c>
      <c r="C12" s="457">
        <v>2700</v>
      </c>
      <c r="D12" s="458">
        <v>2700</v>
      </c>
      <c r="E12" s="459">
        <f t="shared" si="0"/>
        <v>0</v>
      </c>
      <c r="F12" s="457">
        <v>4830</v>
      </c>
      <c r="G12" s="458">
        <v>4830</v>
      </c>
      <c r="H12" s="459">
        <f t="shared" si="1"/>
        <v>0</v>
      </c>
      <c r="I12" s="457"/>
      <c r="J12" s="458"/>
      <c r="K12" s="459">
        <f t="shared" si="2"/>
        <v>0</v>
      </c>
      <c r="L12" s="457"/>
      <c r="M12" s="458"/>
      <c r="N12" s="459">
        <f t="shared" si="3"/>
        <v>0</v>
      </c>
      <c r="O12" s="457"/>
      <c r="P12" s="458"/>
      <c r="Q12" s="459">
        <f t="shared" si="15"/>
        <v>0</v>
      </c>
      <c r="R12" s="457"/>
      <c r="S12" s="458"/>
      <c r="T12" s="459">
        <f t="shared" si="16"/>
        <v>0</v>
      </c>
      <c r="U12" s="457"/>
      <c r="V12" s="458"/>
      <c r="W12" s="459">
        <f t="shared" si="17"/>
        <v>0</v>
      </c>
      <c r="X12" s="457"/>
      <c r="Y12" s="458"/>
      <c r="Z12" s="459">
        <f t="shared" si="4"/>
        <v>0</v>
      </c>
      <c r="AA12" s="457"/>
      <c r="AB12" s="458"/>
      <c r="AC12" s="459">
        <f t="shared" si="5"/>
        <v>0</v>
      </c>
      <c r="AD12" s="457"/>
      <c r="AE12" s="458"/>
      <c r="AF12" s="459">
        <f t="shared" si="6"/>
        <v>0</v>
      </c>
      <c r="AG12" s="457"/>
      <c r="AH12" s="458"/>
      <c r="AI12" s="459">
        <f t="shared" si="7"/>
        <v>0</v>
      </c>
      <c r="AJ12" s="457"/>
      <c r="AK12" s="458"/>
      <c r="AL12" s="459">
        <f t="shared" si="8"/>
        <v>0</v>
      </c>
      <c r="AM12" s="457"/>
      <c r="AN12" s="458"/>
      <c r="AO12" s="459">
        <f t="shared" si="9"/>
        <v>0</v>
      </c>
      <c r="AP12" s="457"/>
      <c r="AQ12" s="458"/>
      <c r="AR12" s="459">
        <f t="shared" si="10"/>
        <v>0</v>
      </c>
      <c r="AS12" s="457"/>
      <c r="AT12" s="458"/>
      <c r="AU12" s="459">
        <f t="shared" si="11"/>
        <v>0</v>
      </c>
      <c r="AV12" s="457"/>
      <c r="AW12" s="458"/>
      <c r="AX12" s="459">
        <f t="shared" si="12"/>
        <v>0</v>
      </c>
      <c r="AY12" s="457"/>
      <c r="AZ12" s="458"/>
      <c r="BA12" s="459">
        <f t="shared" si="13"/>
        <v>0</v>
      </c>
      <c r="BB12" s="457"/>
      <c r="BC12" s="458"/>
      <c r="BD12" s="459">
        <f t="shared" si="14"/>
        <v>0</v>
      </c>
    </row>
    <row r="13" spans="1:56" ht="12.75">
      <c r="A13" s="160"/>
      <c r="B13" s="219" t="s">
        <v>778</v>
      </c>
      <c r="C13" s="457">
        <v>2700</v>
      </c>
      <c r="D13" s="458">
        <v>2700</v>
      </c>
      <c r="E13" s="459">
        <f t="shared" si="0"/>
        <v>0</v>
      </c>
      <c r="F13" s="457">
        <v>4830</v>
      </c>
      <c r="G13" s="458">
        <v>4830</v>
      </c>
      <c r="H13" s="459">
        <f t="shared" si="1"/>
        <v>0</v>
      </c>
      <c r="I13" s="457"/>
      <c r="J13" s="458"/>
      <c r="K13" s="459">
        <f t="shared" si="2"/>
        <v>0</v>
      </c>
      <c r="L13" s="457"/>
      <c r="M13" s="458"/>
      <c r="N13" s="459">
        <f t="shared" si="3"/>
        <v>0</v>
      </c>
      <c r="O13" s="457"/>
      <c r="P13" s="458"/>
      <c r="Q13" s="459">
        <f t="shared" si="15"/>
        <v>0</v>
      </c>
      <c r="R13" s="457"/>
      <c r="S13" s="458"/>
      <c r="T13" s="459">
        <f t="shared" si="16"/>
        <v>0</v>
      </c>
      <c r="U13" s="457"/>
      <c r="V13" s="458"/>
      <c r="W13" s="459">
        <f t="shared" si="17"/>
        <v>0</v>
      </c>
      <c r="X13" s="457"/>
      <c r="Y13" s="458"/>
      <c r="Z13" s="459">
        <f t="shared" si="4"/>
        <v>0</v>
      </c>
      <c r="AA13" s="457"/>
      <c r="AB13" s="458"/>
      <c r="AC13" s="459">
        <f t="shared" si="5"/>
        <v>0</v>
      </c>
      <c r="AD13" s="457"/>
      <c r="AE13" s="458"/>
      <c r="AF13" s="459">
        <f t="shared" si="6"/>
        <v>0</v>
      </c>
      <c r="AG13" s="457"/>
      <c r="AH13" s="458"/>
      <c r="AI13" s="459">
        <f t="shared" si="7"/>
        <v>0</v>
      </c>
      <c r="AJ13" s="457"/>
      <c r="AK13" s="458"/>
      <c r="AL13" s="459">
        <f t="shared" si="8"/>
        <v>0</v>
      </c>
      <c r="AM13" s="457"/>
      <c r="AN13" s="458"/>
      <c r="AO13" s="459">
        <f t="shared" si="9"/>
        <v>0</v>
      </c>
      <c r="AP13" s="457"/>
      <c r="AQ13" s="458"/>
      <c r="AR13" s="459">
        <f t="shared" si="10"/>
        <v>0</v>
      </c>
      <c r="AS13" s="457"/>
      <c r="AT13" s="458"/>
      <c r="AU13" s="459">
        <f t="shared" si="11"/>
        <v>0</v>
      </c>
      <c r="AV13" s="457"/>
      <c r="AW13" s="458"/>
      <c r="AX13" s="459">
        <f t="shared" si="12"/>
        <v>0</v>
      </c>
      <c r="AY13" s="457"/>
      <c r="AZ13" s="458"/>
      <c r="BA13" s="459">
        <f t="shared" si="13"/>
        <v>0</v>
      </c>
      <c r="BB13" s="457"/>
      <c r="BC13" s="458"/>
      <c r="BD13" s="459">
        <f t="shared" si="14"/>
        <v>0</v>
      </c>
    </row>
    <row r="14" spans="1:56" s="465" customFormat="1" ht="20.25" customHeight="1">
      <c r="A14" s="460"/>
      <c r="B14" s="461" t="s">
        <v>426</v>
      </c>
      <c r="C14" s="462">
        <v>2700</v>
      </c>
      <c r="D14" s="463">
        <v>2700</v>
      </c>
      <c r="E14" s="464">
        <f t="shared" si="0"/>
        <v>0</v>
      </c>
      <c r="F14" s="462">
        <v>4830</v>
      </c>
      <c r="G14" s="463">
        <v>4830</v>
      </c>
      <c r="H14" s="464">
        <f t="shared" si="1"/>
        <v>0</v>
      </c>
      <c r="I14" s="462"/>
      <c r="J14" s="463"/>
      <c r="K14" s="464">
        <f t="shared" si="2"/>
        <v>0</v>
      </c>
      <c r="L14" s="462"/>
      <c r="M14" s="463"/>
      <c r="N14" s="464">
        <f t="shared" si="3"/>
        <v>0</v>
      </c>
      <c r="O14" s="462"/>
      <c r="P14" s="463"/>
      <c r="Q14" s="464">
        <f t="shared" si="15"/>
        <v>0</v>
      </c>
      <c r="R14" s="462"/>
      <c r="S14" s="463"/>
      <c r="T14" s="464">
        <f t="shared" si="16"/>
        <v>0</v>
      </c>
      <c r="U14" s="462"/>
      <c r="V14" s="463"/>
      <c r="W14" s="464">
        <f t="shared" si="17"/>
        <v>0</v>
      </c>
      <c r="X14" s="462"/>
      <c r="Y14" s="463"/>
      <c r="Z14" s="464">
        <f t="shared" si="4"/>
        <v>0</v>
      </c>
      <c r="AA14" s="462"/>
      <c r="AB14" s="463"/>
      <c r="AC14" s="464">
        <f t="shared" si="5"/>
        <v>0</v>
      </c>
      <c r="AD14" s="462"/>
      <c r="AE14" s="463"/>
      <c r="AF14" s="464">
        <f t="shared" si="6"/>
        <v>0</v>
      </c>
      <c r="AG14" s="462"/>
      <c r="AH14" s="463"/>
      <c r="AI14" s="464">
        <f t="shared" si="7"/>
        <v>0</v>
      </c>
      <c r="AJ14" s="462"/>
      <c r="AK14" s="463"/>
      <c r="AL14" s="464">
        <f t="shared" si="8"/>
        <v>0</v>
      </c>
      <c r="AM14" s="462"/>
      <c r="AN14" s="463"/>
      <c r="AO14" s="464">
        <f t="shared" si="9"/>
        <v>0</v>
      </c>
      <c r="AP14" s="462"/>
      <c r="AQ14" s="463"/>
      <c r="AR14" s="464">
        <f t="shared" si="10"/>
        <v>0</v>
      </c>
      <c r="AS14" s="462"/>
      <c r="AT14" s="463"/>
      <c r="AU14" s="464">
        <f t="shared" si="11"/>
        <v>0</v>
      </c>
      <c r="AV14" s="462"/>
      <c r="AW14" s="463"/>
      <c r="AX14" s="464">
        <f t="shared" si="12"/>
        <v>0</v>
      </c>
      <c r="AY14" s="462"/>
      <c r="AZ14" s="463"/>
      <c r="BA14" s="464">
        <f t="shared" si="13"/>
        <v>0</v>
      </c>
      <c r="BB14" s="462"/>
      <c r="BC14" s="463"/>
      <c r="BD14" s="464">
        <f t="shared" si="14"/>
        <v>0</v>
      </c>
    </row>
    <row r="15" spans="1:56" ht="12.75">
      <c r="A15" s="160"/>
      <c r="B15" s="219" t="s">
        <v>779</v>
      </c>
      <c r="C15" s="457">
        <v>2700</v>
      </c>
      <c r="D15" s="458">
        <v>2700</v>
      </c>
      <c r="E15" s="459">
        <f t="shared" si="0"/>
        <v>0</v>
      </c>
      <c r="F15" s="457">
        <v>4830</v>
      </c>
      <c r="G15" s="458">
        <v>4830</v>
      </c>
      <c r="H15" s="459">
        <f t="shared" si="1"/>
        <v>0</v>
      </c>
      <c r="I15" s="457"/>
      <c r="J15" s="458"/>
      <c r="K15" s="459">
        <f t="shared" si="2"/>
        <v>0</v>
      </c>
      <c r="L15" s="457"/>
      <c r="M15" s="458"/>
      <c r="N15" s="459">
        <f t="shared" si="3"/>
        <v>0</v>
      </c>
      <c r="O15" s="457"/>
      <c r="P15" s="458"/>
      <c r="Q15" s="459">
        <f t="shared" si="15"/>
        <v>0</v>
      </c>
      <c r="R15" s="457"/>
      <c r="S15" s="458"/>
      <c r="T15" s="459">
        <f t="shared" si="16"/>
        <v>0</v>
      </c>
      <c r="U15" s="457"/>
      <c r="V15" s="458"/>
      <c r="W15" s="459">
        <f t="shared" si="17"/>
        <v>0</v>
      </c>
      <c r="X15" s="457"/>
      <c r="Y15" s="458"/>
      <c r="Z15" s="459">
        <f t="shared" si="4"/>
        <v>0</v>
      </c>
      <c r="AA15" s="457"/>
      <c r="AB15" s="458"/>
      <c r="AC15" s="459">
        <f t="shared" si="5"/>
        <v>0</v>
      </c>
      <c r="AD15" s="457"/>
      <c r="AE15" s="458"/>
      <c r="AF15" s="459">
        <f t="shared" si="6"/>
        <v>0</v>
      </c>
      <c r="AG15" s="457"/>
      <c r="AH15" s="458"/>
      <c r="AI15" s="459">
        <f t="shared" si="7"/>
        <v>0</v>
      </c>
      <c r="AJ15" s="457"/>
      <c r="AK15" s="458"/>
      <c r="AL15" s="459">
        <f t="shared" si="8"/>
        <v>0</v>
      </c>
      <c r="AM15" s="457"/>
      <c r="AN15" s="458"/>
      <c r="AO15" s="459">
        <f t="shared" si="9"/>
        <v>0</v>
      </c>
      <c r="AP15" s="457"/>
      <c r="AQ15" s="458"/>
      <c r="AR15" s="459">
        <f t="shared" si="10"/>
        <v>0</v>
      </c>
      <c r="AS15" s="457"/>
      <c r="AT15" s="458"/>
      <c r="AU15" s="459">
        <f t="shared" si="11"/>
        <v>0</v>
      </c>
      <c r="AV15" s="457"/>
      <c r="AW15" s="458"/>
      <c r="AX15" s="459">
        <f t="shared" si="12"/>
        <v>0</v>
      </c>
      <c r="AY15" s="457"/>
      <c r="AZ15" s="458"/>
      <c r="BA15" s="459">
        <f t="shared" si="13"/>
        <v>0</v>
      </c>
      <c r="BB15" s="457"/>
      <c r="BC15" s="458"/>
      <c r="BD15" s="459">
        <f t="shared" si="14"/>
        <v>0</v>
      </c>
    </row>
    <row r="16" spans="1:56" ht="12.75">
      <c r="A16" s="160"/>
      <c r="B16" s="219" t="s">
        <v>1015</v>
      </c>
      <c r="C16" s="457">
        <v>2700</v>
      </c>
      <c r="D16" s="458">
        <v>2700</v>
      </c>
      <c r="E16" s="459">
        <f t="shared" si="0"/>
        <v>0</v>
      </c>
      <c r="F16" s="457">
        <v>4875</v>
      </c>
      <c r="G16" s="458">
        <v>4875</v>
      </c>
      <c r="H16" s="459">
        <f t="shared" si="1"/>
        <v>0</v>
      </c>
      <c r="I16" s="457"/>
      <c r="J16" s="458"/>
      <c r="K16" s="459">
        <f t="shared" si="2"/>
        <v>0</v>
      </c>
      <c r="L16" s="457"/>
      <c r="M16" s="458"/>
      <c r="N16" s="459">
        <f t="shared" si="3"/>
        <v>0</v>
      </c>
      <c r="O16" s="457"/>
      <c r="P16" s="458"/>
      <c r="Q16" s="459">
        <f t="shared" si="15"/>
        <v>0</v>
      </c>
      <c r="R16" s="457"/>
      <c r="S16" s="458"/>
      <c r="T16" s="459">
        <f t="shared" si="16"/>
        <v>0</v>
      </c>
      <c r="U16" s="457"/>
      <c r="V16" s="458"/>
      <c r="W16" s="459">
        <f t="shared" si="17"/>
        <v>0</v>
      </c>
      <c r="X16" s="457"/>
      <c r="Y16" s="458"/>
      <c r="Z16" s="459">
        <f t="shared" si="4"/>
        <v>0</v>
      </c>
      <c r="AA16" s="457"/>
      <c r="AB16" s="458"/>
      <c r="AC16" s="459">
        <f t="shared" si="5"/>
        <v>0</v>
      </c>
      <c r="AD16" s="457"/>
      <c r="AE16" s="458"/>
      <c r="AF16" s="459">
        <f t="shared" si="6"/>
        <v>0</v>
      </c>
      <c r="AG16" s="457"/>
      <c r="AH16" s="458"/>
      <c r="AI16" s="459">
        <f t="shared" si="7"/>
        <v>0</v>
      </c>
      <c r="AJ16" s="457"/>
      <c r="AK16" s="458"/>
      <c r="AL16" s="459">
        <f t="shared" si="8"/>
        <v>0</v>
      </c>
      <c r="AM16" s="457"/>
      <c r="AN16" s="458"/>
      <c r="AO16" s="459">
        <f t="shared" si="9"/>
        <v>0</v>
      </c>
      <c r="AP16" s="457"/>
      <c r="AQ16" s="458"/>
      <c r="AR16" s="459">
        <f t="shared" si="10"/>
        <v>0</v>
      </c>
      <c r="AS16" s="457"/>
      <c r="AT16" s="458"/>
      <c r="AU16" s="459">
        <f t="shared" si="11"/>
        <v>0</v>
      </c>
      <c r="AV16" s="457"/>
      <c r="AW16" s="458"/>
      <c r="AX16" s="459">
        <f t="shared" si="12"/>
        <v>0</v>
      </c>
      <c r="AY16" s="457"/>
      <c r="AZ16" s="458"/>
      <c r="BA16" s="459">
        <f t="shared" si="13"/>
        <v>0</v>
      </c>
      <c r="BB16" s="457"/>
      <c r="BC16" s="458"/>
      <c r="BD16" s="459">
        <f t="shared" si="14"/>
        <v>0</v>
      </c>
    </row>
    <row r="17" spans="1:56" ht="12.75">
      <c r="A17" s="160"/>
      <c r="B17" s="219" t="s">
        <v>1016</v>
      </c>
      <c r="C17" s="457"/>
      <c r="D17" s="458"/>
      <c r="E17" s="459">
        <f t="shared" si="0"/>
        <v>0</v>
      </c>
      <c r="F17" s="457"/>
      <c r="G17" s="458"/>
      <c r="H17" s="459">
        <f t="shared" si="1"/>
        <v>0</v>
      </c>
      <c r="I17" s="457"/>
      <c r="J17" s="458"/>
      <c r="K17" s="459">
        <f t="shared" si="2"/>
        <v>0</v>
      </c>
      <c r="L17" s="457"/>
      <c r="M17" s="458"/>
      <c r="N17" s="459">
        <f t="shared" si="3"/>
        <v>0</v>
      </c>
      <c r="O17" s="457"/>
      <c r="P17" s="458"/>
      <c r="Q17" s="459">
        <f t="shared" si="15"/>
        <v>0</v>
      </c>
      <c r="R17" s="457"/>
      <c r="S17" s="458"/>
      <c r="T17" s="459">
        <f t="shared" si="16"/>
        <v>0</v>
      </c>
      <c r="U17" s="457"/>
      <c r="V17" s="458"/>
      <c r="W17" s="459">
        <f t="shared" si="17"/>
        <v>0</v>
      </c>
      <c r="X17" s="457"/>
      <c r="Y17" s="458"/>
      <c r="Z17" s="459">
        <f t="shared" si="4"/>
        <v>0</v>
      </c>
      <c r="AA17" s="457"/>
      <c r="AB17" s="458"/>
      <c r="AC17" s="459">
        <f t="shared" si="5"/>
        <v>0</v>
      </c>
      <c r="AD17" s="457"/>
      <c r="AE17" s="458"/>
      <c r="AF17" s="459">
        <f t="shared" si="6"/>
        <v>0</v>
      </c>
      <c r="AG17" s="457"/>
      <c r="AH17" s="458"/>
      <c r="AI17" s="459">
        <f t="shared" si="7"/>
        <v>0</v>
      </c>
      <c r="AJ17" s="457"/>
      <c r="AK17" s="458"/>
      <c r="AL17" s="459">
        <f t="shared" si="8"/>
        <v>0</v>
      </c>
      <c r="AM17" s="457"/>
      <c r="AN17" s="458"/>
      <c r="AO17" s="459">
        <f t="shared" si="9"/>
        <v>0</v>
      </c>
      <c r="AP17" s="457"/>
      <c r="AQ17" s="458"/>
      <c r="AR17" s="459">
        <f t="shared" si="10"/>
        <v>0</v>
      </c>
      <c r="AS17" s="457"/>
      <c r="AT17" s="458"/>
      <c r="AU17" s="459">
        <f t="shared" si="11"/>
        <v>0</v>
      </c>
      <c r="AV17" s="457"/>
      <c r="AW17" s="458"/>
      <c r="AX17" s="459">
        <f t="shared" si="12"/>
        <v>0</v>
      </c>
      <c r="AY17" s="457"/>
      <c r="AZ17" s="458"/>
      <c r="BA17" s="459">
        <f t="shared" si="13"/>
        <v>0</v>
      </c>
      <c r="BB17" s="457"/>
      <c r="BC17" s="458"/>
      <c r="BD17" s="459">
        <f t="shared" si="14"/>
        <v>0</v>
      </c>
    </row>
    <row r="18" spans="1:56" s="465" customFormat="1" ht="21.75" customHeight="1">
      <c r="A18" s="460"/>
      <c r="B18" s="461" t="s">
        <v>978</v>
      </c>
      <c r="C18" s="462">
        <v>2700</v>
      </c>
      <c r="D18" s="463">
        <v>2700</v>
      </c>
      <c r="E18" s="464">
        <f t="shared" si="0"/>
        <v>0</v>
      </c>
      <c r="F18" s="462">
        <v>4830</v>
      </c>
      <c r="G18" s="463">
        <v>4830</v>
      </c>
      <c r="H18" s="464">
        <f t="shared" si="1"/>
        <v>0</v>
      </c>
      <c r="I18" s="462"/>
      <c r="J18" s="463"/>
      <c r="K18" s="464">
        <f t="shared" si="2"/>
        <v>0</v>
      </c>
      <c r="L18" s="462"/>
      <c r="M18" s="463"/>
      <c r="N18" s="464">
        <f t="shared" si="3"/>
        <v>0</v>
      </c>
      <c r="O18" s="462"/>
      <c r="P18" s="463"/>
      <c r="Q18" s="464">
        <f t="shared" si="15"/>
        <v>0</v>
      </c>
      <c r="R18" s="462"/>
      <c r="S18" s="463"/>
      <c r="T18" s="464">
        <f t="shared" si="16"/>
        <v>0</v>
      </c>
      <c r="U18" s="462"/>
      <c r="V18" s="463"/>
      <c r="W18" s="464">
        <f t="shared" si="17"/>
        <v>0</v>
      </c>
      <c r="X18" s="462"/>
      <c r="Y18" s="463"/>
      <c r="Z18" s="464">
        <f t="shared" si="4"/>
        <v>0</v>
      </c>
      <c r="AA18" s="462"/>
      <c r="AB18" s="463"/>
      <c r="AC18" s="464">
        <f t="shared" si="5"/>
        <v>0</v>
      </c>
      <c r="AD18" s="462"/>
      <c r="AE18" s="463"/>
      <c r="AF18" s="464">
        <f t="shared" si="6"/>
        <v>0</v>
      </c>
      <c r="AG18" s="462"/>
      <c r="AH18" s="463"/>
      <c r="AI18" s="464">
        <f t="shared" si="7"/>
        <v>0</v>
      </c>
      <c r="AJ18" s="462"/>
      <c r="AK18" s="463"/>
      <c r="AL18" s="464">
        <f t="shared" si="8"/>
        <v>0</v>
      </c>
      <c r="AM18" s="462"/>
      <c r="AN18" s="463"/>
      <c r="AO18" s="464">
        <f t="shared" si="9"/>
        <v>0</v>
      </c>
      <c r="AP18" s="462"/>
      <c r="AQ18" s="463"/>
      <c r="AR18" s="464">
        <f t="shared" si="10"/>
        <v>0</v>
      </c>
      <c r="AS18" s="462"/>
      <c r="AT18" s="463"/>
      <c r="AU18" s="464">
        <f t="shared" si="11"/>
        <v>0</v>
      </c>
      <c r="AV18" s="462"/>
      <c r="AW18" s="463"/>
      <c r="AX18" s="464">
        <f t="shared" si="12"/>
        <v>0</v>
      </c>
      <c r="AY18" s="462"/>
      <c r="AZ18" s="463"/>
      <c r="BA18" s="464">
        <f t="shared" si="13"/>
        <v>0</v>
      </c>
      <c r="BB18" s="462"/>
      <c r="BC18" s="463"/>
      <c r="BD18" s="464">
        <f t="shared" si="14"/>
        <v>0</v>
      </c>
    </row>
    <row r="19" spans="1:56" ht="12.75">
      <c r="A19" s="466"/>
      <c r="B19" s="467" t="s">
        <v>781</v>
      </c>
      <c r="C19" s="468"/>
      <c r="D19" s="469"/>
      <c r="E19" s="471">
        <f t="shared" si="0"/>
        <v>0</v>
      </c>
      <c r="F19" s="468"/>
      <c r="G19" s="469"/>
      <c r="H19" s="471"/>
      <c r="I19" s="468"/>
      <c r="J19" s="469"/>
      <c r="K19" s="471"/>
      <c r="L19" s="468"/>
      <c r="M19" s="469"/>
      <c r="N19" s="471"/>
      <c r="O19" s="468">
        <v>9736</v>
      </c>
      <c r="P19" s="469">
        <v>11190</v>
      </c>
      <c r="Q19" s="471">
        <f t="shared" si="15"/>
        <v>14.934264585045193</v>
      </c>
      <c r="R19" s="468">
        <v>19902</v>
      </c>
      <c r="S19" s="469">
        <v>22170</v>
      </c>
      <c r="T19" s="471">
        <f t="shared" si="16"/>
        <v>11.395839614109136</v>
      </c>
      <c r="U19" s="468">
        <v>13889</v>
      </c>
      <c r="V19" s="469">
        <v>15352</v>
      </c>
      <c r="W19" s="471">
        <f t="shared" si="17"/>
        <v>10.533515731874145</v>
      </c>
      <c r="X19" s="468">
        <v>37888</v>
      </c>
      <c r="Y19" s="469">
        <v>42265</v>
      </c>
      <c r="Z19" s="471">
        <f t="shared" si="4"/>
        <v>11.55247043918919</v>
      </c>
      <c r="AA19" s="468">
        <v>12261</v>
      </c>
      <c r="AB19" s="469">
        <v>13503</v>
      </c>
      <c r="AC19" s="471">
        <f t="shared" si="5"/>
        <v>10.129679471494985</v>
      </c>
      <c r="AD19" s="468">
        <v>32877</v>
      </c>
      <c r="AE19" s="469">
        <v>36591</v>
      </c>
      <c r="AF19" s="471">
        <f t="shared" si="6"/>
        <v>11.296651154302399</v>
      </c>
      <c r="AG19" s="468">
        <v>13572</v>
      </c>
      <c r="AH19" s="469">
        <v>13910</v>
      </c>
      <c r="AI19" s="471">
        <f t="shared" si="7"/>
        <v>2.490421455938697</v>
      </c>
      <c r="AJ19" s="468">
        <v>23572</v>
      </c>
      <c r="AK19" s="469">
        <v>24410</v>
      </c>
      <c r="AL19" s="471">
        <f t="shared" si="8"/>
        <v>3.555065331749533</v>
      </c>
      <c r="AM19" s="468">
        <v>14115</v>
      </c>
      <c r="AN19" s="469">
        <v>15227</v>
      </c>
      <c r="AO19" s="471">
        <f t="shared" si="9"/>
        <v>7.87814381863266</v>
      </c>
      <c r="AP19" s="468">
        <v>36163</v>
      </c>
      <c r="AQ19" s="469">
        <v>39483</v>
      </c>
      <c r="AR19" s="471">
        <f t="shared" si="10"/>
        <v>9.180654259878882</v>
      </c>
      <c r="AS19" s="468"/>
      <c r="AT19" s="469"/>
      <c r="AU19" s="471">
        <f t="shared" si="11"/>
        <v>0</v>
      </c>
      <c r="AV19" s="468"/>
      <c r="AW19" s="469"/>
      <c r="AX19" s="471">
        <f t="shared" si="12"/>
        <v>0</v>
      </c>
      <c r="AY19" s="468">
        <v>9816</v>
      </c>
      <c r="AZ19" s="469">
        <v>10374</v>
      </c>
      <c r="BA19" s="471">
        <f t="shared" si="13"/>
        <v>5.684596577017115</v>
      </c>
      <c r="BB19" s="468">
        <v>28936</v>
      </c>
      <c r="BC19" s="469">
        <v>30434</v>
      </c>
      <c r="BD19" s="471">
        <f t="shared" si="14"/>
        <v>5.176942217307161</v>
      </c>
    </row>
    <row r="20" spans="1:56" ht="12.75">
      <c r="A20" s="158" t="s">
        <v>526</v>
      </c>
      <c r="B20" s="219" t="s">
        <v>89</v>
      </c>
      <c r="C20" s="457">
        <v>5808</v>
      </c>
      <c r="D20" s="458">
        <v>6038</v>
      </c>
      <c r="E20" s="459">
        <f t="shared" si="0"/>
        <v>3.9600550964187327</v>
      </c>
      <c r="F20" s="457">
        <v>13942</v>
      </c>
      <c r="G20" s="458">
        <v>14492</v>
      </c>
      <c r="H20" s="459">
        <f aca="true" t="shared" si="18" ref="H20:H83">IF(F20&gt;0,(((G20-F20)/F20)*100),0)</f>
        <v>3.944914646392196</v>
      </c>
      <c r="I20" s="457">
        <v>7398</v>
      </c>
      <c r="J20" s="458">
        <v>7708</v>
      </c>
      <c r="K20" s="459">
        <f aca="true" t="shared" si="19" ref="K20:K83">IF(I20&gt;0,(((J20-I20)/I20)*100),0)</f>
        <v>4.190321708569884</v>
      </c>
      <c r="L20" s="457">
        <v>16248</v>
      </c>
      <c r="M20" s="458">
        <v>16907</v>
      </c>
      <c r="N20" s="459">
        <f aca="true" t="shared" si="20" ref="N20:N83">IF(L20&gt;0,(((M20-L20)/L20)*100),0)</f>
        <v>4.055883801083211</v>
      </c>
      <c r="O20" s="457"/>
      <c r="P20" s="458"/>
      <c r="Q20" s="459"/>
      <c r="R20" s="457"/>
      <c r="S20" s="458"/>
      <c r="T20" s="459"/>
      <c r="U20" s="457"/>
      <c r="V20" s="458"/>
      <c r="W20" s="459">
        <f t="shared" si="17"/>
        <v>0</v>
      </c>
      <c r="X20" s="457"/>
      <c r="Y20" s="458"/>
      <c r="Z20" s="459">
        <f t="shared" si="4"/>
        <v>0</v>
      </c>
      <c r="AA20" s="457"/>
      <c r="AB20" s="458"/>
      <c r="AC20" s="459">
        <f t="shared" si="5"/>
        <v>0</v>
      </c>
      <c r="AD20" s="457"/>
      <c r="AE20" s="458"/>
      <c r="AF20" s="459">
        <f t="shared" si="6"/>
        <v>0</v>
      </c>
      <c r="AG20" s="457"/>
      <c r="AH20" s="458"/>
      <c r="AI20" s="459">
        <f t="shared" si="7"/>
        <v>0</v>
      </c>
      <c r="AJ20" s="457"/>
      <c r="AK20" s="458"/>
      <c r="AL20" s="459">
        <f t="shared" si="8"/>
        <v>0</v>
      </c>
      <c r="AM20" s="457"/>
      <c r="AN20" s="458"/>
      <c r="AO20" s="459">
        <f t="shared" si="9"/>
        <v>0</v>
      </c>
      <c r="AP20" s="457"/>
      <c r="AQ20" s="458"/>
      <c r="AR20" s="459">
        <f t="shared" si="10"/>
        <v>0</v>
      </c>
      <c r="AS20" s="457"/>
      <c r="AT20" s="458"/>
      <c r="AU20" s="459">
        <f aca="true" t="shared" si="21" ref="AU20:AU36">IF(AS20&gt;0,(((AT20-AS20)/AS20)*100),0)</f>
        <v>0</v>
      </c>
      <c r="AV20" s="457"/>
      <c r="AW20" s="458"/>
      <c r="AX20" s="459">
        <f aca="true" t="shared" si="22" ref="AX20:AX36">IF(AV20&gt;0,(((AW20-AV20)/AV20)*100),0)</f>
        <v>0</v>
      </c>
      <c r="AY20" s="457"/>
      <c r="AZ20" s="458"/>
      <c r="BA20" s="459">
        <f aca="true" t="shared" si="23" ref="BA20:BA36">IF(AY20&gt;0,(((AZ20-AY20)/AY20)*100),0)</f>
        <v>0</v>
      </c>
      <c r="BB20" s="457"/>
      <c r="BC20" s="458"/>
      <c r="BD20" s="459">
        <f aca="true" t="shared" si="24" ref="BD20:BD36">IF(BB20&gt;0,(((BC20-BB20)/BB20)*100),0)</f>
        <v>0</v>
      </c>
    </row>
    <row r="21" spans="1:56" ht="12.75">
      <c r="A21" s="160"/>
      <c r="B21" s="219" t="s">
        <v>90</v>
      </c>
      <c r="C21" s="457"/>
      <c r="D21" s="458"/>
      <c r="E21" s="459">
        <f t="shared" si="0"/>
        <v>0</v>
      </c>
      <c r="F21" s="457"/>
      <c r="G21" s="458"/>
      <c r="H21" s="459">
        <f t="shared" si="18"/>
        <v>0</v>
      </c>
      <c r="I21" s="457"/>
      <c r="J21" s="458"/>
      <c r="K21" s="459">
        <f t="shared" si="19"/>
        <v>0</v>
      </c>
      <c r="L21" s="457"/>
      <c r="M21" s="458"/>
      <c r="N21" s="459">
        <f t="shared" si="20"/>
        <v>0</v>
      </c>
      <c r="O21" s="457"/>
      <c r="P21" s="458"/>
      <c r="Q21" s="459"/>
      <c r="R21" s="457"/>
      <c r="S21" s="458"/>
      <c r="T21" s="459"/>
      <c r="U21" s="457"/>
      <c r="V21" s="458"/>
      <c r="W21" s="459">
        <f t="shared" si="17"/>
        <v>0</v>
      </c>
      <c r="X21" s="457"/>
      <c r="Y21" s="458"/>
      <c r="Z21" s="459">
        <f t="shared" si="4"/>
        <v>0</v>
      </c>
      <c r="AA21" s="457"/>
      <c r="AB21" s="458"/>
      <c r="AC21" s="459">
        <f t="shared" si="5"/>
        <v>0</v>
      </c>
      <c r="AD21" s="457"/>
      <c r="AE21" s="458"/>
      <c r="AF21" s="459">
        <f t="shared" si="6"/>
        <v>0</v>
      </c>
      <c r="AG21" s="457"/>
      <c r="AH21" s="458"/>
      <c r="AI21" s="459">
        <f t="shared" si="7"/>
        <v>0</v>
      </c>
      <c r="AJ21" s="457"/>
      <c r="AK21" s="458"/>
      <c r="AL21" s="459">
        <f t="shared" si="8"/>
        <v>0</v>
      </c>
      <c r="AM21" s="457"/>
      <c r="AN21" s="458"/>
      <c r="AO21" s="459">
        <f t="shared" si="9"/>
        <v>0</v>
      </c>
      <c r="AP21" s="457"/>
      <c r="AQ21" s="458"/>
      <c r="AR21" s="459">
        <f t="shared" si="10"/>
        <v>0</v>
      </c>
      <c r="AS21" s="457"/>
      <c r="AT21" s="458"/>
      <c r="AU21" s="459">
        <f t="shared" si="21"/>
        <v>0</v>
      </c>
      <c r="AV21" s="457"/>
      <c r="AW21" s="458"/>
      <c r="AX21" s="459">
        <f t="shared" si="22"/>
        <v>0</v>
      </c>
      <c r="AY21" s="457"/>
      <c r="AZ21" s="458"/>
      <c r="BA21" s="459">
        <f t="shared" si="23"/>
        <v>0</v>
      </c>
      <c r="BB21" s="457"/>
      <c r="BC21" s="458"/>
      <c r="BD21" s="459">
        <f t="shared" si="24"/>
        <v>0</v>
      </c>
    </row>
    <row r="22" spans="1:56" ht="12.75">
      <c r="A22" s="160"/>
      <c r="B22" s="219" t="s">
        <v>91</v>
      </c>
      <c r="C22" s="457">
        <v>5710</v>
      </c>
      <c r="D22" s="458">
        <v>6010</v>
      </c>
      <c r="E22" s="459">
        <f t="shared" si="0"/>
        <v>5.253940455341506</v>
      </c>
      <c r="F22" s="457">
        <v>12726</v>
      </c>
      <c r="G22" s="458">
        <v>13232</v>
      </c>
      <c r="H22" s="459">
        <f t="shared" si="18"/>
        <v>3.9761118969039764</v>
      </c>
      <c r="I22" s="457">
        <v>5787</v>
      </c>
      <c r="J22" s="458">
        <v>5943</v>
      </c>
      <c r="K22" s="459">
        <f t="shared" si="19"/>
        <v>2.695697252462416</v>
      </c>
      <c r="L22" s="457">
        <v>11825</v>
      </c>
      <c r="M22" s="458">
        <v>12302</v>
      </c>
      <c r="N22" s="459">
        <f t="shared" si="20"/>
        <v>4.033826638477802</v>
      </c>
      <c r="O22" s="457"/>
      <c r="P22" s="458"/>
      <c r="Q22" s="459"/>
      <c r="R22" s="457"/>
      <c r="S22" s="458"/>
      <c r="T22" s="459"/>
      <c r="U22" s="457"/>
      <c r="V22" s="458"/>
      <c r="W22" s="459">
        <f t="shared" si="17"/>
        <v>0</v>
      </c>
      <c r="X22" s="457"/>
      <c r="Y22" s="458"/>
      <c r="Z22" s="459">
        <f t="shared" si="4"/>
        <v>0</v>
      </c>
      <c r="AA22" s="457"/>
      <c r="AB22" s="458"/>
      <c r="AC22" s="459">
        <f t="shared" si="5"/>
        <v>0</v>
      </c>
      <c r="AD22" s="457"/>
      <c r="AE22" s="458"/>
      <c r="AF22" s="459">
        <f t="shared" si="6"/>
        <v>0</v>
      </c>
      <c r="AG22" s="457"/>
      <c r="AH22" s="458"/>
      <c r="AI22" s="459">
        <f t="shared" si="7"/>
        <v>0</v>
      </c>
      <c r="AJ22" s="457"/>
      <c r="AK22" s="458"/>
      <c r="AL22" s="459">
        <f t="shared" si="8"/>
        <v>0</v>
      </c>
      <c r="AM22" s="457"/>
      <c r="AN22" s="458"/>
      <c r="AO22" s="459">
        <f t="shared" si="9"/>
        <v>0</v>
      </c>
      <c r="AP22" s="457"/>
      <c r="AQ22" s="458"/>
      <c r="AR22" s="459">
        <f t="shared" si="10"/>
        <v>0</v>
      </c>
      <c r="AS22" s="457"/>
      <c r="AT22" s="458"/>
      <c r="AU22" s="459">
        <f t="shared" si="21"/>
        <v>0</v>
      </c>
      <c r="AV22" s="457"/>
      <c r="AW22" s="458"/>
      <c r="AX22" s="459">
        <f t="shared" si="22"/>
        <v>0</v>
      </c>
      <c r="AY22" s="457"/>
      <c r="AZ22" s="458"/>
      <c r="BA22" s="459">
        <f t="shared" si="23"/>
        <v>0</v>
      </c>
      <c r="BB22" s="457"/>
      <c r="BC22" s="458"/>
      <c r="BD22" s="459">
        <f t="shared" si="24"/>
        <v>0</v>
      </c>
    </row>
    <row r="23" spans="1:56" ht="12.75">
      <c r="A23" s="160"/>
      <c r="B23" s="219" t="s">
        <v>92</v>
      </c>
      <c r="C23" s="457">
        <v>5045</v>
      </c>
      <c r="D23" s="458">
        <v>5404.5</v>
      </c>
      <c r="E23" s="459">
        <f t="shared" si="0"/>
        <v>7.125867195242814</v>
      </c>
      <c r="F23" s="457">
        <v>9485</v>
      </c>
      <c r="G23" s="458">
        <v>10009.5</v>
      </c>
      <c r="H23" s="459">
        <f t="shared" si="18"/>
        <v>5.5297838692672645</v>
      </c>
      <c r="I23" s="457">
        <v>4775</v>
      </c>
      <c r="J23" s="458">
        <v>5113.5</v>
      </c>
      <c r="K23" s="459">
        <f t="shared" si="19"/>
        <v>7.0890052356020945</v>
      </c>
      <c r="L23" s="457">
        <v>9011</v>
      </c>
      <c r="M23" s="458">
        <v>9505.5</v>
      </c>
      <c r="N23" s="459">
        <f t="shared" si="20"/>
        <v>5.487737210076573</v>
      </c>
      <c r="O23" s="457"/>
      <c r="P23" s="458"/>
      <c r="Q23" s="459"/>
      <c r="R23" s="457"/>
      <c r="S23" s="458"/>
      <c r="T23" s="459"/>
      <c r="U23" s="457"/>
      <c r="V23" s="458"/>
      <c r="W23" s="459">
        <f t="shared" si="17"/>
        <v>0</v>
      </c>
      <c r="X23" s="457"/>
      <c r="Y23" s="458"/>
      <c r="Z23" s="459">
        <f t="shared" si="4"/>
        <v>0</v>
      </c>
      <c r="AA23" s="457"/>
      <c r="AB23" s="458"/>
      <c r="AC23" s="459">
        <f t="shared" si="5"/>
        <v>0</v>
      </c>
      <c r="AD23" s="457"/>
      <c r="AE23" s="458"/>
      <c r="AF23" s="459">
        <f t="shared" si="6"/>
        <v>0</v>
      </c>
      <c r="AG23" s="457"/>
      <c r="AH23" s="458"/>
      <c r="AI23" s="459">
        <f t="shared" si="7"/>
        <v>0</v>
      </c>
      <c r="AJ23" s="457"/>
      <c r="AK23" s="458"/>
      <c r="AL23" s="459">
        <f t="shared" si="8"/>
        <v>0</v>
      </c>
      <c r="AM23" s="457"/>
      <c r="AN23" s="458"/>
      <c r="AO23" s="459">
        <f t="shared" si="9"/>
        <v>0</v>
      </c>
      <c r="AP23" s="457"/>
      <c r="AQ23" s="458"/>
      <c r="AR23" s="459">
        <f t="shared" si="10"/>
        <v>0</v>
      </c>
      <c r="AS23" s="457"/>
      <c r="AT23" s="458"/>
      <c r="AU23" s="459">
        <f t="shared" si="21"/>
        <v>0</v>
      </c>
      <c r="AV23" s="457"/>
      <c r="AW23" s="458"/>
      <c r="AX23" s="459">
        <f t="shared" si="22"/>
        <v>0</v>
      </c>
      <c r="AY23" s="457"/>
      <c r="AZ23" s="458"/>
      <c r="BA23" s="459">
        <f t="shared" si="23"/>
        <v>0</v>
      </c>
      <c r="BB23" s="457"/>
      <c r="BC23" s="458"/>
      <c r="BD23" s="459">
        <f t="shared" si="24"/>
        <v>0</v>
      </c>
    </row>
    <row r="24" spans="1:56" ht="12.75">
      <c r="A24" s="160"/>
      <c r="B24" s="219" t="s">
        <v>93</v>
      </c>
      <c r="C24" s="457">
        <v>4520</v>
      </c>
      <c r="D24" s="458">
        <v>4762</v>
      </c>
      <c r="E24" s="459">
        <f t="shared" si="0"/>
        <v>5.353982300884956</v>
      </c>
      <c r="F24" s="457">
        <v>7580</v>
      </c>
      <c r="G24" s="458">
        <v>7882</v>
      </c>
      <c r="H24" s="459">
        <f t="shared" si="18"/>
        <v>3.9841688654353566</v>
      </c>
      <c r="I24" s="457">
        <v>4522</v>
      </c>
      <c r="J24" s="458">
        <v>4764</v>
      </c>
      <c r="K24" s="459">
        <f t="shared" si="19"/>
        <v>5.351614329942503</v>
      </c>
      <c r="L24" s="457">
        <v>7594</v>
      </c>
      <c r="M24" s="458">
        <v>7884</v>
      </c>
      <c r="N24" s="459">
        <f t="shared" si="20"/>
        <v>3.8188043191993675</v>
      </c>
      <c r="O24" s="457"/>
      <c r="P24" s="458"/>
      <c r="Q24" s="459"/>
      <c r="R24" s="457"/>
      <c r="S24" s="458"/>
      <c r="T24" s="459"/>
      <c r="U24" s="457"/>
      <c r="V24" s="458"/>
      <c r="W24" s="459">
        <f t="shared" si="17"/>
        <v>0</v>
      </c>
      <c r="X24" s="457"/>
      <c r="Y24" s="458"/>
      <c r="Z24" s="459">
        <f t="shared" si="4"/>
        <v>0</v>
      </c>
      <c r="AA24" s="457"/>
      <c r="AB24" s="458"/>
      <c r="AC24" s="459">
        <f t="shared" si="5"/>
        <v>0</v>
      </c>
      <c r="AD24" s="457"/>
      <c r="AE24" s="458"/>
      <c r="AF24" s="459">
        <f t="shared" si="6"/>
        <v>0</v>
      </c>
      <c r="AG24" s="457"/>
      <c r="AH24" s="458"/>
      <c r="AI24" s="459">
        <f t="shared" si="7"/>
        <v>0</v>
      </c>
      <c r="AJ24" s="457"/>
      <c r="AK24" s="458"/>
      <c r="AL24" s="459">
        <f t="shared" si="8"/>
        <v>0</v>
      </c>
      <c r="AM24" s="457"/>
      <c r="AN24" s="458"/>
      <c r="AO24" s="459">
        <f t="shared" si="9"/>
        <v>0</v>
      </c>
      <c r="AP24" s="457"/>
      <c r="AQ24" s="458"/>
      <c r="AR24" s="459">
        <f t="shared" si="10"/>
        <v>0</v>
      </c>
      <c r="AS24" s="457"/>
      <c r="AT24" s="458"/>
      <c r="AU24" s="459">
        <f t="shared" si="21"/>
        <v>0</v>
      </c>
      <c r="AV24" s="457"/>
      <c r="AW24" s="458"/>
      <c r="AX24" s="459">
        <f t="shared" si="22"/>
        <v>0</v>
      </c>
      <c r="AY24" s="457"/>
      <c r="AZ24" s="458"/>
      <c r="BA24" s="459">
        <f t="shared" si="23"/>
        <v>0</v>
      </c>
      <c r="BB24" s="457"/>
      <c r="BC24" s="458"/>
      <c r="BD24" s="459">
        <f t="shared" si="24"/>
        <v>0</v>
      </c>
    </row>
    <row r="25" spans="1:56" ht="12.75">
      <c r="A25" s="160"/>
      <c r="B25" s="219" t="s">
        <v>94</v>
      </c>
      <c r="C25" s="457">
        <v>4454</v>
      </c>
      <c r="D25" s="458">
        <v>4499</v>
      </c>
      <c r="E25" s="459">
        <f t="shared" si="0"/>
        <v>1.0103277952402334</v>
      </c>
      <c r="F25" s="457">
        <v>8864</v>
      </c>
      <c r="G25" s="458">
        <v>8909</v>
      </c>
      <c r="H25" s="459">
        <f t="shared" si="18"/>
        <v>0.5076714801444043</v>
      </c>
      <c r="I25" s="457">
        <v>4341</v>
      </c>
      <c r="J25" s="458">
        <v>4377</v>
      </c>
      <c r="K25" s="459">
        <f t="shared" si="19"/>
        <v>0.82930200414651</v>
      </c>
      <c r="L25" s="457">
        <v>8805</v>
      </c>
      <c r="M25" s="458">
        <v>8841</v>
      </c>
      <c r="N25" s="459">
        <f t="shared" si="20"/>
        <v>0.40885860306643956</v>
      </c>
      <c r="O25" s="457"/>
      <c r="P25" s="458"/>
      <c r="Q25" s="459"/>
      <c r="R25" s="457"/>
      <c r="S25" s="458"/>
      <c r="T25" s="459"/>
      <c r="U25" s="457"/>
      <c r="V25" s="458"/>
      <c r="W25" s="459">
        <f t="shared" si="17"/>
        <v>0</v>
      </c>
      <c r="X25" s="457"/>
      <c r="Y25" s="458"/>
      <c r="Z25" s="459">
        <f t="shared" si="4"/>
        <v>0</v>
      </c>
      <c r="AA25" s="457"/>
      <c r="AB25" s="458"/>
      <c r="AC25" s="459">
        <f t="shared" si="5"/>
        <v>0</v>
      </c>
      <c r="AD25" s="457"/>
      <c r="AE25" s="458"/>
      <c r="AF25" s="459">
        <f t="shared" si="6"/>
        <v>0</v>
      </c>
      <c r="AG25" s="457"/>
      <c r="AH25" s="458"/>
      <c r="AI25" s="459">
        <f t="shared" si="7"/>
        <v>0</v>
      </c>
      <c r="AJ25" s="457"/>
      <c r="AK25" s="458"/>
      <c r="AL25" s="459">
        <f t="shared" si="8"/>
        <v>0</v>
      </c>
      <c r="AM25" s="457"/>
      <c r="AN25" s="458"/>
      <c r="AO25" s="459">
        <f t="shared" si="9"/>
        <v>0</v>
      </c>
      <c r="AP25" s="457"/>
      <c r="AQ25" s="458"/>
      <c r="AR25" s="459">
        <f t="shared" si="10"/>
        <v>0</v>
      </c>
      <c r="AS25" s="457"/>
      <c r="AT25" s="458"/>
      <c r="AU25" s="459">
        <f t="shared" si="21"/>
        <v>0</v>
      </c>
      <c r="AV25" s="457"/>
      <c r="AW25" s="458"/>
      <c r="AX25" s="459">
        <f t="shared" si="22"/>
        <v>0</v>
      </c>
      <c r="AY25" s="457"/>
      <c r="AZ25" s="458"/>
      <c r="BA25" s="459">
        <f t="shared" si="23"/>
        <v>0</v>
      </c>
      <c r="BB25" s="457"/>
      <c r="BC25" s="458"/>
      <c r="BD25" s="459">
        <f t="shared" si="24"/>
        <v>0</v>
      </c>
    </row>
    <row r="26" spans="1:56" s="465" customFormat="1" ht="19.5" customHeight="1">
      <c r="A26" s="460"/>
      <c r="B26" s="461" t="s">
        <v>821</v>
      </c>
      <c r="C26" s="462">
        <v>5210</v>
      </c>
      <c r="D26" s="463">
        <v>5689</v>
      </c>
      <c r="E26" s="464">
        <f t="shared" si="0"/>
        <v>9.193857965451055</v>
      </c>
      <c r="F26" s="462">
        <v>9620</v>
      </c>
      <c r="G26" s="463">
        <v>10309</v>
      </c>
      <c r="H26" s="464">
        <f t="shared" si="18"/>
        <v>7.162162162162162</v>
      </c>
      <c r="I26" s="462">
        <v>5094</v>
      </c>
      <c r="J26" s="463">
        <v>5555</v>
      </c>
      <c r="K26" s="464">
        <f t="shared" si="19"/>
        <v>9.049862583431487</v>
      </c>
      <c r="L26" s="462">
        <v>9486</v>
      </c>
      <c r="M26" s="463">
        <v>10139</v>
      </c>
      <c r="N26" s="464">
        <f t="shared" si="20"/>
        <v>6.88382880033734</v>
      </c>
      <c r="O26" s="462"/>
      <c r="P26" s="463"/>
      <c r="Q26" s="464"/>
      <c r="R26" s="462"/>
      <c r="S26" s="463"/>
      <c r="T26" s="464"/>
      <c r="U26" s="462"/>
      <c r="V26" s="463"/>
      <c r="W26" s="464">
        <f t="shared" si="17"/>
        <v>0</v>
      </c>
      <c r="X26" s="462"/>
      <c r="Y26" s="463"/>
      <c r="Z26" s="464">
        <f t="shared" si="4"/>
        <v>0</v>
      </c>
      <c r="AA26" s="462"/>
      <c r="AB26" s="463"/>
      <c r="AC26" s="464">
        <f t="shared" si="5"/>
        <v>0</v>
      </c>
      <c r="AD26" s="462"/>
      <c r="AE26" s="463"/>
      <c r="AF26" s="464">
        <f t="shared" si="6"/>
        <v>0</v>
      </c>
      <c r="AG26" s="462"/>
      <c r="AH26" s="463"/>
      <c r="AI26" s="464">
        <f t="shared" si="7"/>
        <v>0</v>
      </c>
      <c r="AJ26" s="462"/>
      <c r="AK26" s="463"/>
      <c r="AL26" s="464">
        <f t="shared" si="8"/>
        <v>0</v>
      </c>
      <c r="AM26" s="462"/>
      <c r="AN26" s="463"/>
      <c r="AO26" s="464">
        <f t="shared" si="9"/>
        <v>0</v>
      </c>
      <c r="AP26" s="462"/>
      <c r="AQ26" s="463"/>
      <c r="AR26" s="464">
        <f t="shared" si="10"/>
        <v>0</v>
      </c>
      <c r="AS26" s="462"/>
      <c r="AT26" s="463"/>
      <c r="AU26" s="464">
        <f t="shared" si="21"/>
        <v>0</v>
      </c>
      <c r="AV26" s="462"/>
      <c r="AW26" s="463"/>
      <c r="AX26" s="464">
        <f t="shared" si="22"/>
        <v>0</v>
      </c>
      <c r="AY26" s="462"/>
      <c r="AZ26" s="463"/>
      <c r="BA26" s="464">
        <f t="shared" si="23"/>
        <v>0</v>
      </c>
      <c r="BB26" s="462"/>
      <c r="BC26" s="463"/>
      <c r="BD26" s="464">
        <f t="shared" si="24"/>
        <v>0</v>
      </c>
    </row>
    <row r="27" spans="1:56" ht="12.75">
      <c r="A27" s="160"/>
      <c r="B27" s="219" t="s">
        <v>95</v>
      </c>
      <c r="C27" s="457">
        <v>3340</v>
      </c>
      <c r="D27" s="458">
        <v>4060</v>
      </c>
      <c r="E27" s="459">
        <f t="shared" si="0"/>
        <v>21.55688622754491</v>
      </c>
      <c r="F27" s="457">
        <v>8170</v>
      </c>
      <c r="G27" s="458">
        <v>8950</v>
      </c>
      <c r="H27" s="459">
        <f t="shared" si="18"/>
        <v>9.547123623011016</v>
      </c>
      <c r="I27" s="457"/>
      <c r="J27" s="458"/>
      <c r="K27" s="459">
        <f t="shared" si="19"/>
        <v>0</v>
      </c>
      <c r="L27" s="457"/>
      <c r="M27" s="458"/>
      <c r="N27" s="459">
        <f t="shared" si="20"/>
        <v>0</v>
      </c>
      <c r="O27" s="457"/>
      <c r="P27" s="458"/>
      <c r="Q27" s="459">
        <f t="shared" si="15"/>
        <v>0</v>
      </c>
      <c r="R27" s="457"/>
      <c r="S27" s="458"/>
      <c r="T27" s="459">
        <f t="shared" si="16"/>
        <v>0</v>
      </c>
      <c r="U27" s="457"/>
      <c r="V27" s="458"/>
      <c r="W27" s="459">
        <f t="shared" si="17"/>
        <v>0</v>
      </c>
      <c r="X27" s="457"/>
      <c r="Y27" s="458"/>
      <c r="Z27" s="459">
        <f t="shared" si="4"/>
        <v>0</v>
      </c>
      <c r="AA27" s="457"/>
      <c r="AB27" s="458"/>
      <c r="AC27" s="459">
        <f t="shared" si="5"/>
        <v>0</v>
      </c>
      <c r="AD27" s="457"/>
      <c r="AE27" s="458"/>
      <c r="AF27" s="459">
        <f t="shared" si="6"/>
        <v>0</v>
      </c>
      <c r="AG27" s="457"/>
      <c r="AH27" s="458"/>
      <c r="AI27" s="459">
        <f t="shared" si="7"/>
        <v>0</v>
      </c>
      <c r="AJ27" s="457"/>
      <c r="AK27" s="458"/>
      <c r="AL27" s="459">
        <f t="shared" si="8"/>
        <v>0</v>
      </c>
      <c r="AM27" s="457"/>
      <c r="AN27" s="458"/>
      <c r="AO27" s="459">
        <f t="shared" si="9"/>
        <v>0</v>
      </c>
      <c r="AP27" s="457"/>
      <c r="AQ27" s="458"/>
      <c r="AR27" s="459">
        <f t="shared" si="10"/>
        <v>0</v>
      </c>
      <c r="AS27" s="457"/>
      <c r="AT27" s="458"/>
      <c r="AU27" s="459">
        <f t="shared" si="21"/>
        <v>0</v>
      </c>
      <c r="AV27" s="457"/>
      <c r="AW27" s="458"/>
      <c r="AX27" s="459">
        <f t="shared" si="22"/>
        <v>0</v>
      </c>
      <c r="AY27" s="457"/>
      <c r="AZ27" s="458"/>
      <c r="BA27" s="459">
        <f t="shared" si="23"/>
        <v>0</v>
      </c>
      <c r="BB27" s="457"/>
      <c r="BC27" s="458"/>
      <c r="BD27" s="459">
        <f t="shared" si="24"/>
        <v>0</v>
      </c>
    </row>
    <row r="28" spans="1:56" ht="12.75">
      <c r="A28" s="160"/>
      <c r="B28" s="219" t="s">
        <v>96</v>
      </c>
      <c r="C28" s="457">
        <v>2430</v>
      </c>
      <c r="D28" s="458">
        <v>2520</v>
      </c>
      <c r="E28" s="459">
        <f t="shared" si="0"/>
        <v>3.7037037037037033</v>
      </c>
      <c r="F28" s="457">
        <v>3840</v>
      </c>
      <c r="G28" s="458">
        <v>3990</v>
      </c>
      <c r="H28" s="459">
        <f t="shared" si="18"/>
        <v>3.90625</v>
      </c>
      <c r="I28" s="457"/>
      <c r="J28" s="458"/>
      <c r="K28" s="459">
        <f t="shared" si="19"/>
        <v>0</v>
      </c>
      <c r="L28" s="457"/>
      <c r="M28" s="458"/>
      <c r="N28" s="459">
        <f t="shared" si="20"/>
        <v>0</v>
      </c>
      <c r="O28" s="457"/>
      <c r="P28" s="458"/>
      <c r="Q28" s="459">
        <f t="shared" si="15"/>
        <v>0</v>
      </c>
      <c r="R28" s="457"/>
      <c r="S28" s="458"/>
      <c r="T28" s="459">
        <f t="shared" si="16"/>
        <v>0</v>
      </c>
      <c r="U28" s="457"/>
      <c r="V28" s="458"/>
      <c r="W28" s="459">
        <f t="shared" si="17"/>
        <v>0</v>
      </c>
      <c r="X28" s="457"/>
      <c r="Y28" s="458"/>
      <c r="Z28" s="459">
        <f t="shared" si="4"/>
        <v>0</v>
      </c>
      <c r="AA28" s="457"/>
      <c r="AB28" s="458"/>
      <c r="AC28" s="459">
        <f t="shared" si="5"/>
        <v>0</v>
      </c>
      <c r="AD28" s="457"/>
      <c r="AE28" s="458"/>
      <c r="AF28" s="459">
        <f t="shared" si="6"/>
        <v>0</v>
      </c>
      <c r="AG28" s="457"/>
      <c r="AH28" s="458"/>
      <c r="AI28" s="459">
        <f t="shared" si="7"/>
        <v>0</v>
      </c>
      <c r="AJ28" s="457"/>
      <c r="AK28" s="458"/>
      <c r="AL28" s="459">
        <f t="shared" si="8"/>
        <v>0</v>
      </c>
      <c r="AM28" s="457"/>
      <c r="AN28" s="458"/>
      <c r="AO28" s="459">
        <f t="shared" si="9"/>
        <v>0</v>
      </c>
      <c r="AP28" s="457"/>
      <c r="AQ28" s="458"/>
      <c r="AR28" s="459">
        <f t="shared" si="10"/>
        <v>0</v>
      </c>
      <c r="AS28" s="457"/>
      <c r="AT28" s="458"/>
      <c r="AU28" s="459">
        <f t="shared" si="21"/>
        <v>0</v>
      </c>
      <c r="AV28" s="457"/>
      <c r="AW28" s="458"/>
      <c r="AX28" s="459">
        <f t="shared" si="22"/>
        <v>0</v>
      </c>
      <c r="AY28" s="457"/>
      <c r="AZ28" s="458"/>
      <c r="BA28" s="459">
        <f t="shared" si="23"/>
        <v>0</v>
      </c>
      <c r="BB28" s="457"/>
      <c r="BC28" s="458"/>
      <c r="BD28" s="459">
        <f t="shared" si="24"/>
        <v>0</v>
      </c>
    </row>
    <row r="29" spans="1:56" ht="12.75">
      <c r="A29" s="160"/>
      <c r="B29" s="219" t="s">
        <v>97</v>
      </c>
      <c r="C29" s="457">
        <v>2292.5</v>
      </c>
      <c r="D29" s="458">
        <v>2337.5</v>
      </c>
      <c r="E29" s="459">
        <f t="shared" si="0"/>
        <v>1.9629225736095965</v>
      </c>
      <c r="F29" s="457">
        <v>4092.5</v>
      </c>
      <c r="G29" s="458">
        <v>4167.5</v>
      </c>
      <c r="H29" s="459">
        <f t="shared" si="18"/>
        <v>1.832620647525962</v>
      </c>
      <c r="I29" s="457"/>
      <c r="J29" s="458"/>
      <c r="K29" s="459">
        <f t="shared" si="19"/>
        <v>0</v>
      </c>
      <c r="L29" s="457"/>
      <c r="M29" s="458"/>
      <c r="N29" s="459">
        <f t="shared" si="20"/>
        <v>0</v>
      </c>
      <c r="O29" s="457"/>
      <c r="P29" s="458"/>
      <c r="Q29" s="459">
        <f t="shared" si="15"/>
        <v>0</v>
      </c>
      <c r="R29" s="457"/>
      <c r="S29" s="458"/>
      <c r="T29" s="459">
        <f t="shared" si="16"/>
        <v>0</v>
      </c>
      <c r="U29" s="457"/>
      <c r="V29" s="458"/>
      <c r="W29" s="459">
        <f t="shared" si="17"/>
        <v>0</v>
      </c>
      <c r="X29" s="457"/>
      <c r="Y29" s="458"/>
      <c r="Z29" s="459">
        <f t="shared" si="4"/>
        <v>0</v>
      </c>
      <c r="AA29" s="457"/>
      <c r="AB29" s="458"/>
      <c r="AC29" s="459">
        <f t="shared" si="5"/>
        <v>0</v>
      </c>
      <c r="AD29" s="457"/>
      <c r="AE29" s="458"/>
      <c r="AF29" s="459">
        <f t="shared" si="6"/>
        <v>0</v>
      </c>
      <c r="AG29" s="457"/>
      <c r="AH29" s="458"/>
      <c r="AI29" s="459">
        <f t="shared" si="7"/>
        <v>0</v>
      </c>
      <c r="AJ29" s="457"/>
      <c r="AK29" s="458"/>
      <c r="AL29" s="459">
        <f t="shared" si="8"/>
        <v>0</v>
      </c>
      <c r="AM29" s="457"/>
      <c r="AN29" s="458"/>
      <c r="AO29" s="459">
        <f t="shared" si="9"/>
        <v>0</v>
      </c>
      <c r="AP29" s="457"/>
      <c r="AQ29" s="458"/>
      <c r="AR29" s="459">
        <f t="shared" si="10"/>
        <v>0</v>
      </c>
      <c r="AS29" s="457"/>
      <c r="AT29" s="458"/>
      <c r="AU29" s="459">
        <f t="shared" si="21"/>
        <v>0</v>
      </c>
      <c r="AV29" s="457"/>
      <c r="AW29" s="458"/>
      <c r="AX29" s="459">
        <f t="shared" si="22"/>
        <v>0</v>
      </c>
      <c r="AY29" s="457"/>
      <c r="AZ29" s="458"/>
      <c r="BA29" s="459">
        <f t="shared" si="23"/>
        <v>0</v>
      </c>
      <c r="BB29" s="457"/>
      <c r="BC29" s="458"/>
      <c r="BD29" s="459">
        <f t="shared" si="24"/>
        <v>0</v>
      </c>
    </row>
    <row r="30" spans="1:56" ht="12.75">
      <c r="A30" s="160"/>
      <c r="B30" s="219" t="s">
        <v>778</v>
      </c>
      <c r="C30" s="457">
        <v>1900</v>
      </c>
      <c r="D30" s="458">
        <v>1910</v>
      </c>
      <c r="E30" s="459">
        <f t="shared" si="0"/>
        <v>0.5263157894736842</v>
      </c>
      <c r="F30" s="457">
        <v>3790</v>
      </c>
      <c r="G30" s="458">
        <v>3880</v>
      </c>
      <c r="H30" s="459">
        <f t="shared" si="18"/>
        <v>2.3746701846965697</v>
      </c>
      <c r="I30" s="457"/>
      <c r="J30" s="458"/>
      <c r="K30" s="459">
        <f t="shared" si="19"/>
        <v>0</v>
      </c>
      <c r="L30" s="457"/>
      <c r="M30" s="458"/>
      <c r="N30" s="459">
        <f t="shared" si="20"/>
        <v>0</v>
      </c>
      <c r="O30" s="457"/>
      <c r="P30" s="458"/>
      <c r="Q30" s="459">
        <f t="shared" si="15"/>
        <v>0</v>
      </c>
      <c r="R30" s="457"/>
      <c r="S30" s="458"/>
      <c r="T30" s="459">
        <f t="shared" si="16"/>
        <v>0</v>
      </c>
      <c r="U30" s="457"/>
      <c r="V30" s="458"/>
      <c r="W30" s="459">
        <f t="shared" si="17"/>
        <v>0</v>
      </c>
      <c r="X30" s="457"/>
      <c r="Y30" s="458"/>
      <c r="Z30" s="459">
        <f t="shared" si="4"/>
        <v>0</v>
      </c>
      <c r="AA30" s="457"/>
      <c r="AB30" s="458"/>
      <c r="AC30" s="459">
        <f t="shared" si="5"/>
        <v>0</v>
      </c>
      <c r="AD30" s="457"/>
      <c r="AE30" s="458"/>
      <c r="AF30" s="459">
        <f t="shared" si="6"/>
        <v>0</v>
      </c>
      <c r="AG30" s="457"/>
      <c r="AH30" s="458"/>
      <c r="AI30" s="459">
        <f t="shared" si="7"/>
        <v>0</v>
      </c>
      <c r="AJ30" s="457"/>
      <c r="AK30" s="458"/>
      <c r="AL30" s="459">
        <f t="shared" si="8"/>
        <v>0</v>
      </c>
      <c r="AM30" s="457"/>
      <c r="AN30" s="458"/>
      <c r="AO30" s="459">
        <f t="shared" si="9"/>
        <v>0</v>
      </c>
      <c r="AP30" s="457"/>
      <c r="AQ30" s="458"/>
      <c r="AR30" s="459">
        <f t="shared" si="10"/>
        <v>0</v>
      </c>
      <c r="AS30" s="457"/>
      <c r="AT30" s="458"/>
      <c r="AU30" s="459">
        <f t="shared" si="21"/>
        <v>0</v>
      </c>
      <c r="AV30" s="457"/>
      <c r="AW30" s="458"/>
      <c r="AX30" s="459">
        <f t="shared" si="22"/>
        <v>0</v>
      </c>
      <c r="AY30" s="457"/>
      <c r="AZ30" s="458"/>
      <c r="BA30" s="459">
        <f t="shared" si="23"/>
        <v>0</v>
      </c>
      <c r="BB30" s="457"/>
      <c r="BC30" s="458"/>
      <c r="BD30" s="459">
        <f t="shared" si="24"/>
        <v>0</v>
      </c>
    </row>
    <row r="31" spans="1:56" s="465" customFormat="1" ht="20.25" customHeight="1">
      <c r="A31" s="460"/>
      <c r="B31" s="461" t="s">
        <v>426</v>
      </c>
      <c r="C31" s="462">
        <v>1910</v>
      </c>
      <c r="D31" s="463">
        <v>1990</v>
      </c>
      <c r="E31" s="464">
        <f t="shared" si="0"/>
        <v>4.18848167539267</v>
      </c>
      <c r="F31" s="462">
        <v>3840</v>
      </c>
      <c r="G31" s="463">
        <v>3930</v>
      </c>
      <c r="H31" s="464">
        <f t="shared" si="18"/>
        <v>2.34375</v>
      </c>
      <c r="I31" s="462"/>
      <c r="J31" s="463"/>
      <c r="K31" s="464">
        <f t="shared" si="19"/>
        <v>0</v>
      </c>
      <c r="L31" s="462"/>
      <c r="M31" s="463"/>
      <c r="N31" s="464">
        <f t="shared" si="20"/>
        <v>0</v>
      </c>
      <c r="O31" s="462"/>
      <c r="P31" s="463"/>
      <c r="Q31" s="464">
        <f t="shared" si="15"/>
        <v>0</v>
      </c>
      <c r="R31" s="462"/>
      <c r="S31" s="463"/>
      <c r="T31" s="464">
        <f t="shared" si="16"/>
        <v>0</v>
      </c>
      <c r="U31" s="462"/>
      <c r="V31" s="463"/>
      <c r="W31" s="464">
        <f t="shared" si="17"/>
        <v>0</v>
      </c>
      <c r="X31" s="462"/>
      <c r="Y31" s="463"/>
      <c r="Z31" s="464">
        <f t="shared" si="4"/>
        <v>0</v>
      </c>
      <c r="AA31" s="462"/>
      <c r="AB31" s="463"/>
      <c r="AC31" s="464">
        <f t="shared" si="5"/>
        <v>0</v>
      </c>
      <c r="AD31" s="462"/>
      <c r="AE31" s="463"/>
      <c r="AF31" s="464">
        <f t="shared" si="6"/>
        <v>0</v>
      </c>
      <c r="AG31" s="462"/>
      <c r="AH31" s="463"/>
      <c r="AI31" s="464">
        <f t="shared" si="7"/>
        <v>0</v>
      </c>
      <c r="AJ31" s="462"/>
      <c r="AK31" s="463"/>
      <c r="AL31" s="464">
        <f t="shared" si="8"/>
        <v>0</v>
      </c>
      <c r="AM31" s="462"/>
      <c r="AN31" s="463"/>
      <c r="AO31" s="464">
        <f t="shared" si="9"/>
        <v>0</v>
      </c>
      <c r="AP31" s="462"/>
      <c r="AQ31" s="463"/>
      <c r="AR31" s="464">
        <f t="shared" si="10"/>
        <v>0</v>
      </c>
      <c r="AS31" s="462"/>
      <c r="AT31" s="463"/>
      <c r="AU31" s="464">
        <f t="shared" si="21"/>
        <v>0</v>
      </c>
      <c r="AV31" s="462"/>
      <c r="AW31" s="463"/>
      <c r="AX31" s="464">
        <f t="shared" si="22"/>
        <v>0</v>
      </c>
      <c r="AY31" s="462"/>
      <c r="AZ31" s="463"/>
      <c r="BA31" s="464">
        <f t="shared" si="23"/>
        <v>0</v>
      </c>
      <c r="BB31" s="462"/>
      <c r="BC31" s="463"/>
      <c r="BD31" s="464">
        <f t="shared" si="24"/>
        <v>0</v>
      </c>
    </row>
    <row r="32" spans="1:56" ht="12.75">
      <c r="A32" s="160"/>
      <c r="B32" s="219" t="s">
        <v>779</v>
      </c>
      <c r="C32" s="457"/>
      <c r="D32" s="458"/>
      <c r="E32" s="459">
        <f t="shared" si="0"/>
        <v>0</v>
      </c>
      <c r="F32" s="457"/>
      <c r="G32" s="458"/>
      <c r="H32" s="459">
        <f t="shared" si="18"/>
        <v>0</v>
      </c>
      <c r="I32" s="457"/>
      <c r="J32" s="458"/>
      <c r="K32" s="459">
        <f t="shared" si="19"/>
        <v>0</v>
      </c>
      <c r="L32" s="457"/>
      <c r="M32" s="458"/>
      <c r="N32" s="459">
        <f t="shared" si="20"/>
        <v>0</v>
      </c>
      <c r="O32" s="457"/>
      <c r="P32" s="458"/>
      <c r="Q32" s="459">
        <f t="shared" si="15"/>
        <v>0</v>
      </c>
      <c r="R32" s="457"/>
      <c r="S32" s="458"/>
      <c r="T32" s="459">
        <f t="shared" si="16"/>
        <v>0</v>
      </c>
      <c r="U32" s="457"/>
      <c r="V32" s="458"/>
      <c r="W32" s="459">
        <f t="shared" si="17"/>
        <v>0</v>
      </c>
      <c r="X32" s="457"/>
      <c r="Y32" s="458"/>
      <c r="Z32" s="459">
        <f t="shared" si="4"/>
        <v>0</v>
      </c>
      <c r="AA32" s="457"/>
      <c r="AB32" s="458"/>
      <c r="AC32" s="459">
        <f t="shared" si="5"/>
        <v>0</v>
      </c>
      <c r="AD32" s="457"/>
      <c r="AE32" s="458"/>
      <c r="AF32" s="459">
        <f t="shared" si="6"/>
        <v>0</v>
      </c>
      <c r="AG32" s="457"/>
      <c r="AH32" s="458"/>
      <c r="AI32" s="459">
        <f t="shared" si="7"/>
        <v>0</v>
      </c>
      <c r="AJ32" s="457"/>
      <c r="AK32" s="458"/>
      <c r="AL32" s="459">
        <f t="shared" si="8"/>
        <v>0</v>
      </c>
      <c r="AM32" s="457"/>
      <c r="AN32" s="458"/>
      <c r="AO32" s="459">
        <f t="shared" si="9"/>
        <v>0</v>
      </c>
      <c r="AP32" s="457"/>
      <c r="AQ32" s="458"/>
      <c r="AR32" s="459">
        <f t="shared" si="10"/>
        <v>0</v>
      </c>
      <c r="AS32" s="457"/>
      <c r="AT32" s="458"/>
      <c r="AU32" s="459">
        <f t="shared" si="21"/>
        <v>0</v>
      </c>
      <c r="AV32" s="457"/>
      <c r="AW32" s="458"/>
      <c r="AX32" s="459">
        <f t="shared" si="22"/>
        <v>0</v>
      </c>
      <c r="AY32" s="457"/>
      <c r="AZ32" s="458"/>
      <c r="BA32" s="459">
        <f t="shared" si="23"/>
        <v>0</v>
      </c>
      <c r="BB32" s="457"/>
      <c r="BC32" s="458"/>
      <c r="BD32" s="459">
        <f t="shared" si="24"/>
        <v>0</v>
      </c>
    </row>
    <row r="33" spans="1:56" ht="12.75">
      <c r="A33" s="160"/>
      <c r="B33" s="219" t="s">
        <v>1015</v>
      </c>
      <c r="C33" s="457"/>
      <c r="D33" s="458"/>
      <c r="E33" s="459">
        <f t="shared" si="0"/>
        <v>0</v>
      </c>
      <c r="F33" s="457"/>
      <c r="G33" s="458"/>
      <c r="H33" s="459">
        <f t="shared" si="18"/>
        <v>0</v>
      </c>
      <c r="I33" s="457"/>
      <c r="J33" s="458"/>
      <c r="K33" s="459">
        <f t="shared" si="19"/>
        <v>0</v>
      </c>
      <c r="L33" s="457"/>
      <c r="M33" s="458"/>
      <c r="N33" s="459">
        <f t="shared" si="20"/>
        <v>0</v>
      </c>
      <c r="O33" s="457"/>
      <c r="P33" s="458"/>
      <c r="Q33" s="459">
        <f t="shared" si="15"/>
        <v>0</v>
      </c>
      <c r="R33" s="457"/>
      <c r="S33" s="458"/>
      <c r="T33" s="459">
        <f t="shared" si="16"/>
        <v>0</v>
      </c>
      <c r="U33" s="457"/>
      <c r="V33" s="458"/>
      <c r="W33" s="459">
        <f t="shared" si="17"/>
        <v>0</v>
      </c>
      <c r="X33" s="457"/>
      <c r="Y33" s="458"/>
      <c r="Z33" s="459">
        <f t="shared" si="4"/>
        <v>0</v>
      </c>
      <c r="AA33" s="457"/>
      <c r="AB33" s="458"/>
      <c r="AC33" s="459">
        <f t="shared" si="5"/>
        <v>0</v>
      </c>
      <c r="AD33" s="457"/>
      <c r="AE33" s="458"/>
      <c r="AF33" s="459">
        <f t="shared" si="6"/>
        <v>0</v>
      </c>
      <c r="AG33" s="457"/>
      <c r="AH33" s="458"/>
      <c r="AI33" s="459">
        <f t="shared" si="7"/>
        <v>0</v>
      </c>
      <c r="AJ33" s="457"/>
      <c r="AK33" s="458"/>
      <c r="AL33" s="459">
        <f t="shared" si="8"/>
        <v>0</v>
      </c>
      <c r="AM33" s="457"/>
      <c r="AN33" s="458"/>
      <c r="AO33" s="459">
        <f t="shared" si="9"/>
        <v>0</v>
      </c>
      <c r="AP33" s="457"/>
      <c r="AQ33" s="458"/>
      <c r="AR33" s="459">
        <f t="shared" si="10"/>
        <v>0</v>
      </c>
      <c r="AS33" s="457"/>
      <c r="AT33" s="458"/>
      <c r="AU33" s="459">
        <f t="shared" si="21"/>
        <v>0</v>
      </c>
      <c r="AV33" s="457"/>
      <c r="AW33" s="458"/>
      <c r="AX33" s="459">
        <f t="shared" si="22"/>
        <v>0</v>
      </c>
      <c r="AY33" s="457"/>
      <c r="AZ33" s="458"/>
      <c r="BA33" s="459">
        <f t="shared" si="23"/>
        <v>0</v>
      </c>
      <c r="BB33" s="457"/>
      <c r="BC33" s="458"/>
      <c r="BD33" s="459">
        <f t="shared" si="24"/>
        <v>0</v>
      </c>
    </row>
    <row r="34" spans="1:56" ht="12.75">
      <c r="A34" s="160"/>
      <c r="B34" s="219" t="s">
        <v>1016</v>
      </c>
      <c r="C34" s="457"/>
      <c r="D34" s="458"/>
      <c r="E34" s="459">
        <f t="shared" si="0"/>
        <v>0</v>
      </c>
      <c r="F34" s="457"/>
      <c r="G34" s="458"/>
      <c r="H34" s="459">
        <f t="shared" si="18"/>
        <v>0</v>
      </c>
      <c r="I34" s="457"/>
      <c r="J34" s="458"/>
      <c r="K34" s="459">
        <f t="shared" si="19"/>
        <v>0</v>
      </c>
      <c r="L34" s="457"/>
      <c r="M34" s="458"/>
      <c r="N34" s="459">
        <f t="shared" si="20"/>
        <v>0</v>
      </c>
      <c r="O34" s="457"/>
      <c r="P34" s="458"/>
      <c r="Q34" s="459">
        <f t="shared" si="15"/>
        <v>0</v>
      </c>
      <c r="R34" s="457"/>
      <c r="S34" s="458"/>
      <c r="T34" s="459">
        <f t="shared" si="16"/>
        <v>0</v>
      </c>
      <c r="U34" s="457"/>
      <c r="V34" s="458"/>
      <c r="W34" s="459">
        <f t="shared" si="17"/>
        <v>0</v>
      </c>
      <c r="X34" s="457"/>
      <c r="Y34" s="458"/>
      <c r="Z34" s="459">
        <f t="shared" si="4"/>
        <v>0</v>
      </c>
      <c r="AA34" s="457"/>
      <c r="AB34" s="458"/>
      <c r="AC34" s="459">
        <f t="shared" si="5"/>
        <v>0</v>
      </c>
      <c r="AD34" s="457"/>
      <c r="AE34" s="458"/>
      <c r="AF34" s="459">
        <f t="shared" si="6"/>
        <v>0</v>
      </c>
      <c r="AG34" s="457"/>
      <c r="AH34" s="458"/>
      <c r="AI34" s="459">
        <f t="shared" si="7"/>
        <v>0</v>
      </c>
      <c r="AJ34" s="457"/>
      <c r="AK34" s="458"/>
      <c r="AL34" s="459">
        <f t="shared" si="8"/>
        <v>0</v>
      </c>
      <c r="AM34" s="457"/>
      <c r="AN34" s="458"/>
      <c r="AO34" s="459">
        <f t="shared" si="9"/>
        <v>0</v>
      </c>
      <c r="AP34" s="457"/>
      <c r="AQ34" s="458"/>
      <c r="AR34" s="459">
        <f t="shared" si="10"/>
        <v>0</v>
      </c>
      <c r="AS34" s="457"/>
      <c r="AT34" s="458"/>
      <c r="AU34" s="459">
        <f t="shared" si="21"/>
        <v>0</v>
      </c>
      <c r="AV34" s="457"/>
      <c r="AW34" s="458"/>
      <c r="AX34" s="459">
        <f t="shared" si="22"/>
        <v>0</v>
      </c>
      <c r="AY34" s="457"/>
      <c r="AZ34" s="458"/>
      <c r="BA34" s="459">
        <f t="shared" si="23"/>
        <v>0</v>
      </c>
      <c r="BB34" s="457"/>
      <c r="BC34" s="458"/>
      <c r="BD34" s="459">
        <f t="shared" si="24"/>
        <v>0</v>
      </c>
    </row>
    <row r="35" spans="1:56" s="465" customFormat="1" ht="21.75" customHeight="1">
      <c r="A35" s="460"/>
      <c r="B35" s="461" t="s">
        <v>978</v>
      </c>
      <c r="C35" s="462"/>
      <c r="D35" s="463"/>
      <c r="E35" s="464">
        <f t="shared" si="0"/>
        <v>0</v>
      </c>
      <c r="F35" s="462"/>
      <c r="G35" s="463"/>
      <c r="H35" s="464">
        <f t="shared" si="18"/>
        <v>0</v>
      </c>
      <c r="I35" s="462"/>
      <c r="J35" s="463"/>
      <c r="K35" s="464">
        <f t="shared" si="19"/>
        <v>0</v>
      </c>
      <c r="L35" s="462"/>
      <c r="M35" s="463"/>
      <c r="N35" s="464">
        <f t="shared" si="20"/>
        <v>0</v>
      </c>
      <c r="O35" s="462"/>
      <c r="P35" s="463"/>
      <c r="Q35" s="464">
        <f t="shared" si="15"/>
        <v>0</v>
      </c>
      <c r="R35" s="462"/>
      <c r="S35" s="463"/>
      <c r="T35" s="464">
        <f t="shared" si="16"/>
        <v>0</v>
      </c>
      <c r="U35" s="462"/>
      <c r="V35" s="463"/>
      <c r="W35" s="464">
        <f t="shared" si="17"/>
        <v>0</v>
      </c>
      <c r="X35" s="462"/>
      <c r="Y35" s="463"/>
      <c r="Z35" s="464">
        <f t="shared" si="4"/>
        <v>0</v>
      </c>
      <c r="AA35" s="462"/>
      <c r="AB35" s="463"/>
      <c r="AC35" s="464">
        <f t="shared" si="5"/>
        <v>0</v>
      </c>
      <c r="AD35" s="462"/>
      <c r="AE35" s="463"/>
      <c r="AF35" s="464">
        <f t="shared" si="6"/>
        <v>0</v>
      </c>
      <c r="AG35" s="462"/>
      <c r="AH35" s="463"/>
      <c r="AI35" s="464">
        <f t="shared" si="7"/>
        <v>0</v>
      </c>
      <c r="AJ35" s="462"/>
      <c r="AK35" s="463"/>
      <c r="AL35" s="464">
        <f t="shared" si="8"/>
        <v>0</v>
      </c>
      <c r="AM35" s="462"/>
      <c r="AN35" s="463"/>
      <c r="AO35" s="464">
        <f t="shared" si="9"/>
        <v>0</v>
      </c>
      <c r="AP35" s="462"/>
      <c r="AQ35" s="463"/>
      <c r="AR35" s="464">
        <f t="shared" si="10"/>
        <v>0</v>
      </c>
      <c r="AS35" s="462"/>
      <c r="AT35" s="463"/>
      <c r="AU35" s="464">
        <f t="shared" si="21"/>
        <v>0</v>
      </c>
      <c r="AV35" s="462"/>
      <c r="AW35" s="463"/>
      <c r="AX35" s="464">
        <f t="shared" si="22"/>
        <v>0</v>
      </c>
      <c r="AY35" s="462"/>
      <c r="AZ35" s="463"/>
      <c r="BA35" s="464">
        <f t="shared" si="23"/>
        <v>0</v>
      </c>
      <c r="BB35" s="462"/>
      <c r="BC35" s="463"/>
      <c r="BD35" s="464">
        <f t="shared" si="24"/>
        <v>0</v>
      </c>
    </row>
    <row r="36" spans="1:56" ht="12.75">
      <c r="A36" s="466"/>
      <c r="B36" s="467" t="s">
        <v>781</v>
      </c>
      <c r="C36" s="468"/>
      <c r="D36" s="469"/>
      <c r="E36" s="471">
        <f t="shared" si="0"/>
        <v>0</v>
      </c>
      <c r="F36" s="468"/>
      <c r="G36" s="469"/>
      <c r="H36" s="471">
        <f t="shared" si="18"/>
        <v>0</v>
      </c>
      <c r="I36" s="468"/>
      <c r="J36" s="469"/>
      <c r="K36" s="471">
        <f t="shared" si="19"/>
        <v>0</v>
      </c>
      <c r="L36" s="468"/>
      <c r="M36" s="469"/>
      <c r="N36" s="471">
        <f t="shared" si="20"/>
        <v>0</v>
      </c>
      <c r="O36" s="468">
        <v>7909.5</v>
      </c>
      <c r="P36" s="469">
        <v>8228</v>
      </c>
      <c r="Q36" s="471">
        <f t="shared" si="15"/>
        <v>4.02680321132815</v>
      </c>
      <c r="R36" s="468">
        <v>15791</v>
      </c>
      <c r="S36" s="469">
        <v>16421</v>
      </c>
      <c r="T36" s="471">
        <f t="shared" si="16"/>
        <v>3.9896143372807296</v>
      </c>
      <c r="U36" s="468">
        <v>15395</v>
      </c>
      <c r="V36" s="469">
        <v>16275</v>
      </c>
      <c r="W36" s="471">
        <f t="shared" si="17"/>
        <v>5.716141604417019</v>
      </c>
      <c r="X36" s="468">
        <v>30151</v>
      </c>
      <c r="Y36" s="469">
        <v>31807</v>
      </c>
      <c r="Z36" s="471">
        <f t="shared" si="4"/>
        <v>5.49235514576631</v>
      </c>
      <c r="AA36" s="468"/>
      <c r="AB36" s="469"/>
      <c r="AC36" s="471">
        <f t="shared" si="5"/>
        <v>0</v>
      </c>
      <c r="AD36" s="468"/>
      <c r="AE36" s="469"/>
      <c r="AF36" s="471">
        <f t="shared" si="6"/>
        <v>0</v>
      </c>
      <c r="AG36" s="468">
        <v>8575</v>
      </c>
      <c r="AH36" s="469">
        <v>9298</v>
      </c>
      <c r="AI36" s="471">
        <f t="shared" si="7"/>
        <v>8.431486880466473</v>
      </c>
      <c r="AJ36" s="468">
        <v>16975</v>
      </c>
      <c r="AK36" s="469">
        <v>18378</v>
      </c>
      <c r="AL36" s="471">
        <f t="shared" si="8"/>
        <v>8.265095729013256</v>
      </c>
      <c r="AM36" s="468"/>
      <c r="AN36" s="469"/>
      <c r="AO36" s="471">
        <f t="shared" si="9"/>
        <v>0</v>
      </c>
      <c r="AP36" s="468"/>
      <c r="AQ36" s="469"/>
      <c r="AR36" s="471">
        <f t="shared" si="10"/>
        <v>0</v>
      </c>
      <c r="AS36" s="468"/>
      <c r="AT36" s="469"/>
      <c r="AU36" s="471">
        <f t="shared" si="21"/>
        <v>0</v>
      </c>
      <c r="AV36" s="468"/>
      <c r="AW36" s="469"/>
      <c r="AX36" s="471">
        <f t="shared" si="22"/>
        <v>0</v>
      </c>
      <c r="AY36" s="468"/>
      <c r="AZ36" s="469"/>
      <c r="BA36" s="471">
        <f t="shared" si="23"/>
        <v>0</v>
      </c>
      <c r="BB36" s="468"/>
      <c r="BC36" s="469"/>
      <c r="BD36" s="471">
        <f t="shared" si="24"/>
        <v>0</v>
      </c>
    </row>
    <row r="37" spans="1:56" ht="12.75">
      <c r="A37" s="158" t="s">
        <v>527</v>
      </c>
      <c r="B37" s="219" t="s">
        <v>89</v>
      </c>
      <c r="C37" s="457">
        <v>7740</v>
      </c>
      <c r="D37" s="458">
        <v>8150</v>
      </c>
      <c r="E37" s="459">
        <f t="shared" si="0"/>
        <v>5.297157622739018</v>
      </c>
      <c r="F37" s="457">
        <v>18450</v>
      </c>
      <c r="G37" s="458">
        <v>19400</v>
      </c>
      <c r="H37" s="459">
        <f t="shared" si="18"/>
        <v>5.149051490514905</v>
      </c>
      <c r="I37" s="457">
        <v>7596</v>
      </c>
      <c r="J37" s="458">
        <v>7994</v>
      </c>
      <c r="K37" s="459">
        <f t="shared" si="19"/>
        <v>5.239599789362822</v>
      </c>
      <c r="L37" s="457">
        <v>18306</v>
      </c>
      <c r="M37" s="458">
        <v>19244</v>
      </c>
      <c r="N37" s="459">
        <f t="shared" si="20"/>
        <v>5.124003059106304</v>
      </c>
      <c r="O37" s="457"/>
      <c r="P37" s="458"/>
      <c r="Q37" s="459">
        <f t="shared" si="15"/>
        <v>0</v>
      </c>
      <c r="R37" s="457"/>
      <c r="S37" s="458"/>
      <c r="T37" s="459">
        <f t="shared" si="16"/>
        <v>0</v>
      </c>
      <c r="U37" s="457"/>
      <c r="V37" s="458"/>
      <c r="W37" s="459">
        <f aca="true" t="shared" si="25" ref="W37:W100">IF(U37&gt;0,(((V37-U37)/U37)*100),0)</f>
        <v>0</v>
      </c>
      <c r="X37" s="457"/>
      <c r="Y37" s="458"/>
      <c r="Z37" s="459">
        <f t="shared" si="4"/>
        <v>0</v>
      </c>
      <c r="AA37" s="457"/>
      <c r="AB37" s="458"/>
      <c r="AC37" s="459">
        <f t="shared" si="5"/>
        <v>0</v>
      </c>
      <c r="AD37" s="457"/>
      <c r="AE37" s="458"/>
      <c r="AF37" s="459">
        <f t="shared" si="6"/>
        <v>0</v>
      </c>
      <c r="AG37" s="457"/>
      <c r="AH37" s="458"/>
      <c r="AI37" s="459">
        <f t="shared" si="7"/>
        <v>0</v>
      </c>
      <c r="AJ37" s="457"/>
      <c r="AK37" s="458"/>
      <c r="AL37" s="459">
        <f t="shared" si="8"/>
        <v>0</v>
      </c>
      <c r="AM37" s="457"/>
      <c r="AN37" s="458"/>
      <c r="AO37" s="459">
        <f t="shared" si="9"/>
        <v>0</v>
      </c>
      <c r="AP37" s="457"/>
      <c r="AQ37" s="458"/>
      <c r="AR37" s="459">
        <f t="shared" si="10"/>
        <v>0</v>
      </c>
      <c r="AS37" s="457"/>
      <c r="AT37" s="458"/>
      <c r="AU37" s="459">
        <f aca="true" t="shared" si="26" ref="AU37:AU53">IF(AS37&gt;0,(((AT37-AS37)/AS37)*100),0)</f>
        <v>0</v>
      </c>
      <c r="AV37" s="457"/>
      <c r="AW37" s="458"/>
      <c r="AX37" s="459">
        <f aca="true" t="shared" si="27" ref="AX37:AX53">IF(AV37&gt;0,(((AW37-AV37)/AV37)*100),0)</f>
        <v>0</v>
      </c>
      <c r="AY37" s="457"/>
      <c r="AZ37" s="458"/>
      <c r="BA37" s="459">
        <f aca="true" t="shared" si="28" ref="BA37:BA53">IF(AY37&gt;0,(((AZ37-AY37)/AY37)*100),0)</f>
        <v>0</v>
      </c>
      <c r="BB37" s="457"/>
      <c r="BC37" s="458"/>
      <c r="BD37" s="459">
        <f aca="true" t="shared" si="29" ref="BD37:BD53">IF(BB37&gt;0,(((BC37-BB37)/BB37)*100),0)</f>
        <v>0</v>
      </c>
    </row>
    <row r="38" spans="1:56" ht="12.75">
      <c r="A38" s="160"/>
      <c r="B38" s="219" t="s">
        <v>90</v>
      </c>
      <c r="C38" s="457"/>
      <c r="D38" s="458"/>
      <c r="E38" s="459">
        <f t="shared" si="0"/>
        <v>0</v>
      </c>
      <c r="F38" s="457"/>
      <c r="G38" s="458"/>
      <c r="H38" s="459">
        <f t="shared" si="18"/>
        <v>0</v>
      </c>
      <c r="I38" s="457"/>
      <c r="J38" s="458"/>
      <c r="K38" s="459">
        <f t="shared" si="19"/>
        <v>0</v>
      </c>
      <c r="L38" s="457"/>
      <c r="M38" s="458"/>
      <c r="N38" s="459">
        <f t="shared" si="20"/>
        <v>0</v>
      </c>
      <c r="O38" s="457"/>
      <c r="P38" s="458"/>
      <c r="Q38" s="459">
        <f t="shared" si="15"/>
        <v>0</v>
      </c>
      <c r="R38" s="457"/>
      <c r="S38" s="458"/>
      <c r="T38" s="459">
        <f t="shared" si="16"/>
        <v>0</v>
      </c>
      <c r="U38" s="457"/>
      <c r="V38" s="458"/>
      <c r="W38" s="459">
        <f t="shared" si="25"/>
        <v>0</v>
      </c>
      <c r="X38" s="457"/>
      <c r="Y38" s="458"/>
      <c r="Z38" s="459">
        <f t="shared" si="4"/>
        <v>0</v>
      </c>
      <c r="AA38" s="457"/>
      <c r="AB38" s="458"/>
      <c r="AC38" s="459">
        <f t="shared" si="5"/>
        <v>0</v>
      </c>
      <c r="AD38" s="457"/>
      <c r="AE38" s="458"/>
      <c r="AF38" s="459">
        <f t="shared" si="6"/>
        <v>0</v>
      </c>
      <c r="AG38" s="457"/>
      <c r="AH38" s="458"/>
      <c r="AI38" s="459">
        <f t="shared" si="7"/>
        <v>0</v>
      </c>
      <c r="AJ38" s="457"/>
      <c r="AK38" s="458"/>
      <c r="AL38" s="459">
        <f t="shared" si="8"/>
        <v>0</v>
      </c>
      <c r="AM38" s="457"/>
      <c r="AN38" s="458"/>
      <c r="AO38" s="459">
        <f t="shared" si="9"/>
        <v>0</v>
      </c>
      <c r="AP38" s="457"/>
      <c r="AQ38" s="458"/>
      <c r="AR38" s="459">
        <f t="shared" si="10"/>
        <v>0</v>
      </c>
      <c r="AS38" s="457"/>
      <c r="AT38" s="458"/>
      <c r="AU38" s="459">
        <f t="shared" si="26"/>
        <v>0</v>
      </c>
      <c r="AV38" s="457"/>
      <c r="AW38" s="458"/>
      <c r="AX38" s="459">
        <f t="shared" si="27"/>
        <v>0</v>
      </c>
      <c r="AY38" s="457"/>
      <c r="AZ38" s="458"/>
      <c r="BA38" s="459">
        <f t="shared" si="28"/>
        <v>0</v>
      </c>
      <c r="BB38" s="457"/>
      <c r="BC38" s="458"/>
      <c r="BD38" s="459">
        <f t="shared" si="29"/>
        <v>0</v>
      </c>
    </row>
    <row r="39" spans="1:56" ht="12.75">
      <c r="A39" s="160"/>
      <c r="B39" s="219" t="s">
        <v>91</v>
      </c>
      <c r="C39" s="457"/>
      <c r="D39" s="458"/>
      <c r="E39" s="459">
        <f t="shared" si="0"/>
        <v>0</v>
      </c>
      <c r="F39" s="457"/>
      <c r="G39" s="458"/>
      <c r="H39" s="459">
        <f t="shared" si="18"/>
        <v>0</v>
      </c>
      <c r="I39" s="457"/>
      <c r="J39" s="458"/>
      <c r="K39" s="459">
        <f t="shared" si="19"/>
        <v>0</v>
      </c>
      <c r="L39" s="457"/>
      <c r="M39" s="458"/>
      <c r="N39" s="459">
        <f t="shared" si="20"/>
        <v>0</v>
      </c>
      <c r="O39" s="457"/>
      <c r="P39" s="458"/>
      <c r="Q39" s="459">
        <f t="shared" si="15"/>
        <v>0</v>
      </c>
      <c r="R39" s="457"/>
      <c r="S39" s="458"/>
      <c r="T39" s="459">
        <f t="shared" si="16"/>
        <v>0</v>
      </c>
      <c r="U39" s="457"/>
      <c r="V39" s="458"/>
      <c r="W39" s="459">
        <f t="shared" si="25"/>
        <v>0</v>
      </c>
      <c r="X39" s="457"/>
      <c r="Y39" s="458"/>
      <c r="Z39" s="459">
        <f t="shared" si="4"/>
        <v>0</v>
      </c>
      <c r="AA39" s="457"/>
      <c r="AB39" s="458"/>
      <c r="AC39" s="459">
        <f t="shared" si="5"/>
        <v>0</v>
      </c>
      <c r="AD39" s="457"/>
      <c r="AE39" s="458"/>
      <c r="AF39" s="459">
        <f t="shared" si="6"/>
        <v>0</v>
      </c>
      <c r="AG39" s="457"/>
      <c r="AH39" s="458"/>
      <c r="AI39" s="459">
        <f t="shared" si="7"/>
        <v>0</v>
      </c>
      <c r="AJ39" s="457"/>
      <c r="AK39" s="458"/>
      <c r="AL39" s="459">
        <f t="shared" si="8"/>
        <v>0</v>
      </c>
      <c r="AM39" s="457"/>
      <c r="AN39" s="458"/>
      <c r="AO39" s="459">
        <f t="shared" si="9"/>
        <v>0</v>
      </c>
      <c r="AP39" s="457"/>
      <c r="AQ39" s="458"/>
      <c r="AR39" s="459">
        <f t="shared" si="10"/>
        <v>0</v>
      </c>
      <c r="AS39" s="457"/>
      <c r="AT39" s="458"/>
      <c r="AU39" s="459">
        <f t="shared" si="26"/>
        <v>0</v>
      </c>
      <c r="AV39" s="457"/>
      <c r="AW39" s="458"/>
      <c r="AX39" s="459">
        <f t="shared" si="27"/>
        <v>0</v>
      </c>
      <c r="AY39" s="457"/>
      <c r="AZ39" s="458"/>
      <c r="BA39" s="459">
        <f t="shared" si="28"/>
        <v>0</v>
      </c>
      <c r="BB39" s="457"/>
      <c r="BC39" s="458"/>
      <c r="BD39" s="459">
        <f t="shared" si="29"/>
        <v>0</v>
      </c>
    </row>
    <row r="40" spans="1:56" ht="12.75">
      <c r="A40" s="160"/>
      <c r="B40" s="219" t="s">
        <v>92</v>
      </c>
      <c r="C40" s="457">
        <v>5746</v>
      </c>
      <c r="D40" s="458">
        <v>6146</v>
      </c>
      <c r="E40" s="459">
        <f t="shared" si="0"/>
        <v>6.9613644274277755</v>
      </c>
      <c r="F40" s="457">
        <v>12044</v>
      </c>
      <c r="G40" s="458">
        <v>13100</v>
      </c>
      <c r="H40" s="459">
        <f t="shared" si="18"/>
        <v>8.767851212221853</v>
      </c>
      <c r="I40" s="457">
        <v>5746</v>
      </c>
      <c r="J40" s="458">
        <v>6542</v>
      </c>
      <c r="K40" s="459">
        <f t="shared" si="19"/>
        <v>13.853115210581274</v>
      </c>
      <c r="L40" s="457">
        <v>12044</v>
      </c>
      <c r="M40" s="458">
        <v>14066</v>
      </c>
      <c r="N40" s="459">
        <f t="shared" si="20"/>
        <v>16.788442377947526</v>
      </c>
      <c r="O40" s="457"/>
      <c r="P40" s="458"/>
      <c r="Q40" s="459">
        <f t="shared" si="15"/>
        <v>0</v>
      </c>
      <c r="R40" s="457"/>
      <c r="S40" s="458"/>
      <c r="T40" s="459">
        <f t="shared" si="16"/>
        <v>0</v>
      </c>
      <c r="U40" s="457"/>
      <c r="V40" s="458"/>
      <c r="W40" s="459">
        <f t="shared" si="25"/>
        <v>0</v>
      </c>
      <c r="X40" s="457"/>
      <c r="Y40" s="458"/>
      <c r="Z40" s="459">
        <f t="shared" si="4"/>
        <v>0</v>
      </c>
      <c r="AA40" s="457"/>
      <c r="AB40" s="458"/>
      <c r="AC40" s="459">
        <f t="shared" si="5"/>
        <v>0</v>
      </c>
      <c r="AD40" s="457"/>
      <c r="AE40" s="458"/>
      <c r="AF40" s="459">
        <f t="shared" si="6"/>
        <v>0</v>
      </c>
      <c r="AG40" s="457"/>
      <c r="AH40" s="458"/>
      <c r="AI40" s="459">
        <f t="shared" si="7"/>
        <v>0</v>
      </c>
      <c r="AJ40" s="457"/>
      <c r="AK40" s="458"/>
      <c r="AL40" s="459">
        <f t="shared" si="8"/>
        <v>0</v>
      </c>
      <c r="AM40" s="457"/>
      <c r="AN40" s="458"/>
      <c r="AO40" s="459">
        <f t="shared" si="9"/>
        <v>0</v>
      </c>
      <c r="AP40" s="457"/>
      <c r="AQ40" s="458"/>
      <c r="AR40" s="459">
        <f t="shared" si="10"/>
        <v>0</v>
      </c>
      <c r="AS40" s="457"/>
      <c r="AT40" s="458"/>
      <c r="AU40" s="459">
        <f t="shared" si="26"/>
        <v>0</v>
      </c>
      <c r="AV40" s="457"/>
      <c r="AW40" s="458"/>
      <c r="AX40" s="459">
        <f t="shared" si="27"/>
        <v>0</v>
      </c>
      <c r="AY40" s="457"/>
      <c r="AZ40" s="458"/>
      <c r="BA40" s="459">
        <f t="shared" si="28"/>
        <v>0</v>
      </c>
      <c r="BB40" s="457"/>
      <c r="BC40" s="458"/>
      <c r="BD40" s="459">
        <f t="shared" si="29"/>
        <v>0</v>
      </c>
    </row>
    <row r="41" spans="1:56" ht="12.75">
      <c r="A41" s="160"/>
      <c r="B41" s="219" t="s">
        <v>93</v>
      </c>
      <c r="C41" s="457"/>
      <c r="D41" s="458"/>
      <c r="E41" s="459">
        <f t="shared" si="0"/>
        <v>0</v>
      </c>
      <c r="F41" s="457"/>
      <c r="G41" s="458"/>
      <c r="H41" s="459">
        <f t="shared" si="18"/>
        <v>0</v>
      </c>
      <c r="I41" s="457"/>
      <c r="J41" s="458"/>
      <c r="K41" s="459">
        <f t="shared" si="19"/>
        <v>0</v>
      </c>
      <c r="L41" s="457"/>
      <c r="M41" s="458"/>
      <c r="N41" s="459">
        <f t="shared" si="20"/>
        <v>0</v>
      </c>
      <c r="O41" s="457"/>
      <c r="P41" s="458"/>
      <c r="Q41" s="459">
        <f t="shared" si="15"/>
        <v>0</v>
      </c>
      <c r="R41" s="457"/>
      <c r="S41" s="458"/>
      <c r="T41" s="459">
        <f t="shared" si="16"/>
        <v>0</v>
      </c>
      <c r="U41" s="457"/>
      <c r="V41" s="458"/>
      <c r="W41" s="459">
        <f t="shared" si="25"/>
        <v>0</v>
      </c>
      <c r="X41" s="457"/>
      <c r="Y41" s="458"/>
      <c r="Z41" s="459">
        <f t="shared" si="4"/>
        <v>0</v>
      </c>
      <c r="AA41" s="457"/>
      <c r="AB41" s="458"/>
      <c r="AC41" s="459">
        <f t="shared" si="5"/>
        <v>0</v>
      </c>
      <c r="AD41" s="457"/>
      <c r="AE41" s="458"/>
      <c r="AF41" s="459">
        <f t="shared" si="6"/>
        <v>0</v>
      </c>
      <c r="AG41" s="457"/>
      <c r="AH41" s="458"/>
      <c r="AI41" s="459">
        <f t="shared" si="7"/>
        <v>0</v>
      </c>
      <c r="AJ41" s="457"/>
      <c r="AK41" s="458"/>
      <c r="AL41" s="459">
        <f t="shared" si="8"/>
        <v>0</v>
      </c>
      <c r="AM41" s="457"/>
      <c r="AN41" s="458"/>
      <c r="AO41" s="459">
        <f t="shared" si="9"/>
        <v>0</v>
      </c>
      <c r="AP41" s="457"/>
      <c r="AQ41" s="458"/>
      <c r="AR41" s="459">
        <f t="shared" si="10"/>
        <v>0</v>
      </c>
      <c r="AS41" s="457"/>
      <c r="AT41" s="458"/>
      <c r="AU41" s="459">
        <f t="shared" si="26"/>
        <v>0</v>
      </c>
      <c r="AV41" s="457"/>
      <c r="AW41" s="458"/>
      <c r="AX41" s="459">
        <f t="shared" si="27"/>
        <v>0</v>
      </c>
      <c r="AY41" s="457"/>
      <c r="AZ41" s="458"/>
      <c r="BA41" s="459">
        <f t="shared" si="28"/>
        <v>0</v>
      </c>
      <c r="BB41" s="457"/>
      <c r="BC41" s="458"/>
      <c r="BD41" s="459">
        <f t="shared" si="29"/>
        <v>0</v>
      </c>
    </row>
    <row r="42" spans="1:56" ht="12.75">
      <c r="A42" s="160"/>
      <c r="B42" s="219" t="s">
        <v>94</v>
      </c>
      <c r="C42" s="457"/>
      <c r="D42" s="458"/>
      <c r="E42" s="459">
        <f t="shared" si="0"/>
        <v>0</v>
      </c>
      <c r="F42" s="457"/>
      <c r="G42" s="458"/>
      <c r="H42" s="459">
        <f t="shared" si="18"/>
        <v>0</v>
      </c>
      <c r="I42" s="457"/>
      <c r="J42" s="458"/>
      <c r="K42" s="459">
        <f t="shared" si="19"/>
        <v>0</v>
      </c>
      <c r="L42" s="457"/>
      <c r="M42" s="458"/>
      <c r="N42" s="459">
        <f t="shared" si="20"/>
        <v>0</v>
      </c>
      <c r="O42" s="457"/>
      <c r="P42" s="458"/>
      <c r="Q42" s="459">
        <f t="shared" si="15"/>
        <v>0</v>
      </c>
      <c r="R42" s="457"/>
      <c r="S42" s="458"/>
      <c r="T42" s="459">
        <f t="shared" si="16"/>
        <v>0</v>
      </c>
      <c r="U42" s="457"/>
      <c r="V42" s="458"/>
      <c r="W42" s="459">
        <f t="shared" si="25"/>
        <v>0</v>
      </c>
      <c r="X42" s="457"/>
      <c r="Y42" s="458"/>
      <c r="Z42" s="459">
        <f t="shared" si="4"/>
        <v>0</v>
      </c>
      <c r="AA42" s="457"/>
      <c r="AB42" s="458"/>
      <c r="AC42" s="459">
        <f t="shared" si="5"/>
        <v>0</v>
      </c>
      <c r="AD42" s="457"/>
      <c r="AE42" s="458"/>
      <c r="AF42" s="459">
        <f t="shared" si="6"/>
        <v>0</v>
      </c>
      <c r="AG42" s="457"/>
      <c r="AH42" s="458"/>
      <c r="AI42" s="459">
        <f t="shared" si="7"/>
        <v>0</v>
      </c>
      <c r="AJ42" s="457"/>
      <c r="AK42" s="458"/>
      <c r="AL42" s="459">
        <f t="shared" si="8"/>
        <v>0</v>
      </c>
      <c r="AM42" s="457"/>
      <c r="AN42" s="458"/>
      <c r="AO42" s="459">
        <f t="shared" si="9"/>
        <v>0</v>
      </c>
      <c r="AP42" s="457"/>
      <c r="AQ42" s="458"/>
      <c r="AR42" s="459">
        <f t="shared" si="10"/>
        <v>0</v>
      </c>
      <c r="AS42" s="457"/>
      <c r="AT42" s="458"/>
      <c r="AU42" s="459">
        <f t="shared" si="26"/>
        <v>0</v>
      </c>
      <c r="AV42" s="457"/>
      <c r="AW42" s="458"/>
      <c r="AX42" s="459">
        <f t="shared" si="27"/>
        <v>0</v>
      </c>
      <c r="AY42" s="457"/>
      <c r="AZ42" s="458"/>
      <c r="BA42" s="459">
        <f t="shared" si="28"/>
        <v>0</v>
      </c>
      <c r="BB42" s="457"/>
      <c r="BC42" s="458"/>
      <c r="BD42" s="459">
        <f t="shared" si="29"/>
        <v>0</v>
      </c>
    </row>
    <row r="43" spans="1:56" s="465" customFormat="1" ht="19.5" customHeight="1">
      <c r="A43" s="460"/>
      <c r="B43" s="461" t="s">
        <v>821</v>
      </c>
      <c r="C43" s="462">
        <v>6743</v>
      </c>
      <c r="D43" s="463">
        <v>7148</v>
      </c>
      <c r="E43" s="464">
        <f t="shared" si="0"/>
        <v>6.006228681595728</v>
      </c>
      <c r="F43" s="462">
        <v>15247</v>
      </c>
      <c r="G43" s="463">
        <v>16250</v>
      </c>
      <c r="H43" s="464">
        <f t="shared" si="18"/>
        <v>6.578343280645373</v>
      </c>
      <c r="I43" s="462">
        <v>6671</v>
      </c>
      <c r="J43" s="463">
        <v>7268</v>
      </c>
      <c r="K43" s="464">
        <f t="shared" si="19"/>
        <v>8.94918303102983</v>
      </c>
      <c r="L43" s="462">
        <v>15175</v>
      </c>
      <c r="M43" s="463">
        <v>16655</v>
      </c>
      <c r="N43" s="464">
        <f t="shared" si="20"/>
        <v>9.752883031301483</v>
      </c>
      <c r="O43" s="462"/>
      <c r="P43" s="463"/>
      <c r="Q43" s="464">
        <f t="shared" si="15"/>
        <v>0</v>
      </c>
      <c r="R43" s="462"/>
      <c r="S43" s="463"/>
      <c r="T43" s="464">
        <f t="shared" si="16"/>
        <v>0</v>
      </c>
      <c r="U43" s="462"/>
      <c r="V43" s="463"/>
      <c r="W43" s="464">
        <f t="shared" si="25"/>
        <v>0</v>
      </c>
      <c r="X43" s="462"/>
      <c r="Y43" s="463"/>
      <c r="Z43" s="464">
        <f t="shared" si="4"/>
        <v>0</v>
      </c>
      <c r="AA43" s="462"/>
      <c r="AB43" s="463"/>
      <c r="AC43" s="464">
        <f t="shared" si="5"/>
        <v>0</v>
      </c>
      <c r="AD43" s="462"/>
      <c r="AE43" s="463"/>
      <c r="AF43" s="464">
        <f t="shared" si="6"/>
        <v>0</v>
      </c>
      <c r="AG43" s="462"/>
      <c r="AH43" s="463"/>
      <c r="AI43" s="464">
        <f t="shared" si="7"/>
        <v>0</v>
      </c>
      <c r="AJ43" s="462"/>
      <c r="AK43" s="463"/>
      <c r="AL43" s="464">
        <f t="shared" si="8"/>
        <v>0</v>
      </c>
      <c r="AM43" s="462"/>
      <c r="AN43" s="463"/>
      <c r="AO43" s="464">
        <f t="shared" si="9"/>
        <v>0</v>
      </c>
      <c r="AP43" s="462"/>
      <c r="AQ43" s="463"/>
      <c r="AR43" s="464">
        <f t="shared" si="10"/>
        <v>0</v>
      </c>
      <c r="AS43" s="462"/>
      <c r="AT43" s="463"/>
      <c r="AU43" s="464">
        <f t="shared" si="26"/>
        <v>0</v>
      </c>
      <c r="AV43" s="462"/>
      <c r="AW43" s="463"/>
      <c r="AX43" s="464">
        <f t="shared" si="27"/>
        <v>0</v>
      </c>
      <c r="AY43" s="462"/>
      <c r="AZ43" s="463"/>
      <c r="BA43" s="464">
        <f t="shared" si="28"/>
        <v>0</v>
      </c>
      <c r="BB43" s="462"/>
      <c r="BC43" s="463"/>
      <c r="BD43" s="464">
        <f t="shared" si="29"/>
        <v>0</v>
      </c>
    </row>
    <row r="44" spans="1:56" ht="12.75">
      <c r="A44" s="160"/>
      <c r="B44" s="219" t="s">
        <v>95</v>
      </c>
      <c r="C44" s="457"/>
      <c r="D44" s="458"/>
      <c r="E44" s="459">
        <f t="shared" si="0"/>
        <v>0</v>
      </c>
      <c r="F44" s="457"/>
      <c r="G44" s="458"/>
      <c r="H44" s="459">
        <f t="shared" si="18"/>
        <v>0</v>
      </c>
      <c r="I44" s="457"/>
      <c r="J44" s="458"/>
      <c r="K44" s="459">
        <f t="shared" si="19"/>
        <v>0</v>
      </c>
      <c r="L44" s="457"/>
      <c r="M44" s="458"/>
      <c r="N44" s="459">
        <f t="shared" si="20"/>
        <v>0</v>
      </c>
      <c r="O44" s="457"/>
      <c r="P44" s="458"/>
      <c r="Q44" s="459">
        <f t="shared" si="15"/>
        <v>0</v>
      </c>
      <c r="R44" s="457"/>
      <c r="S44" s="458"/>
      <c r="T44" s="459">
        <f t="shared" si="16"/>
        <v>0</v>
      </c>
      <c r="U44" s="457"/>
      <c r="V44" s="458"/>
      <c r="W44" s="459">
        <f t="shared" si="25"/>
        <v>0</v>
      </c>
      <c r="X44" s="457"/>
      <c r="Y44" s="458"/>
      <c r="Z44" s="459">
        <f t="shared" si="4"/>
        <v>0</v>
      </c>
      <c r="AA44" s="457"/>
      <c r="AB44" s="458"/>
      <c r="AC44" s="459">
        <f t="shared" si="5"/>
        <v>0</v>
      </c>
      <c r="AD44" s="457"/>
      <c r="AE44" s="458"/>
      <c r="AF44" s="459">
        <f t="shared" si="6"/>
        <v>0</v>
      </c>
      <c r="AG44" s="457"/>
      <c r="AH44" s="458"/>
      <c r="AI44" s="459">
        <f t="shared" si="7"/>
        <v>0</v>
      </c>
      <c r="AJ44" s="457"/>
      <c r="AK44" s="458"/>
      <c r="AL44" s="459">
        <f t="shared" si="8"/>
        <v>0</v>
      </c>
      <c r="AM44" s="457"/>
      <c r="AN44" s="458"/>
      <c r="AO44" s="459">
        <f t="shared" si="9"/>
        <v>0</v>
      </c>
      <c r="AP44" s="457"/>
      <c r="AQ44" s="458"/>
      <c r="AR44" s="459">
        <f t="shared" si="10"/>
        <v>0</v>
      </c>
      <c r="AS44" s="457"/>
      <c r="AT44" s="458"/>
      <c r="AU44" s="459">
        <f t="shared" si="26"/>
        <v>0</v>
      </c>
      <c r="AV44" s="457"/>
      <c r="AW44" s="458"/>
      <c r="AX44" s="459">
        <f t="shared" si="27"/>
        <v>0</v>
      </c>
      <c r="AY44" s="457"/>
      <c r="AZ44" s="458"/>
      <c r="BA44" s="459">
        <f t="shared" si="28"/>
        <v>0</v>
      </c>
      <c r="BB44" s="457"/>
      <c r="BC44" s="458"/>
      <c r="BD44" s="459">
        <f t="shared" si="29"/>
        <v>0</v>
      </c>
    </row>
    <row r="45" spans="1:56" ht="12.75">
      <c r="A45" s="160"/>
      <c r="B45" s="219" t="s">
        <v>96</v>
      </c>
      <c r="C45" s="457"/>
      <c r="D45" s="458"/>
      <c r="E45" s="459">
        <f t="shared" si="0"/>
        <v>0</v>
      </c>
      <c r="F45" s="457"/>
      <c r="G45" s="458"/>
      <c r="H45" s="459">
        <f t="shared" si="18"/>
        <v>0</v>
      </c>
      <c r="I45" s="457"/>
      <c r="J45" s="458"/>
      <c r="K45" s="459">
        <f t="shared" si="19"/>
        <v>0</v>
      </c>
      <c r="L45" s="457"/>
      <c r="M45" s="458"/>
      <c r="N45" s="459">
        <f t="shared" si="20"/>
        <v>0</v>
      </c>
      <c r="O45" s="457"/>
      <c r="P45" s="458"/>
      <c r="Q45" s="459">
        <f t="shared" si="15"/>
        <v>0</v>
      </c>
      <c r="R45" s="457"/>
      <c r="S45" s="458"/>
      <c r="T45" s="459">
        <f t="shared" si="16"/>
        <v>0</v>
      </c>
      <c r="U45" s="457"/>
      <c r="V45" s="458"/>
      <c r="W45" s="459">
        <f t="shared" si="25"/>
        <v>0</v>
      </c>
      <c r="X45" s="457"/>
      <c r="Y45" s="458"/>
      <c r="Z45" s="459">
        <f t="shared" si="4"/>
        <v>0</v>
      </c>
      <c r="AA45" s="457"/>
      <c r="AB45" s="458"/>
      <c r="AC45" s="459">
        <f t="shared" si="5"/>
        <v>0</v>
      </c>
      <c r="AD45" s="457"/>
      <c r="AE45" s="458"/>
      <c r="AF45" s="459">
        <f t="shared" si="6"/>
        <v>0</v>
      </c>
      <c r="AG45" s="457"/>
      <c r="AH45" s="458"/>
      <c r="AI45" s="459">
        <f t="shared" si="7"/>
        <v>0</v>
      </c>
      <c r="AJ45" s="457"/>
      <c r="AK45" s="458"/>
      <c r="AL45" s="459">
        <f t="shared" si="8"/>
        <v>0</v>
      </c>
      <c r="AM45" s="457"/>
      <c r="AN45" s="458"/>
      <c r="AO45" s="459">
        <f t="shared" si="9"/>
        <v>0</v>
      </c>
      <c r="AP45" s="457"/>
      <c r="AQ45" s="458"/>
      <c r="AR45" s="459">
        <f t="shared" si="10"/>
        <v>0</v>
      </c>
      <c r="AS45" s="457"/>
      <c r="AT45" s="458"/>
      <c r="AU45" s="459">
        <f t="shared" si="26"/>
        <v>0</v>
      </c>
      <c r="AV45" s="457"/>
      <c r="AW45" s="458"/>
      <c r="AX45" s="459">
        <f t="shared" si="27"/>
        <v>0</v>
      </c>
      <c r="AY45" s="457"/>
      <c r="AZ45" s="458"/>
      <c r="BA45" s="459">
        <f t="shared" si="28"/>
        <v>0</v>
      </c>
      <c r="BB45" s="457"/>
      <c r="BC45" s="458"/>
      <c r="BD45" s="459">
        <f t="shared" si="29"/>
        <v>0</v>
      </c>
    </row>
    <row r="46" spans="1:56" ht="12.75">
      <c r="A46" s="160"/>
      <c r="B46" s="219" t="s">
        <v>97</v>
      </c>
      <c r="C46" s="457">
        <v>2364</v>
      </c>
      <c r="D46" s="458">
        <v>2490</v>
      </c>
      <c r="E46" s="459">
        <f t="shared" si="0"/>
        <v>5.32994923857868</v>
      </c>
      <c r="F46" s="457">
        <v>5470</v>
      </c>
      <c r="G46" s="458">
        <v>5748</v>
      </c>
      <c r="H46" s="459">
        <f t="shared" si="18"/>
        <v>5.082266910420475</v>
      </c>
      <c r="I46" s="457"/>
      <c r="J46" s="458"/>
      <c r="K46" s="459">
        <f t="shared" si="19"/>
        <v>0</v>
      </c>
      <c r="L46" s="457"/>
      <c r="M46" s="458"/>
      <c r="N46" s="459">
        <f t="shared" si="20"/>
        <v>0</v>
      </c>
      <c r="O46" s="457"/>
      <c r="P46" s="458"/>
      <c r="Q46" s="459">
        <f t="shared" si="15"/>
        <v>0</v>
      </c>
      <c r="R46" s="457"/>
      <c r="S46" s="458"/>
      <c r="T46" s="459">
        <f t="shared" si="16"/>
        <v>0</v>
      </c>
      <c r="U46" s="457"/>
      <c r="V46" s="458"/>
      <c r="W46" s="459">
        <f t="shared" si="25"/>
        <v>0</v>
      </c>
      <c r="X46" s="457"/>
      <c r="Y46" s="458"/>
      <c r="Z46" s="459">
        <f t="shared" si="4"/>
        <v>0</v>
      </c>
      <c r="AA46" s="457"/>
      <c r="AB46" s="458"/>
      <c r="AC46" s="459">
        <f t="shared" si="5"/>
        <v>0</v>
      </c>
      <c r="AD46" s="457"/>
      <c r="AE46" s="458"/>
      <c r="AF46" s="459">
        <f t="shared" si="6"/>
        <v>0</v>
      </c>
      <c r="AG46" s="457"/>
      <c r="AH46" s="458"/>
      <c r="AI46" s="459">
        <f t="shared" si="7"/>
        <v>0</v>
      </c>
      <c r="AJ46" s="457"/>
      <c r="AK46" s="458"/>
      <c r="AL46" s="459">
        <f t="shared" si="8"/>
        <v>0</v>
      </c>
      <c r="AM46" s="457"/>
      <c r="AN46" s="458"/>
      <c r="AO46" s="459">
        <f t="shared" si="9"/>
        <v>0</v>
      </c>
      <c r="AP46" s="457"/>
      <c r="AQ46" s="458"/>
      <c r="AR46" s="459">
        <f t="shared" si="10"/>
        <v>0</v>
      </c>
      <c r="AS46" s="457"/>
      <c r="AT46" s="458"/>
      <c r="AU46" s="459">
        <f t="shared" si="26"/>
        <v>0</v>
      </c>
      <c r="AV46" s="457"/>
      <c r="AW46" s="458"/>
      <c r="AX46" s="459">
        <f t="shared" si="27"/>
        <v>0</v>
      </c>
      <c r="AY46" s="457"/>
      <c r="AZ46" s="458"/>
      <c r="BA46" s="459">
        <f t="shared" si="28"/>
        <v>0</v>
      </c>
      <c r="BB46" s="457"/>
      <c r="BC46" s="458"/>
      <c r="BD46" s="459">
        <f t="shared" si="29"/>
        <v>0</v>
      </c>
    </row>
    <row r="47" spans="1:56" ht="12.75">
      <c r="A47" s="160"/>
      <c r="B47" s="219" t="s">
        <v>778</v>
      </c>
      <c r="C47" s="457">
        <v>2364</v>
      </c>
      <c r="D47" s="458">
        <v>2490</v>
      </c>
      <c r="E47" s="459">
        <f t="shared" si="0"/>
        <v>5.32994923857868</v>
      </c>
      <c r="F47" s="457">
        <v>5470</v>
      </c>
      <c r="G47" s="458">
        <v>5748</v>
      </c>
      <c r="H47" s="459">
        <f t="shared" si="18"/>
        <v>5.082266910420475</v>
      </c>
      <c r="I47" s="457"/>
      <c r="J47" s="458"/>
      <c r="K47" s="459">
        <f t="shared" si="19"/>
        <v>0</v>
      </c>
      <c r="L47" s="457"/>
      <c r="M47" s="458"/>
      <c r="N47" s="459">
        <f t="shared" si="20"/>
        <v>0</v>
      </c>
      <c r="O47" s="457"/>
      <c r="P47" s="458"/>
      <c r="Q47" s="459">
        <f t="shared" si="15"/>
        <v>0</v>
      </c>
      <c r="R47" s="457"/>
      <c r="S47" s="458"/>
      <c r="T47" s="459">
        <f t="shared" si="16"/>
        <v>0</v>
      </c>
      <c r="U47" s="457"/>
      <c r="V47" s="458"/>
      <c r="W47" s="459">
        <f t="shared" si="25"/>
        <v>0</v>
      </c>
      <c r="X47" s="457"/>
      <c r="Y47" s="458"/>
      <c r="Z47" s="459">
        <f t="shared" si="4"/>
        <v>0</v>
      </c>
      <c r="AA47" s="457"/>
      <c r="AB47" s="458"/>
      <c r="AC47" s="459">
        <f t="shared" si="5"/>
        <v>0</v>
      </c>
      <c r="AD47" s="457"/>
      <c r="AE47" s="458"/>
      <c r="AF47" s="459">
        <f t="shared" si="6"/>
        <v>0</v>
      </c>
      <c r="AG47" s="457"/>
      <c r="AH47" s="458"/>
      <c r="AI47" s="459">
        <f t="shared" si="7"/>
        <v>0</v>
      </c>
      <c r="AJ47" s="457"/>
      <c r="AK47" s="458"/>
      <c r="AL47" s="459">
        <f t="shared" si="8"/>
        <v>0</v>
      </c>
      <c r="AM47" s="457"/>
      <c r="AN47" s="458"/>
      <c r="AO47" s="459">
        <f t="shared" si="9"/>
        <v>0</v>
      </c>
      <c r="AP47" s="457"/>
      <c r="AQ47" s="458"/>
      <c r="AR47" s="459">
        <f t="shared" si="10"/>
        <v>0</v>
      </c>
      <c r="AS47" s="457"/>
      <c r="AT47" s="458"/>
      <c r="AU47" s="459">
        <f t="shared" si="26"/>
        <v>0</v>
      </c>
      <c r="AV47" s="457"/>
      <c r="AW47" s="458"/>
      <c r="AX47" s="459">
        <f t="shared" si="27"/>
        <v>0</v>
      </c>
      <c r="AY47" s="457"/>
      <c r="AZ47" s="458"/>
      <c r="BA47" s="459">
        <f t="shared" si="28"/>
        <v>0</v>
      </c>
      <c r="BB47" s="457"/>
      <c r="BC47" s="458"/>
      <c r="BD47" s="459">
        <f t="shared" si="29"/>
        <v>0</v>
      </c>
    </row>
    <row r="48" spans="1:56" s="465" customFormat="1" ht="20.25" customHeight="1">
      <c r="A48" s="460"/>
      <c r="B48" s="461" t="s">
        <v>426</v>
      </c>
      <c r="C48" s="462">
        <v>2364</v>
      </c>
      <c r="D48" s="463">
        <v>2490</v>
      </c>
      <c r="E48" s="464">
        <f t="shared" si="0"/>
        <v>5.32994923857868</v>
      </c>
      <c r="F48" s="462">
        <v>5470</v>
      </c>
      <c r="G48" s="463">
        <v>5748</v>
      </c>
      <c r="H48" s="464">
        <f t="shared" si="18"/>
        <v>5.082266910420475</v>
      </c>
      <c r="I48" s="462"/>
      <c r="J48" s="463"/>
      <c r="K48" s="464">
        <f t="shared" si="19"/>
        <v>0</v>
      </c>
      <c r="L48" s="462"/>
      <c r="M48" s="463"/>
      <c r="N48" s="464">
        <f t="shared" si="20"/>
        <v>0</v>
      </c>
      <c r="O48" s="462"/>
      <c r="P48" s="463"/>
      <c r="Q48" s="464">
        <f t="shared" si="15"/>
        <v>0</v>
      </c>
      <c r="R48" s="462"/>
      <c r="S48" s="463"/>
      <c r="T48" s="464">
        <f t="shared" si="16"/>
        <v>0</v>
      </c>
      <c r="U48" s="462"/>
      <c r="V48" s="463"/>
      <c r="W48" s="464">
        <f t="shared" si="25"/>
        <v>0</v>
      </c>
      <c r="X48" s="462"/>
      <c r="Y48" s="463"/>
      <c r="Z48" s="464">
        <f t="shared" si="4"/>
        <v>0</v>
      </c>
      <c r="AA48" s="462"/>
      <c r="AB48" s="463"/>
      <c r="AC48" s="464">
        <f t="shared" si="5"/>
        <v>0</v>
      </c>
      <c r="AD48" s="462"/>
      <c r="AE48" s="463"/>
      <c r="AF48" s="464">
        <f t="shared" si="6"/>
        <v>0</v>
      </c>
      <c r="AG48" s="462"/>
      <c r="AH48" s="463"/>
      <c r="AI48" s="464">
        <f t="shared" si="7"/>
        <v>0</v>
      </c>
      <c r="AJ48" s="462"/>
      <c r="AK48" s="463"/>
      <c r="AL48" s="464">
        <f t="shared" si="8"/>
        <v>0</v>
      </c>
      <c r="AM48" s="462"/>
      <c r="AN48" s="463"/>
      <c r="AO48" s="464">
        <f t="shared" si="9"/>
        <v>0</v>
      </c>
      <c r="AP48" s="462"/>
      <c r="AQ48" s="463"/>
      <c r="AR48" s="464">
        <f t="shared" si="10"/>
        <v>0</v>
      </c>
      <c r="AS48" s="462"/>
      <c r="AT48" s="463"/>
      <c r="AU48" s="464">
        <f t="shared" si="26"/>
        <v>0</v>
      </c>
      <c r="AV48" s="462"/>
      <c r="AW48" s="463"/>
      <c r="AX48" s="464">
        <f t="shared" si="27"/>
        <v>0</v>
      </c>
      <c r="AY48" s="462"/>
      <c r="AZ48" s="463"/>
      <c r="BA48" s="464">
        <f t="shared" si="28"/>
        <v>0</v>
      </c>
      <c r="BB48" s="462"/>
      <c r="BC48" s="463"/>
      <c r="BD48" s="464">
        <f t="shared" si="29"/>
        <v>0</v>
      </c>
    </row>
    <row r="49" spans="1:56" ht="12.75">
      <c r="A49" s="160"/>
      <c r="B49" s="219" t="s">
        <v>779</v>
      </c>
      <c r="C49" s="457"/>
      <c r="D49" s="458"/>
      <c r="E49" s="459">
        <f t="shared" si="0"/>
        <v>0</v>
      </c>
      <c r="F49" s="457"/>
      <c r="G49" s="458"/>
      <c r="H49" s="459">
        <f t="shared" si="18"/>
        <v>0</v>
      </c>
      <c r="I49" s="457"/>
      <c r="J49" s="458"/>
      <c r="K49" s="459">
        <f t="shared" si="19"/>
        <v>0</v>
      </c>
      <c r="L49" s="457"/>
      <c r="M49" s="458"/>
      <c r="N49" s="459">
        <f t="shared" si="20"/>
        <v>0</v>
      </c>
      <c r="O49" s="457"/>
      <c r="P49" s="458"/>
      <c r="Q49" s="459">
        <f t="shared" si="15"/>
        <v>0</v>
      </c>
      <c r="R49" s="457"/>
      <c r="S49" s="458"/>
      <c r="T49" s="459">
        <f t="shared" si="16"/>
        <v>0</v>
      </c>
      <c r="U49" s="457"/>
      <c r="V49" s="458"/>
      <c r="W49" s="459">
        <f t="shared" si="25"/>
        <v>0</v>
      </c>
      <c r="X49" s="457"/>
      <c r="Y49" s="458"/>
      <c r="Z49" s="459">
        <f t="shared" si="4"/>
        <v>0</v>
      </c>
      <c r="AA49" s="457"/>
      <c r="AB49" s="458"/>
      <c r="AC49" s="459">
        <f t="shared" si="5"/>
        <v>0</v>
      </c>
      <c r="AD49" s="457"/>
      <c r="AE49" s="458"/>
      <c r="AF49" s="459">
        <f t="shared" si="6"/>
        <v>0</v>
      </c>
      <c r="AG49" s="457"/>
      <c r="AH49" s="458"/>
      <c r="AI49" s="459">
        <f t="shared" si="7"/>
        <v>0</v>
      </c>
      <c r="AJ49" s="457"/>
      <c r="AK49" s="458"/>
      <c r="AL49" s="459">
        <f t="shared" si="8"/>
        <v>0</v>
      </c>
      <c r="AM49" s="457"/>
      <c r="AN49" s="458"/>
      <c r="AO49" s="459">
        <f t="shared" si="9"/>
        <v>0</v>
      </c>
      <c r="AP49" s="457"/>
      <c r="AQ49" s="458"/>
      <c r="AR49" s="459">
        <f t="shared" si="10"/>
        <v>0</v>
      </c>
      <c r="AS49" s="457"/>
      <c r="AT49" s="458"/>
      <c r="AU49" s="459">
        <f t="shared" si="26"/>
        <v>0</v>
      </c>
      <c r="AV49" s="457"/>
      <c r="AW49" s="458"/>
      <c r="AX49" s="459">
        <f t="shared" si="27"/>
        <v>0</v>
      </c>
      <c r="AY49" s="457"/>
      <c r="AZ49" s="458"/>
      <c r="BA49" s="459">
        <f t="shared" si="28"/>
        <v>0</v>
      </c>
      <c r="BB49" s="457"/>
      <c r="BC49" s="458"/>
      <c r="BD49" s="459">
        <f t="shared" si="29"/>
        <v>0</v>
      </c>
    </row>
    <row r="50" spans="1:56" ht="12.75">
      <c r="A50" s="160"/>
      <c r="B50" s="219" t="s">
        <v>1015</v>
      </c>
      <c r="C50" s="457"/>
      <c r="D50" s="458"/>
      <c r="E50" s="459">
        <f t="shared" si="0"/>
        <v>0</v>
      </c>
      <c r="F50" s="457"/>
      <c r="G50" s="458"/>
      <c r="H50" s="459">
        <f t="shared" si="18"/>
        <v>0</v>
      </c>
      <c r="I50" s="457"/>
      <c r="J50" s="458"/>
      <c r="K50" s="459">
        <f t="shared" si="19"/>
        <v>0</v>
      </c>
      <c r="L50" s="457"/>
      <c r="M50" s="458"/>
      <c r="N50" s="459">
        <f t="shared" si="20"/>
        <v>0</v>
      </c>
      <c r="O50" s="457"/>
      <c r="P50" s="458"/>
      <c r="Q50" s="459">
        <f t="shared" si="15"/>
        <v>0</v>
      </c>
      <c r="R50" s="457"/>
      <c r="S50" s="458"/>
      <c r="T50" s="459">
        <f t="shared" si="16"/>
        <v>0</v>
      </c>
      <c r="U50" s="457"/>
      <c r="V50" s="458"/>
      <c r="W50" s="459">
        <f t="shared" si="25"/>
        <v>0</v>
      </c>
      <c r="X50" s="457"/>
      <c r="Y50" s="458"/>
      <c r="Z50" s="459">
        <f t="shared" si="4"/>
        <v>0</v>
      </c>
      <c r="AA50" s="457"/>
      <c r="AB50" s="458"/>
      <c r="AC50" s="459">
        <f t="shared" si="5"/>
        <v>0</v>
      </c>
      <c r="AD50" s="457"/>
      <c r="AE50" s="458"/>
      <c r="AF50" s="459">
        <f t="shared" si="6"/>
        <v>0</v>
      </c>
      <c r="AG50" s="457"/>
      <c r="AH50" s="458"/>
      <c r="AI50" s="459">
        <f t="shared" si="7"/>
        <v>0</v>
      </c>
      <c r="AJ50" s="457"/>
      <c r="AK50" s="458"/>
      <c r="AL50" s="459">
        <f t="shared" si="8"/>
        <v>0</v>
      </c>
      <c r="AM50" s="457"/>
      <c r="AN50" s="458"/>
      <c r="AO50" s="459">
        <f t="shared" si="9"/>
        <v>0</v>
      </c>
      <c r="AP50" s="457"/>
      <c r="AQ50" s="458"/>
      <c r="AR50" s="459">
        <f t="shared" si="10"/>
        <v>0</v>
      </c>
      <c r="AS50" s="457"/>
      <c r="AT50" s="458"/>
      <c r="AU50" s="459">
        <f t="shared" si="26"/>
        <v>0</v>
      </c>
      <c r="AV50" s="457"/>
      <c r="AW50" s="458"/>
      <c r="AX50" s="459">
        <f t="shared" si="27"/>
        <v>0</v>
      </c>
      <c r="AY50" s="457"/>
      <c r="AZ50" s="458"/>
      <c r="BA50" s="459">
        <f t="shared" si="28"/>
        <v>0</v>
      </c>
      <c r="BB50" s="457"/>
      <c r="BC50" s="458"/>
      <c r="BD50" s="459">
        <f t="shared" si="29"/>
        <v>0</v>
      </c>
    </row>
    <row r="51" spans="1:56" ht="12.75">
      <c r="A51" s="160"/>
      <c r="B51" s="219" t="s">
        <v>1016</v>
      </c>
      <c r="C51" s="457"/>
      <c r="D51" s="458"/>
      <c r="E51" s="459">
        <f t="shared" si="0"/>
        <v>0</v>
      </c>
      <c r="F51" s="457"/>
      <c r="G51" s="458"/>
      <c r="H51" s="459">
        <f t="shared" si="18"/>
        <v>0</v>
      </c>
      <c r="I51" s="457"/>
      <c r="J51" s="458"/>
      <c r="K51" s="459">
        <f t="shared" si="19"/>
        <v>0</v>
      </c>
      <c r="L51" s="457"/>
      <c r="M51" s="458"/>
      <c r="N51" s="459">
        <f t="shared" si="20"/>
        <v>0</v>
      </c>
      <c r="O51" s="457"/>
      <c r="P51" s="458"/>
      <c r="Q51" s="459">
        <f t="shared" si="15"/>
        <v>0</v>
      </c>
      <c r="R51" s="457"/>
      <c r="S51" s="458"/>
      <c r="T51" s="459">
        <f t="shared" si="16"/>
        <v>0</v>
      </c>
      <c r="U51" s="457"/>
      <c r="V51" s="458"/>
      <c r="W51" s="459">
        <f t="shared" si="25"/>
        <v>0</v>
      </c>
      <c r="X51" s="457"/>
      <c r="Y51" s="458"/>
      <c r="Z51" s="459">
        <f t="shared" si="4"/>
        <v>0</v>
      </c>
      <c r="AA51" s="457"/>
      <c r="AB51" s="458"/>
      <c r="AC51" s="459">
        <f t="shared" si="5"/>
        <v>0</v>
      </c>
      <c r="AD51" s="457"/>
      <c r="AE51" s="458"/>
      <c r="AF51" s="459">
        <f t="shared" si="6"/>
        <v>0</v>
      </c>
      <c r="AG51" s="457"/>
      <c r="AH51" s="458"/>
      <c r="AI51" s="459">
        <f t="shared" si="7"/>
        <v>0</v>
      </c>
      <c r="AJ51" s="457"/>
      <c r="AK51" s="458"/>
      <c r="AL51" s="459">
        <f t="shared" si="8"/>
        <v>0</v>
      </c>
      <c r="AM51" s="457"/>
      <c r="AN51" s="458"/>
      <c r="AO51" s="459">
        <f t="shared" si="9"/>
        <v>0</v>
      </c>
      <c r="AP51" s="457"/>
      <c r="AQ51" s="458"/>
      <c r="AR51" s="459">
        <f t="shared" si="10"/>
        <v>0</v>
      </c>
      <c r="AS51" s="457"/>
      <c r="AT51" s="458"/>
      <c r="AU51" s="459">
        <f t="shared" si="26"/>
        <v>0</v>
      </c>
      <c r="AV51" s="457"/>
      <c r="AW51" s="458"/>
      <c r="AX51" s="459">
        <f t="shared" si="27"/>
        <v>0</v>
      </c>
      <c r="AY51" s="457"/>
      <c r="AZ51" s="458"/>
      <c r="BA51" s="459">
        <f t="shared" si="28"/>
        <v>0</v>
      </c>
      <c r="BB51" s="457"/>
      <c r="BC51" s="458"/>
      <c r="BD51" s="459">
        <f t="shared" si="29"/>
        <v>0</v>
      </c>
    </row>
    <row r="52" spans="1:56" s="465" customFormat="1" ht="21.75" customHeight="1">
      <c r="A52" s="460"/>
      <c r="B52" s="461" t="s">
        <v>978</v>
      </c>
      <c r="C52" s="462"/>
      <c r="D52" s="463"/>
      <c r="E52" s="464">
        <f t="shared" si="0"/>
        <v>0</v>
      </c>
      <c r="F52" s="462"/>
      <c r="G52" s="463"/>
      <c r="H52" s="464">
        <f t="shared" si="18"/>
        <v>0</v>
      </c>
      <c r="I52" s="462"/>
      <c r="J52" s="463"/>
      <c r="K52" s="464">
        <f t="shared" si="19"/>
        <v>0</v>
      </c>
      <c r="L52" s="462"/>
      <c r="M52" s="463"/>
      <c r="N52" s="464">
        <f t="shared" si="20"/>
        <v>0</v>
      </c>
      <c r="O52" s="462"/>
      <c r="P52" s="463"/>
      <c r="Q52" s="464">
        <f t="shared" si="15"/>
        <v>0</v>
      </c>
      <c r="R52" s="462"/>
      <c r="S52" s="463"/>
      <c r="T52" s="464">
        <f t="shared" si="16"/>
        <v>0</v>
      </c>
      <c r="U52" s="462"/>
      <c r="V52" s="463"/>
      <c r="W52" s="464">
        <f t="shared" si="25"/>
        <v>0</v>
      </c>
      <c r="X52" s="462"/>
      <c r="Y52" s="463"/>
      <c r="Z52" s="464">
        <f t="shared" si="4"/>
        <v>0</v>
      </c>
      <c r="AA52" s="462"/>
      <c r="AB52" s="463"/>
      <c r="AC52" s="464">
        <f t="shared" si="5"/>
        <v>0</v>
      </c>
      <c r="AD52" s="462"/>
      <c r="AE52" s="463"/>
      <c r="AF52" s="464">
        <f t="shared" si="6"/>
        <v>0</v>
      </c>
      <c r="AG52" s="462"/>
      <c r="AH52" s="463"/>
      <c r="AI52" s="464">
        <f t="shared" si="7"/>
        <v>0</v>
      </c>
      <c r="AJ52" s="462"/>
      <c r="AK52" s="463"/>
      <c r="AL52" s="464">
        <f t="shared" si="8"/>
        <v>0</v>
      </c>
      <c r="AM52" s="462"/>
      <c r="AN52" s="463"/>
      <c r="AO52" s="464">
        <f t="shared" si="9"/>
        <v>0</v>
      </c>
      <c r="AP52" s="462"/>
      <c r="AQ52" s="463"/>
      <c r="AR52" s="464">
        <f t="shared" si="10"/>
        <v>0</v>
      </c>
      <c r="AS52" s="462"/>
      <c r="AT52" s="463"/>
      <c r="AU52" s="464">
        <f t="shared" si="26"/>
        <v>0</v>
      </c>
      <c r="AV52" s="462"/>
      <c r="AW52" s="463"/>
      <c r="AX52" s="464">
        <f t="shared" si="27"/>
        <v>0</v>
      </c>
      <c r="AY52" s="462"/>
      <c r="AZ52" s="463"/>
      <c r="BA52" s="464">
        <f t="shared" si="28"/>
        <v>0</v>
      </c>
      <c r="BB52" s="462"/>
      <c r="BC52" s="463"/>
      <c r="BD52" s="464">
        <f t="shared" si="29"/>
        <v>0</v>
      </c>
    </row>
    <row r="53" spans="1:56" ht="12.75">
      <c r="A53" s="466"/>
      <c r="B53" s="467" t="s">
        <v>781</v>
      </c>
      <c r="C53" s="468"/>
      <c r="D53" s="469"/>
      <c r="E53" s="471">
        <f t="shared" si="0"/>
        <v>0</v>
      </c>
      <c r="F53" s="468"/>
      <c r="G53" s="469"/>
      <c r="H53" s="471">
        <f t="shared" si="18"/>
        <v>0</v>
      </c>
      <c r="I53" s="468"/>
      <c r="J53" s="469"/>
      <c r="K53" s="471">
        <f t="shared" si="19"/>
        <v>0</v>
      </c>
      <c r="L53" s="468"/>
      <c r="M53" s="469"/>
      <c r="N53" s="471">
        <f t="shared" si="20"/>
        <v>0</v>
      </c>
      <c r="O53" s="468"/>
      <c r="P53" s="469"/>
      <c r="Q53" s="471">
        <f t="shared" si="15"/>
        <v>0</v>
      </c>
      <c r="R53" s="468"/>
      <c r="S53" s="469"/>
      <c r="T53" s="471">
        <f t="shared" si="16"/>
        <v>0</v>
      </c>
      <c r="U53" s="468"/>
      <c r="V53" s="469"/>
      <c r="W53" s="470">
        <f t="shared" si="25"/>
        <v>0</v>
      </c>
      <c r="X53" s="468"/>
      <c r="Y53" s="469"/>
      <c r="Z53" s="471">
        <f t="shared" si="4"/>
        <v>0</v>
      </c>
      <c r="AA53" s="468"/>
      <c r="AB53" s="469"/>
      <c r="AC53" s="471">
        <f t="shared" si="5"/>
        <v>0</v>
      </c>
      <c r="AD53" s="468"/>
      <c r="AE53" s="469"/>
      <c r="AF53" s="471">
        <f t="shared" si="6"/>
        <v>0</v>
      </c>
      <c r="AG53" s="468"/>
      <c r="AH53" s="469"/>
      <c r="AI53" s="471">
        <f t="shared" si="7"/>
        <v>0</v>
      </c>
      <c r="AJ53" s="468"/>
      <c r="AK53" s="469"/>
      <c r="AL53" s="471">
        <f t="shared" si="8"/>
        <v>0</v>
      </c>
      <c r="AM53" s="468"/>
      <c r="AN53" s="469"/>
      <c r="AO53" s="471">
        <f t="shared" si="9"/>
        <v>0</v>
      </c>
      <c r="AP53" s="468"/>
      <c r="AQ53" s="469"/>
      <c r="AR53" s="471">
        <f t="shared" si="10"/>
        <v>0</v>
      </c>
      <c r="AS53" s="468"/>
      <c r="AT53" s="469"/>
      <c r="AU53" s="471">
        <f t="shared" si="26"/>
        <v>0</v>
      </c>
      <c r="AV53" s="468"/>
      <c r="AW53" s="469"/>
      <c r="AX53" s="471">
        <f t="shared" si="27"/>
        <v>0</v>
      </c>
      <c r="AY53" s="468"/>
      <c r="AZ53" s="469"/>
      <c r="BA53" s="471">
        <f t="shared" si="28"/>
        <v>0</v>
      </c>
      <c r="BB53" s="468"/>
      <c r="BC53" s="469"/>
      <c r="BD53" s="471">
        <f t="shared" si="29"/>
        <v>0</v>
      </c>
    </row>
    <row r="54" spans="1:56" ht="12.75">
      <c r="A54" s="158" t="s">
        <v>528</v>
      </c>
      <c r="B54" s="219" t="s">
        <v>89</v>
      </c>
      <c r="C54" s="457">
        <v>3361.6</v>
      </c>
      <c r="D54" s="458">
        <v>3463.5249999999996</v>
      </c>
      <c r="E54" s="459">
        <f t="shared" si="0"/>
        <v>3.0320383150880454</v>
      </c>
      <c r="F54" s="457">
        <v>16728</v>
      </c>
      <c r="G54" s="458">
        <v>17182.65</v>
      </c>
      <c r="H54" s="459">
        <f t="shared" si="18"/>
        <v>2.7178981348637103</v>
      </c>
      <c r="I54" s="457">
        <v>6144.28</v>
      </c>
      <c r="J54" s="458">
        <v>6580.36</v>
      </c>
      <c r="K54" s="459">
        <f t="shared" si="19"/>
        <v>7.097332803843575</v>
      </c>
      <c r="L54" s="457">
        <v>21777.16</v>
      </c>
      <c r="M54" s="458">
        <v>22367.2</v>
      </c>
      <c r="N54" s="459">
        <f t="shared" si="20"/>
        <v>2.7094442066826017</v>
      </c>
      <c r="O54" s="457"/>
      <c r="P54" s="458"/>
      <c r="Q54" s="459"/>
      <c r="R54" s="457"/>
      <c r="S54" s="458"/>
      <c r="T54" s="459"/>
      <c r="U54" s="457"/>
      <c r="V54" s="458"/>
      <c r="W54" s="459"/>
      <c r="X54" s="457"/>
      <c r="Y54" s="458"/>
      <c r="Z54" s="459"/>
      <c r="AA54" s="457"/>
      <c r="AB54" s="458"/>
      <c r="AC54" s="459"/>
      <c r="AD54" s="457"/>
      <c r="AE54" s="458"/>
      <c r="AF54" s="459"/>
      <c r="AG54" s="457"/>
      <c r="AH54" s="458"/>
      <c r="AI54" s="459"/>
      <c r="AJ54" s="457"/>
      <c r="AK54" s="458"/>
      <c r="AL54" s="459"/>
      <c r="AM54" s="457"/>
      <c r="AN54" s="458"/>
      <c r="AO54" s="459"/>
      <c r="AP54" s="457"/>
      <c r="AQ54" s="458"/>
      <c r="AR54" s="459"/>
      <c r="AS54" s="457"/>
      <c r="AT54" s="458"/>
      <c r="AU54" s="459"/>
      <c r="AV54" s="457"/>
      <c r="AW54" s="458"/>
      <c r="AX54" s="459"/>
      <c r="AY54" s="457"/>
      <c r="AZ54" s="458"/>
      <c r="BA54" s="459"/>
      <c r="BB54" s="457"/>
      <c r="BC54" s="458"/>
      <c r="BD54" s="459"/>
    </row>
    <row r="55" spans="1:56" ht="12.75">
      <c r="A55" s="160"/>
      <c r="B55" s="219" t="s">
        <v>90</v>
      </c>
      <c r="C55" s="457">
        <v>3416.65</v>
      </c>
      <c r="D55" s="458">
        <v>3530.675</v>
      </c>
      <c r="E55" s="459">
        <f t="shared" si="0"/>
        <v>3.337333352845626</v>
      </c>
      <c r="F55" s="457">
        <v>16148.05</v>
      </c>
      <c r="G55" s="458">
        <v>16233.8</v>
      </c>
      <c r="H55" s="459">
        <f t="shared" si="18"/>
        <v>0.5310238697551717</v>
      </c>
      <c r="I55" s="457">
        <v>6234.28</v>
      </c>
      <c r="J55" s="458">
        <v>6415.64</v>
      </c>
      <c r="K55" s="459">
        <f t="shared" si="19"/>
        <v>2.9090769102446568</v>
      </c>
      <c r="L55" s="457">
        <v>20314.12</v>
      </c>
      <c r="M55" s="458">
        <v>20369.24</v>
      </c>
      <c r="N55" s="459">
        <f t="shared" si="20"/>
        <v>0.271338359722216</v>
      </c>
      <c r="O55" s="457"/>
      <c r="P55" s="458"/>
      <c r="Q55" s="459"/>
      <c r="R55" s="457"/>
      <c r="S55" s="458"/>
      <c r="T55" s="459"/>
      <c r="U55" s="457"/>
      <c r="V55" s="458"/>
      <c r="W55" s="459"/>
      <c r="X55" s="457"/>
      <c r="Y55" s="458"/>
      <c r="Z55" s="459"/>
      <c r="AA55" s="457"/>
      <c r="AB55" s="458"/>
      <c r="AC55" s="459"/>
      <c r="AD55" s="457"/>
      <c r="AE55" s="458"/>
      <c r="AF55" s="459"/>
      <c r="AG55" s="457"/>
      <c r="AH55" s="458"/>
      <c r="AI55" s="459"/>
      <c r="AJ55" s="457"/>
      <c r="AK55" s="458"/>
      <c r="AL55" s="459"/>
      <c r="AM55" s="457"/>
      <c r="AN55" s="458"/>
      <c r="AO55" s="459"/>
      <c r="AP55" s="457"/>
      <c r="AQ55" s="458"/>
      <c r="AR55" s="459"/>
      <c r="AS55" s="457"/>
      <c r="AT55" s="458"/>
      <c r="AU55" s="459"/>
      <c r="AV55" s="457"/>
      <c r="AW55" s="458"/>
      <c r="AX55" s="459"/>
      <c r="AY55" s="457"/>
      <c r="AZ55" s="458"/>
      <c r="BA55" s="459"/>
      <c r="BB55" s="457"/>
      <c r="BC55" s="458"/>
      <c r="BD55" s="459"/>
    </row>
    <row r="56" spans="1:56" ht="12.75">
      <c r="A56" s="160"/>
      <c r="B56" s="219" t="s">
        <v>91</v>
      </c>
      <c r="C56" s="457">
        <v>3311.7</v>
      </c>
      <c r="D56" s="458">
        <v>3409.125</v>
      </c>
      <c r="E56" s="459">
        <f t="shared" si="0"/>
        <v>2.941842558202741</v>
      </c>
      <c r="F56" s="457">
        <v>15186.2</v>
      </c>
      <c r="G56" s="458">
        <v>15191.1</v>
      </c>
      <c r="H56" s="459">
        <f t="shared" si="18"/>
        <v>0.03226613636064082</v>
      </c>
      <c r="I56" s="457">
        <v>5870.64</v>
      </c>
      <c r="J56" s="458">
        <v>6054.48</v>
      </c>
      <c r="K56" s="459">
        <f t="shared" si="19"/>
        <v>3.1315154736110413</v>
      </c>
      <c r="L56" s="457">
        <v>20246</v>
      </c>
      <c r="M56" s="458">
        <v>20582.64</v>
      </c>
      <c r="N56" s="459">
        <f t="shared" si="20"/>
        <v>1.6627481971747478</v>
      </c>
      <c r="O56" s="457"/>
      <c r="P56" s="458"/>
      <c r="Q56" s="459"/>
      <c r="R56" s="457"/>
      <c r="S56" s="458"/>
      <c r="T56" s="459"/>
      <c r="U56" s="457"/>
      <c r="V56" s="458"/>
      <c r="W56" s="459"/>
      <c r="X56" s="457"/>
      <c r="Y56" s="458"/>
      <c r="Z56" s="459"/>
      <c r="AA56" s="457"/>
      <c r="AB56" s="458"/>
      <c r="AC56" s="459"/>
      <c r="AD56" s="457"/>
      <c r="AE56" s="458"/>
      <c r="AF56" s="459"/>
      <c r="AG56" s="457"/>
      <c r="AH56" s="458"/>
      <c r="AI56" s="459"/>
      <c r="AJ56" s="457"/>
      <c r="AK56" s="458"/>
      <c r="AL56" s="459"/>
      <c r="AM56" s="457"/>
      <c r="AN56" s="458"/>
      <c r="AO56" s="459"/>
      <c r="AP56" s="457"/>
      <c r="AQ56" s="458"/>
      <c r="AR56" s="459"/>
      <c r="AS56" s="457"/>
      <c r="AT56" s="458"/>
      <c r="AU56" s="459"/>
      <c r="AV56" s="457"/>
      <c r="AW56" s="458"/>
      <c r="AX56" s="459"/>
      <c r="AY56" s="457"/>
      <c r="AZ56" s="458"/>
      <c r="BA56" s="459"/>
      <c r="BB56" s="457"/>
      <c r="BC56" s="458"/>
      <c r="BD56" s="459"/>
    </row>
    <row r="57" spans="1:56" ht="12.75">
      <c r="A57" s="160"/>
      <c r="B57" s="219" t="s">
        <v>92</v>
      </c>
      <c r="C57" s="457"/>
      <c r="D57" s="458"/>
      <c r="E57" s="459">
        <f t="shared" si="0"/>
        <v>0</v>
      </c>
      <c r="F57" s="457"/>
      <c r="G57" s="458"/>
      <c r="H57" s="459">
        <f t="shared" si="18"/>
        <v>0</v>
      </c>
      <c r="I57" s="457"/>
      <c r="J57" s="458"/>
      <c r="K57" s="459">
        <f t="shared" si="19"/>
        <v>0</v>
      </c>
      <c r="L57" s="457"/>
      <c r="M57" s="458"/>
      <c r="N57" s="459">
        <f t="shared" si="20"/>
        <v>0</v>
      </c>
      <c r="O57" s="457"/>
      <c r="P57" s="458"/>
      <c r="Q57" s="459"/>
      <c r="R57" s="457"/>
      <c r="S57" s="458"/>
      <c r="T57" s="459"/>
      <c r="U57" s="457"/>
      <c r="V57" s="458"/>
      <c r="W57" s="459"/>
      <c r="X57" s="457"/>
      <c r="Y57" s="458"/>
      <c r="Z57" s="459"/>
      <c r="AA57" s="457"/>
      <c r="AB57" s="458"/>
      <c r="AC57" s="459"/>
      <c r="AD57" s="457"/>
      <c r="AE57" s="458"/>
      <c r="AF57" s="459"/>
      <c r="AG57" s="457"/>
      <c r="AH57" s="458"/>
      <c r="AI57" s="459"/>
      <c r="AJ57" s="457"/>
      <c r="AK57" s="458"/>
      <c r="AL57" s="459"/>
      <c r="AM57" s="457"/>
      <c r="AN57" s="458"/>
      <c r="AO57" s="459"/>
      <c r="AP57" s="457"/>
      <c r="AQ57" s="458"/>
      <c r="AR57" s="459"/>
      <c r="AS57" s="457"/>
      <c r="AT57" s="458"/>
      <c r="AU57" s="459"/>
      <c r="AV57" s="457"/>
      <c r="AW57" s="458"/>
      <c r="AX57" s="459"/>
      <c r="AY57" s="457"/>
      <c r="AZ57" s="458"/>
      <c r="BA57" s="459"/>
      <c r="BB57" s="457"/>
      <c r="BC57" s="458"/>
      <c r="BD57" s="459"/>
    </row>
    <row r="58" spans="1:56" ht="12.75">
      <c r="A58" s="160"/>
      <c r="B58" s="219" t="s">
        <v>93</v>
      </c>
      <c r="C58" s="457">
        <v>3559.8</v>
      </c>
      <c r="D58" s="458">
        <v>3712.125</v>
      </c>
      <c r="E58" s="459">
        <f t="shared" si="0"/>
        <v>4.279032529917406</v>
      </c>
      <c r="F58" s="457">
        <v>15481.5</v>
      </c>
      <c r="G58" s="458">
        <v>16230</v>
      </c>
      <c r="H58" s="459">
        <f t="shared" si="18"/>
        <v>4.834802829183219</v>
      </c>
      <c r="I58" s="457">
        <v>5532.48</v>
      </c>
      <c r="J58" s="458">
        <v>5835.12</v>
      </c>
      <c r="K58" s="459">
        <f t="shared" si="19"/>
        <v>5.470241193822669</v>
      </c>
      <c r="L58" s="457">
        <v>20439.12</v>
      </c>
      <c r="M58" s="458">
        <v>21487.2</v>
      </c>
      <c r="N58" s="459">
        <f t="shared" si="20"/>
        <v>5.127813721921501</v>
      </c>
      <c r="O58" s="457"/>
      <c r="P58" s="458"/>
      <c r="Q58" s="459"/>
      <c r="R58" s="457"/>
      <c r="S58" s="458"/>
      <c r="T58" s="459"/>
      <c r="U58" s="457"/>
      <c r="V58" s="458"/>
      <c r="W58" s="459"/>
      <c r="X58" s="457"/>
      <c r="Y58" s="458"/>
      <c r="Z58" s="459"/>
      <c r="AA58" s="457"/>
      <c r="AB58" s="458"/>
      <c r="AC58" s="459"/>
      <c r="AD58" s="457"/>
      <c r="AE58" s="458"/>
      <c r="AF58" s="459"/>
      <c r="AG58" s="457"/>
      <c r="AH58" s="458"/>
      <c r="AI58" s="459"/>
      <c r="AJ58" s="457"/>
      <c r="AK58" s="458"/>
      <c r="AL58" s="459"/>
      <c r="AM58" s="457"/>
      <c r="AN58" s="458"/>
      <c r="AO58" s="459"/>
      <c r="AP58" s="457"/>
      <c r="AQ58" s="458"/>
      <c r="AR58" s="459"/>
      <c r="AS58" s="457"/>
      <c r="AT58" s="458"/>
      <c r="AU58" s="459"/>
      <c r="AV58" s="457"/>
      <c r="AW58" s="458"/>
      <c r="AX58" s="459"/>
      <c r="AY58" s="457"/>
      <c r="AZ58" s="458"/>
      <c r="BA58" s="459"/>
      <c r="BB58" s="457"/>
      <c r="BC58" s="458"/>
      <c r="BD58" s="459"/>
    </row>
    <row r="59" spans="1:56" ht="12.75">
      <c r="A59" s="160"/>
      <c r="B59" s="219" t="s">
        <v>94</v>
      </c>
      <c r="C59" s="457">
        <v>3111.3</v>
      </c>
      <c r="D59" s="458">
        <v>3201.225</v>
      </c>
      <c r="E59" s="459">
        <f t="shared" si="0"/>
        <v>2.890270947835301</v>
      </c>
      <c r="F59" s="457">
        <v>16636.5</v>
      </c>
      <c r="G59" s="458">
        <v>18078.9</v>
      </c>
      <c r="H59" s="459">
        <f t="shared" si="18"/>
        <v>8.670092868091254</v>
      </c>
      <c r="I59" s="457"/>
      <c r="J59" s="458"/>
      <c r="K59" s="459">
        <f t="shared" si="19"/>
        <v>0</v>
      </c>
      <c r="L59" s="457"/>
      <c r="M59" s="458"/>
      <c r="N59" s="459">
        <f t="shared" si="20"/>
        <v>0</v>
      </c>
      <c r="O59" s="457"/>
      <c r="P59" s="458"/>
      <c r="Q59" s="459"/>
      <c r="R59" s="457"/>
      <c r="S59" s="458"/>
      <c r="T59" s="459"/>
      <c r="U59" s="457"/>
      <c r="V59" s="458"/>
      <c r="W59" s="459"/>
      <c r="X59" s="457"/>
      <c r="Y59" s="458"/>
      <c r="Z59" s="459"/>
      <c r="AA59" s="457"/>
      <c r="AB59" s="458"/>
      <c r="AC59" s="459"/>
      <c r="AD59" s="457"/>
      <c r="AE59" s="458"/>
      <c r="AF59" s="459"/>
      <c r="AG59" s="457"/>
      <c r="AH59" s="458"/>
      <c r="AI59" s="459"/>
      <c r="AJ59" s="457"/>
      <c r="AK59" s="458"/>
      <c r="AL59" s="459"/>
      <c r="AM59" s="457"/>
      <c r="AN59" s="458"/>
      <c r="AO59" s="459"/>
      <c r="AP59" s="457"/>
      <c r="AQ59" s="458"/>
      <c r="AR59" s="459"/>
      <c r="AS59" s="457"/>
      <c r="AT59" s="458"/>
      <c r="AU59" s="459"/>
      <c r="AV59" s="457"/>
      <c r="AW59" s="458"/>
      <c r="AX59" s="459"/>
      <c r="AY59" s="457"/>
      <c r="AZ59" s="458"/>
      <c r="BA59" s="459"/>
      <c r="BB59" s="457"/>
      <c r="BC59" s="458"/>
      <c r="BD59" s="459"/>
    </row>
    <row r="60" spans="1:56" s="465" customFormat="1" ht="19.5" customHeight="1">
      <c r="A60" s="460"/>
      <c r="B60" s="461" t="s">
        <v>821</v>
      </c>
      <c r="C60" s="462">
        <v>3352.5</v>
      </c>
      <c r="D60" s="463">
        <v>3514.325</v>
      </c>
      <c r="E60" s="464">
        <f t="shared" si="0"/>
        <v>4.826994780014909</v>
      </c>
      <c r="F60" s="462">
        <v>16115</v>
      </c>
      <c r="G60" s="463">
        <v>16290.9</v>
      </c>
      <c r="H60" s="464">
        <f t="shared" si="18"/>
        <v>1.0915296307787754</v>
      </c>
      <c r="I60" s="462">
        <v>5989.4</v>
      </c>
      <c r="J60" s="463">
        <v>6326.88</v>
      </c>
      <c r="K60" s="464">
        <f t="shared" si="19"/>
        <v>5.634621164056508</v>
      </c>
      <c r="L60" s="462">
        <v>21108.6</v>
      </c>
      <c r="M60" s="463">
        <v>21686.64</v>
      </c>
      <c r="N60" s="464">
        <f t="shared" si="20"/>
        <v>2.738409937182006</v>
      </c>
      <c r="O60" s="462"/>
      <c r="P60" s="463"/>
      <c r="Q60" s="464"/>
      <c r="R60" s="462"/>
      <c r="S60" s="463"/>
      <c r="T60" s="464"/>
      <c r="U60" s="462"/>
      <c r="V60" s="463"/>
      <c r="W60" s="464"/>
      <c r="X60" s="462"/>
      <c r="Y60" s="463"/>
      <c r="Z60" s="464"/>
      <c r="AA60" s="462"/>
      <c r="AB60" s="463"/>
      <c r="AC60" s="464"/>
      <c r="AD60" s="462"/>
      <c r="AE60" s="463"/>
      <c r="AF60" s="464"/>
      <c r="AG60" s="462"/>
      <c r="AH60" s="463"/>
      <c r="AI60" s="464"/>
      <c r="AJ60" s="462"/>
      <c r="AK60" s="463"/>
      <c r="AL60" s="464"/>
      <c r="AM60" s="462"/>
      <c r="AN60" s="463"/>
      <c r="AO60" s="464"/>
      <c r="AP60" s="462"/>
      <c r="AQ60" s="463"/>
      <c r="AR60" s="464"/>
      <c r="AS60" s="462"/>
      <c r="AT60" s="463"/>
      <c r="AU60" s="464"/>
      <c r="AV60" s="462"/>
      <c r="AW60" s="463"/>
      <c r="AX60" s="464"/>
      <c r="AY60" s="462"/>
      <c r="AZ60" s="463"/>
      <c r="BA60" s="464"/>
      <c r="BB60" s="462"/>
      <c r="BC60" s="463"/>
      <c r="BD60" s="464"/>
    </row>
    <row r="61" spans="1:56" ht="12.75">
      <c r="A61" s="160"/>
      <c r="B61" s="219" t="s">
        <v>95</v>
      </c>
      <c r="C61" s="457">
        <v>2068.2</v>
      </c>
      <c r="D61" s="458">
        <v>2068.2</v>
      </c>
      <c r="E61" s="459">
        <f t="shared" si="0"/>
        <v>0</v>
      </c>
      <c r="F61" s="457">
        <v>6862.8</v>
      </c>
      <c r="G61" s="458">
        <v>6862.8</v>
      </c>
      <c r="H61" s="459">
        <f t="shared" si="18"/>
        <v>0</v>
      </c>
      <c r="I61" s="457"/>
      <c r="J61" s="458"/>
      <c r="K61" s="459">
        <f t="shared" si="19"/>
        <v>0</v>
      </c>
      <c r="L61" s="457"/>
      <c r="M61" s="458"/>
      <c r="N61" s="459">
        <f t="shared" si="20"/>
        <v>0</v>
      </c>
      <c r="O61" s="457"/>
      <c r="P61" s="458"/>
      <c r="Q61" s="459">
        <f t="shared" si="15"/>
        <v>0</v>
      </c>
      <c r="R61" s="457"/>
      <c r="S61" s="458"/>
      <c r="T61" s="459">
        <f t="shared" si="16"/>
        <v>0</v>
      </c>
      <c r="U61" s="457"/>
      <c r="V61" s="458"/>
      <c r="W61" s="459">
        <f t="shared" si="25"/>
        <v>0</v>
      </c>
      <c r="X61" s="457"/>
      <c r="Y61" s="458"/>
      <c r="Z61" s="459">
        <f t="shared" si="4"/>
        <v>0</v>
      </c>
      <c r="AA61" s="457"/>
      <c r="AB61" s="458"/>
      <c r="AC61" s="459">
        <f t="shared" si="5"/>
        <v>0</v>
      </c>
      <c r="AD61" s="457"/>
      <c r="AE61" s="458"/>
      <c r="AF61" s="459"/>
      <c r="AG61" s="457"/>
      <c r="AH61" s="458"/>
      <c r="AI61" s="459"/>
      <c r="AJ61" s="457"/>
      <c r="AK61" s="458"/>
      <c r="AL61" s="459"/>
      <c r="AM61" s="457"/>
      <c r="AN61" s="458"/>
      <c r="AO61" s="459"/>
      <c r="AP61" s="457"/>
      <c r="AQ61" s="458"/>
      <c r="AR61" s="459"/>
      <c r="AS61" s="457"/>
      <c r="AT61" s="458"/>
      <c r="AU61" s="459"/>
      <c r="AV61" s="457"/>
      <c r="AW61" s="458"/>
      <c r="AX61" s="459"/>
      <c r="AY61" s="457"/>
      <c r="AZ61" s="458"/>
      <c r="BA61" s="459"/>
      <c r="BB61" s="457"/>
      <c r="BC61" s="458"/>
      <c r="BD61" s="459">
        <f aca="true" t="shared" si="30" ref="BD61:BD70">IF(BB61&gt;0,(((BC61-BB61)/BB61)*100),0)</f>
        <v>0</v>
      </c>
    </row>
    <row r="62" spans="1:56" ht="12.75">
      <c r="A62" s="160"/>
      <c r="B62" s="219" t="s">
        <v>96</v>
      </c>
      <c r="C62" s="457">
        <v>2019</v>
      </c>
      <c r="D62" s="458">
        <v>2019</v>
      </c>
      <c r="E62" s="459">
        <f t="shared" si="0"/>
        <v>0</v>
      </c>
      <c r="F62" s="457">
        <v>7460.25</v>
      </c>
      <c r="G62" s="458">
        <v>7460.25</v>
      </c>
      <c r="H62" s="459">
        <f t="shared" si="18"/>
        <v>0</v>
      </c>
      <c r="I62" s="457"/>
      <c r="J62" s="458"/>
      <c r="K62" s="459">
        <f t="shared" si="19"/>
        <v>0</v>
      </c>
      <c r="L62" s="457"/>
      <c r="M62" s="458"/>
      <c r="N62" s="459">
        <f t="shared" si="20"/>
        <v>0</v>
      </c>
      <c r="O62" s="457"/>
      <c r="P62" s="458"/>
      <c r="Q62" s="459">
        <f t="shared" si="15"/>
        <v>0</v>
      </c>
      <c r="R62" s="457"/>
      <c r="S62" s="458"/>
      <c r="T62" s="459">
        <f t="shared" si="16"/>
        <v>0</v>
      </c>
      <c r="U62" s="457"/>
      <c r="V62" s="458"/>
      <c r="W62" s="459">
        <f t="shared" si="25"/>
        <v>0</v>
      </c>
      <c r="X62" s="457"/>
      <c r="Y62" s="458"/>
      <c r="Z62" s="459">
        <f t="shared" si="4"/>
        <v>0</v>
      </c>
      <c r="AA62" s="457"/>
      <c r="AB62" s="458"/>
      <c r="AC62" s="459">
        <f t="shared" si="5"/>
        <v>0</v>
      </c>
      <c r="AD62" s="457"/>
      <c r="AE62" s="458"/>
      <c r="AF62" s="459"/>
      <c r="AG62" s="457"/>
      <c r="AH62" s="458"/>
      <c r="AI62" s="459"/>
      <c r="AJ62" s="457"/>
      <c r="AK62" s="458"/>
      <c r="AL62" s="459"/>
      <c r="AM62" s="457"/>
      <c r="AN62" s="458"/>
      <c r="AO62" s="459"/>
      <c r="AP62" s="457"/>
      <c r="AQ62" s="458"/>
      <c r="AR62" s="459"/>
      <c r="AS62" s="457"/>
      <c r="AT62" s="458"/>
      <c r="AU62" s="459"/>
      <c r="AV62" s="457"/>
      <c r="AW62" s="458"/>
      <c r="AX62" s="459"/>
      <c r="AY62" s="457"/>
      <c r="AZ62" s="458"/>
      <c r="BA62" s="459"/>
      <c r="BB62" s="457"/>
      <c r="BC62" s="458"/>
      <c r="BD62" s="459">
        <f t="shared" si="30"/>
        <v>0</v>
      </c>
    </row>
    <row r="63" spans="1:56" ht="12.75">
      <c r="A63" s="160"/>
      <c r="B63" s="219" t="s">
        <v>97</v>
      </c>
      <c r="C63" s="457">
        <v>2006.1</v>
      </c>
      <c r="D63" s="458">
        <v>2006.1</v>
      </c>
      <c r="E63" s="459">
        <f t="shared" si="0"/>
        <v>0</v>
      </c>
      <c r="F63" s="457">
        <v>7392.6</v>
      </c>
      <c r="G63" s="458">
        <v>7581.6</v>
      </c>
      <c r="H63" s="459">
        <f t="shared" si="18"/>
        <v>2.556610664718773</v>
      </c>
      <c r="I63" s="457"/>
      <c r="J63" s="458"/>
      <c r="K63" s="459">
        <f t="shared" si="19"/>
        <v>0</v>
      </c>
      <c r="L63" s="457"/>
      <c r="M63" s="458"/>
      <c r="N63" s="459">
        <f t="shared" si="20"/>
        <v>0</v>
      </c>
      <c r="O63" s="457"/>
      <c r="P63" s="458"/>
      <c r="Q63" s="459">
        <f t="shared" si="15"/>
        <v>0</v>
      </c>
      <c r="R63" s="457"/>
      <c r="S63" s="458"/>
      <c r="T63" s="459">
        <f t="shared" si="16"/>
        <v>0</v>
      </c>
      <c r="U63" s="457"/>
      <c r="V63" s="458"/>
      <c r="W63" s="459">
        <f t="shared" si="25"/>
        <v>0</v>
      </c>
      <c r="X63" s="457"/>
      <c r="Y63" s="458"/>
      <c r="Z63" s="459">
        <f t="shared" si="4"/>
        <v>0</v>
      </c>
      <c r="AA63" s="457"/>
      <c r="AB63" s="458"/>
      <c r="AC63" s="459">
        <f t="shared" si="5"/>
        <v>0</v>
      </c>
      <c r="AD63" s="457"/>
      <c r="AE63" s="458"/>
      <c r="AF63" s="459">
        <f t="shared" si="6"/>
        <v>0</v>
      </c>
      <c r="AG63" s="457"/>
      <c r="AH63" s="458"/>
      <c r="AI63" s="459">
        <f t="shared" si="7"/>
        <v>0</v>
      </c>
      <c r="AJ63" s="457"/>
      <c r="AK63" s="458"/>
      <c r="AL63" s="459">
        <f t="shared" si="8"/>
        <v>0</v>
      </c>
      <c r="AM63" s="457"/>
      <c r="AN63" s="458"/>
      <c r="AO63" s="459">
        <f t="shared" si="9"/>
        <v>0</v>
      </c>
      <c r="AP63" s="457"/>
      <c r="AQ63" s="458"/>
      <c r="AR63" s="459">
        <f t="shared" si="10"/>
        <v>0</v>
      </c>
      <c r="AS63" s="457"/>
      <c r="AT63" s="458"/>
      <c r="AU63" s="459">
        <f aca="true" t="shared" si="31" ref="AU63:AU70">IF(AS63&gt;0,(((AT63-AS63)/AS63)*100),0)</f>
        <v>0</v>
      </c>
      <c r="AV63" s="457"/>
      <c r="AW63" s="458"/>
      <c r="AX63" s="459">
        <f aca="true" t="shared" si="32" ref="AX63:AX70">IF(AV63&gt;0,(((AW63-AV63)/AV63)*100),0)</f>
        <v>0</v>
      </c>
      <c r="AY63" s="457"/>
      <c r="AZ63" s="458"/>
      <c r="BA63" s="459">
        <f aca="true" t="shared" si="33" ref="BA63:BA70">IF(AY63&gt;0,(((AZ63-AY63)/AY63)*100),0)</f>
        <v>0</v>
      </c>
      <c r="BB63" s="457"/>
      <c r="BC63" s="458"/>
      <c r="BD63" s="459">
        <f t="shared" si="30"/>
        <v>0</v>
      </c>
    </row>
    <row r="64" spans="1:56" ht="12.75">
      <c r="A64" s="160"/>
      <c r="B64" s="219" t="s">
        <v>778</v>
      </c>
      <c r="C64" s="457">
        <v>2049.3</v>
      </c>
      <c r="D64" s="458">
        <v>2049.3</v>
      </c>
      <c r="E64" s="459">
        <f t="shared" si="0"/>
        <v>0</v>
      </c>
      <c r="F64" s="457">
        <v>7454.4</v>
      </c>
      <c r="G64" s="458">
        <v>7454.4</v>
      </c>
      <c r="H64" s="459">
        <f t="shared" si="18"/>
        <v>0</v>
      </c>
      <c r="I64" s="457"/>
      <c r="J64" s="458"/>
      <c r="K64" s="459">
        <f t="shared" si="19"/>
        <v>0</v>
      </c>
      <c r="L64" s="457"/>
      <c r="M64" s="458"/>
      <c r="N64" s="459">
        <f t="shared" si="20"/>
        <v>0</v>
      </c>
      <c r="O64" s="457"/>
      <c r="P64" s="458"/>
      <c r="Q64" s="459">
        <f t="shared" si="15"/>
        <v>0</v>
      </c>
      <c r="R64" s="457"/>
      <c r="S64" s="458"/>
      <c r="T64" s="459">
        <f t="shared" si="16"/>
        <v>0</v>
      </c>
      <c r="U64" s="457"/>
      <c r="V64" s="458"/>
      <c r="W64" s="459">
        <f t="shared" si="25"/>
        <v>0</v>
      </c>
      <c r="X64" s="457"/>
      <c r="Y64" s="458"/>
      <c r="Z64" s="459">
        <f t="shared" si="4"/>
        <v>0</v>
      </c>
      <c r="AA64" s="457"/>
      <c r="AB64" s="458"/>
      <c r="AC64" s="459">
        <f t="shared" si="5"/>
        <v>0</v>
      </c>
      <c r="AD64" s="457"/>
      <c r="AE64" s="458"/>
      <c r="AF64" s="459">
        <f t="shared" si="6"/>
        <v>0</v>
      </c>
      <c r="AG64" s="457"/>
      <c r="AH64" s="458"/>
      <c r="AI64" s="459">
        <f t="shared" si="7"/>
        <v>0</v>
      </c>
      <c r="AJ64" s="457"/>
      <c r="AK64" s="458"/>
      <c r="AL64" s="459">
        <f t="shared" si="8"/>
        <v>0</v>
      </c>
      <c r="AM64" s="457"/>
      <c r="AN64" s="458"/>
      <c r="AO64" s="459">
        <f t="shared" si="9"/>
        <v>0</v>
      </c>
      <c r="AP64" s="457"/>
      <c r="AQ64" s="458"/>
      <c r="AR64" s="459">
        <f t="shared" si="10"/>
        <v>0</v>
      </c>
      <c r="AS64" s="457"/>
      <c r="AT64" s="458"/>
      <c r="AU64" s="459">
        <f t="shared" si="31"/>
        <v>0</v>
      </c>
      <c r="AV64" s="457"/>
      <c r="AW64" s="458"/>
      <c r="AX64" s="459">
        <f t="shared" si="32"/>
        <v>0</v>
      </c>
      <c r="AY64" s="457"/>
      <c r="AZ64" s="458"/>
      <c r="BA64" s="459">
        <f t="shared" si="33"/>
        <v>0</v>
      </c>
      <c r="BB64" s="457"/>
      <c r="BC64" s="458"/>
      <c r="BD64" s="459">
        <f t="shared" si="30"/>
        <v>0</v>
      </c>
    </row>
    <row r="65" spans="1:56" s="465" customFormat="1" ht="20.25" customHeight="1">
      <c r="A65" s="460"/>
      <c r="B65" s="461" t="s">
        <v>426</v>
      </c>
      <c r="C65" s="462">
        <v>2020.35</v>
      </c>
      <c r="D65" s="463">
        <v>2034.75</v>
      </c>
      <c r="E65" s="464">
        <f t="shared" si="0"/>
        <v>0.7127477912242973</v>
      </c>
      <c r="F65" s="462">
        <v>7431</v>
      </c>
      <c r="G65" s="463">
        <v>7460.25</v>
      </c>
      <c r="H65" s="464">
        <f t="shared" si="18"/>
        <v>0.3936213161081954</v>
      </c>
      <c r="I65" s="462"/>
      <c r="J65" s="463"/>
      <c r="K65" s="464">
        <f t="shared" si="19"/>
        <v>0</v>
      </c>
      <c r="L65" s="462"/>
      <c r="M65" s="463"/>
      <c r="N65" s="464">
        <f t="shared" si="20"/>
        <v>0</v>
      </c>
      <c r="O65" s="462"/>
      <c r="P65" s="463"/>
      <c r="Q65" s="464">
        <f t="shared" si="15"/>
        <v>0</v>
      </c>
      <c r="R65" s="462"/>
      <c r="S65" s="463"/>
      <c r="T65" s="464">
        <f t="shared" si="16"/>
        <v>0</v>
      </c>
      <c r="U65" s="462"/>
      <c r="V65" s="463"/>
      <c r="W65" s="464">
        <f t="shared" si="25"/>
        <v>0</v>
      </c>
      <c r="X65" s="462"/>
      <c r="Y65" s="463"/>
      <c r="Z65" s="464">
        <f t="shared" si="4"/>
        <v>0</v>
      </c>
      <c r="AA65" s="462"/>
      <c r="AB65" s="463"/>
      <c r="AC65" s="464">
        <f t="shared" si="5"/>
        <v>0</v>
      </c>
      <c r="AD65" s="462"/>
      <c r="AE65" s="463"/>
      <c r="AF65" s="464">
        <f t="shared" si="6"/>
        <v>0</v>
      </c>
      <c r="AG65" s="462"/>
      <c r="AH65" s="463"/>
      <c r="AI65" s="464">
        <f t="shared" si="7"/>
        <v>0</v>
      </c>
      <c r="AJ65" s="462"/>
      <c r="AK65" s="463"/>
      <c r="AL65" s="464">
        <f t="shared" si="8"/>
        <v>0</v>
      </c>
      <c r="AM65" s="462"/>
      <c r="AN65" s="463"/>
      <c r="AO65" s="464">
        <f t="shared" si="9"/>
        <v>0</v>
      </c>
      <c r="AP65" s="462"/>
      <c r="AQ65" s="463"/>
      <c r="AR65" s="464">
        <f t="shared" si="10"/>
        <v>0</v>
      </c>
      <c r="AS65" s="462"/>
      <c r="AT65" s="463"/>
      <c r="AU65" s="464">
        <f t="shared" si="31"/>
        <v>0</v>
      </c>
      <c r="AV65" s="462"/>
      <c r="AW65" s="463"/>
      <c r="AX65" s="464">
        <f t="shared" si="32"/>
        <v>0</v>
      </c>
      <c r="AY65" s="462"/>
      <c r="AZ65" s="463"/>
      <c r="BA65" s="464">
        <f t="shared" si="33"/>
        <v>0</v>
      </c>
      <c r="BB65" s="462"/>
      <c r="BC65" s="463"/>
      <c r="BD65" s="464">
        <f t="shared" si="30"/>
        <v>0</v>
      </c>
    </row>
    <row r="66" spans="1:56" ht="12.75">
      <c r="A66" s="160"/>
      <c r="B66" s="219" t="s">
        <v>779</v>
      </c>
      <c r="C66" s="457"/>
      <c r="D66" s="458"/>
      <c r="E66" s="459">
        <f t="shared" si="0"/>
        <v>0</v>
      </c>
      <c r="F66" s="457"/>
      <c r="G66" s="458"/>
      <c r="H66" s="459">
        <f t="shared" si="18"/>
        <v>0</v>
      </c>
      <c r="I66" s="457"/>
      <c r="J66" s="458"/>
      <c r="K66" s="459">
        <f t="shared" si="19"/>
        <v>0</v>
      </c>
      <c r="L66" s="457"/>
      <c r="M66" s="458"/>
      <c r="N66" s="459">
        <f t="shared" si="20"/>
        <v>0</v>
      </c>
      <c r="O66" s="457"/>
      <c r="P66" s="458"/>
      <c r="Q66" s="459">
        <f t="shared" si="15"/>
        <v>0</v>
      </c>
      <c r="R66" s="457"/>
      <c r="S66" s="458"/>
      <c r="T66" s="459">
        <f t="shared" si="16"/>
        <v>0</v>
      </c>
      <c r="U66" s="457"/>
      <c r="V66" s="458"/>
      <c r="W66" s="459">
        <f t="shared" si="25"/>
        <v>0</v>
      </c>
      <c r="X66" s="457"/>
      <c r="Y66" s="458"/>
      <c r="Z66" s="459">
        <f t="shared" si="4"/>
        <v>0</v>
      </c>
      <c r="AA66" s="457"/>
      <c r="AB66" s="458"/>
      <c r="AC66" s="459">
        <f t="shared" si="5"/>
        <v>0</v>
      </c>
      <c r="AD66" s="457"/>
      <c r="AE66" s="458"/>
      <c r="AF66" s="459">
        <f t="shared" si="6"/>
        <v>0</v>
      </c>
      <c r="AG66" s="457"/>
      <c r="AH66" s="458"/>
      <c r="AI66" s="459">
        <f t="shared" si="7"/>
        <v>0</v>
      </c>
      <c r="AJ66" s="457"/>
      <c r="AK66" s="458"/>
      <c r="AL66" s="459">
        <f t="shared" si="8"/>
        <v>0</v>
      </c>
      <c r="AM66" s="457"/>
      <c r="AN66" s="458"/>
      <c r="AO66" s="459">
        <f t="shared" si="9"/>
        <v>0</v>
      </c>
      <c r="AP66" s="457"/>
      <c r="AQ66" s="458"/>
      <c r="AR66" s="459">
        <f t="shared" si="10"/>
        <v>0</v>
      </c>
      <c r="AS66" s="457"/>
      <c r="AT66" s="458"/>
      <c r="AU66" s="459">
        <f t="shared" si="31"/>
        <v>0</v>
      </c>
      <c r="AV66" s="457"/>
      <c r="AW66" s="458"/>
      <c r="AX66" s="459">
        <f t="shared" si="32"/>
        <v>0</v>
      </c>
      <c r="AY66" s="457"/>
      <c r="AZ66" s="458"/>
      <c r="BA66" s="459">
        <f t="shared" si="33"/>
        <v>0</v>
      </c>
      <c r="BB66" s="457"/>
      <c r="BC66" s="458"/>
      <c r="BD66" s="459">
        <f t="shared" si="30"/>
        <v>0</v>
      </c>
    </row>
    <row r="67" spans="1:56" ht="12.75">
      <c r="A67" s="160"/>
      <c r="B67" s="219" t="s">
        <v>1015</v>
      </c>
      <c r="C67" s="457"/>
      <c r="D67" s="458"/>
      <c r="E67" s="459">
        <f aca="true" t="shared" si="34" ref="E67:E130">IF(C67&gt;0,(((D67-C67)/C67)*100),0)</f>
        <v>0</v>
      </c>
      <c r="F67" s="457"/>
      <c r="G67" s="458"/>
      <c r="H67" s="459">
        <f t="shared" si="18"/>
        <v>0</v>
      </c>
      <c r="I67" s="457"/>
      <c r="J67" s="458"/>
      <c r="K67" s="459">
        <f t="shared" si="19"/>
        <v>0</v>
      </c>
      <c r="L67" s="457"/>
      <c r="M67" s="458"/>
      <c r="N67" s="459">
        <f t="shared" si="20"/>
        <v>0</v>
      </c>
      <c r="O67" s="457"/>
      <c r="P67" s="458"/>
      <c r="Q67" s="459">
        <f>IF(O67&gt;0,(((P67-O67)/O67)*100),0)</f>
        <v>0</v>
      </c>
      <c r="R67" s="457"/>
      <c r="S67" s="458"/>
      <c r="T67" s="459">
        <f>IF(R67&gt;0,(((S67-R67)/R67)*100),0)</f>
        <v>0</v>
      </c>
      <c r="U67" s="457"/>
      <c r="V67" s="458"/>
      <c r="W67" s="459">
        <f t="shared" si="25"/>
        <v>0</v>
      </c>
      <c r="X67" s="457"/>
      <c r="Y67" s="458"/>
      <c r="Z67" s="459">
        <f aca="true" t="shared" si="35" ref="Z67:Z130">IF(X67&gt;0,(((Y67-X67)/X67)*100),0)</f>
        <v>0</v>
      </c>
      <c r="AA67" s="457"/>
      <c r="AB67" s="458"/>
      <c r="AC67" s="459">
        <f aca="true" t="shared" si="36" ref="AC67:AC130">IF(AA67&gt;0,(((AB67-AA67)/AA67)*100),0)</f>
        <v>0</v>
      </c>
      <c r="AD67" s="457"/>
      <c r="AE67" s="458"/>
      <c r="AF67" s="459">
        <f aca="true" t="shared" si="37" ref="AF67:AF130">IF(AD67&gt;0,(((AE67-AD67)/AD67)*100),0)</f>
        <v>0</v>
      </c>
      <c r="AG67" s="457"/>
      <c r="AH67" s="458"/>
      <c r="AI67" s="459">
        <f aca="true" t="shared" si="38" ref="AI67:AI130">IF(AG67&gt;0,(((AH67-AG67)/AG67)*100),0)</f>
        <v>0</v>
      </c>
      <c r="AJ67" s="457"/>
      <c r="AK67" s="458"/>
      <c r="AL67" s="459">
        <f aca="true" t="shared" si="39" ref="AL67:AL130">IF(AJ67&gt;0,(((AK67-AJ67)/AJ67)*100),0)</f>
        <v>0</v>
      </c>
      <c r="AM67" s="457"/>
      <c r="AN67" s="458"/>
      <c r="AO67" s="459">
        <f aca="true" t="shared" si="40" ref="AO67:AO130">IF(AM67&gt;0,(((AN67-AM67)/AM67)*100),0)</f>
        <v>0</v>
      </c>
      <c r="AP67" s="457"/>
      <c r="AQ67" s="458"/>
      <c r="AR67" s="459">
        <f aca="true" t="shared" si="41" ref="AR67:AR130">IF(AP67&gt;0,(((AQ67-AP67)/AP67)*100),0)</f>
        <v>0</v>
      </c>
      <c r="AS67" s="457"/>
      <c r="AT67" s="458"/>
      <c r="AU67" s="459">
        <f t="shared" si="31"/>
        <v>0</v>
      </c>
      <c r="AV67" s="457"/>
      <c r="AW67" s="458"/>
      <c r="AX67" s="459">
        <f t="shared" si="32"/>
        <v>0</v>
      </c>
      <c r="AY67" s="457"/>
      <c r="AZ67" s="458"/>
      <c r="BA67" s="459">
        <f t="shared" si="33"/>
        <v>0</v>
      </c>
      <c r="BB67" s="457"/>
      <c r="BC67" s="458"/>
      <c r="BD67" s="459">
        <f t="shared" si="30"/>
        <v>0</v>
      </c>
    </row>
    <row r="68" spans="1:56" ht="12.75">
      <c r="A68" s="160"/>
      <c r="B68" s="219" t="s">
        <v>1016</v>
      </c>
      <c r="C68" s="457"/>
      <c r="D68" s="458"/>
      <c r="E68" s="459">
        <f t="shared" si="34"/>
        <v>0</v>
      </c>
      <c r="F68" s="457"/>
      <c r="G68" s="458"/>
      <c r="H68" s="459">
        <f t="shared" si="18"/>
        <v>0</v>
      </c>
      <c r="I68" s="457"/>
      <c r="J68" s="458"/>
      <c r="K68" s="459">
        <f t="shared" si="19"/>
        <v>0</v>
      </c>
      <c r="L68" s="457"/>
      <c r="M68" s="458"/>
      <c r="N68" s="459">
        <f t="shared" si="20"/>
        <v>0</v>
      </c>
      <c r="O68" s="457"/>
      <c r="P68" s="458"/>
      <c r="Q68" s="459">
        <f>IF(O68&gt;0,(((P68-O68)/O68)*100),0)</f>
        <v>0</v>
      </c>
      <c r="R68" s="457"/>
      <c r="S68" s="458"/>
      <c r="T68" s="459">
        <f>IF(R68&gt;0,(((S68-R68)/R68)*100),0)</f>
        <v>0</v>
      </c>
      <c r="U68" s="457"/>
      <c r="V68" s="458"/>
      <c r="W68" s="459">
        <f t="shared" si="25"/>
        <v>0</v>
      </c>
      <c r="X68" s="457"/>
      <c r="Y68" s="458"/>
      <c r="Z68" s="459">
        <f t="shared" si="35"/>
        <v>0</v>
      </c>
      <c r="AA68" s="457"/>
      <c r="AB68" s="458"/>
      <c r="AC68" s="459">
        <f t="shared" si="36"/>
        <v>0</v>
      </c>
      <c r="AD68" s="457"/>
      <c r="AE68" s="458"/>
      <c r="AF68" s="459">
        <f t="shared" si="37"/>
        <v>0</v>
      </c>
      <c r="AG68" s="457"/>
      <c r="AH68" s="458"/>
      <c r="AI68" s="459">
        <f t="shared" si="38"/>
        <v>0</v>
      </c>
      <c r="AJ68" s="457"/>
      <c r="AK68" s="458"/>
      <c r="AL68" s="459">
        <f t="shared" si="39"/>
        <v>0</v>
      </c>
      <c r="AM68" s="457"/>
      <c r="AN68" s="458"/>
      <c r="AO68" s="459">
        <f t="shared" si="40"/>
        <v>0</v>
      </c>
      <c r="AP68" s="457"/>
      <c r="AQ68" s="458"/>
      <c r="AR68" s="459">
        <f t="shared" si="41"/>
        <v>0</v>
      </c>
      <c r="AS68" s="457"/>
      <c r="AT68" s="458"/>
      <c r="AU68" s="459">
        <f t="shared" si="31"/>
        <v>0</v>
      </c>
      <c r="AV68" s="457"/>
      <c r="AW68" s="458"/>
      <c r="AX68" s="459">
        <f t="shared" si="32"/>
        <v>0</v>
      </c>
      <c r="AY68" s="457"/>
      <c r="AZ68" s="458"/>
      <c r="BA68" s="459">
        <f t="shared" si="33"/>
        <v>0</v>
      </c>
      <c r="BB68" s="457"/>
      <c r="BC68" s="458"/>
      <c r="BD68" s="459">
        <f t="shared" si="30"/>
        <v>0</v>
      </c>
    </row>
    <row r="69" spans="1:56" s="465" customFormat="1" ht="21.75" customHeight="1">
      <c r="A69" s="460"/>
      <c r="B69" s="461" t="s">
        <v>978</v>
      </c>
      <c r="C69" s="462"/>
      <c r="D69" s="463"/>
      <c r="E69" s="464">
        <f t="shared" si="34"/>
        <v>0</v>
      </c>
      <c r="F69" s="462"/>
      <c r="G69" s="463"/>
      <c r="H69" s="464">
        <f t="shared" si="18"/>
        <v>0</v>
      </c>
      <c r="I69" s="462"/>
      <c r="J69" s="463"/>
      <c r="K69" s="464">
        <f t="shared" si="19"/>
        <v>0</v>
      </c>
      <c r="L69" s="462"/>
      <c r="M69" s="463"/>
      <c r="N69" s="464">
        <f t="shared" si="20"/>
        <v>0</v>
      </c>
      <c r="O69" s="462"/>
      <c r="P69" s="463"/>
      <c r="Q69" s="464">
        <f>IF(O69&gt;0,(((P69-O69)/O69)*100),0)</f>
        <v>0</v>
      </c>
      <c r="R69" s="462"/>
      <c r="S69" s="463"/>
      <c r="T69" s="464">
        <f>IF(R69&gt;0,(((S69-R69)/R69)*100),0)</f>
        <v>0</v>
      </c>
      <c r="U69" s="462"/>
      <c r="V69" s="463"/>
      <c r="W69" s="464">
        <f t="shared" si="25"/>
        <v>0</v>
      </c>
      <c r="X69" s="462"/>
      <c r="Y69" s="463"/>
      <c r="Z69" s="464">
        <f t="shared" si="35"/>
        <v>0</v>
      </c>
      <c r="AA69" s="462"/>
      <c r="AB69" s="463"/>
      <c r="AC69" s="464">
        <f t="shared" si="36"/>
        <v>0</v>
      </c>
      <c r="AD69" s="462"/>
      <c r="AE69" s="463"/>
      <c r="AF69" s="464">
        <f t="shared" si="37"/>
        <v>0</v>
      </c>
      <c r="AG69" s="462"/>
      <c r="AH69" s="463"/>
      <c r="AI69" s="464">
        <f t="shared" si="38"/>
        <v>0</v>
      </c>
      <c r="AJ69" s="462"/>
      <c r="AK69" s="463"/>
      <c r="AL69" s="464">
        <f t="shared" si="39"/>
        <v>0</v>
      </c>
      <c r="AM69" s="462"/>
      <c r="AN69" s="463"/>
      <c r="AO69" s="464">
        <f t="shared" si="40"/>
        <v>0</v>
      </c>
      <c r="AP69" s="462"/>
      <c r="AQ69" s="463"/>
      <c r="AR69" s="464">
        <f t="shared" si="41"/>
        <v>0</v>
      </c>
      <c r="AS69" s="462"/>
      <c r="AT69" s="463"/>
      <c r="AU69" s="464">
        <f t="shared" si="31"/>
        <v>0</v>
      </c>
      <c r="AV69" s="462"/>
      <c r="AW69" s="463"/>
      <c r="AX69" s="464">
        <f t="shared" si="32"/>
        <v>0</v>
      </c>
      <c r="AY69" s="462"/>
      <c r="AZ69" s="463"/>
      <c r="BA69" s="464">
        <f t="shared" si="33"/>
        <v>0</v>
      </c>
      <c r="BB69" s="462"/>
      <c r="BC69" s="463"/>
      <c r="BD69" s="464">
        <f t="shared" si="30"/>
        <v>0</v>
      </c>
    </row>
    <row r="70" spans="1:56" ht="12.75">
      <c r="A70" s="466"/>
      <c r="B70" s="467" t="s">
        <v>781</v>
      </c>
      <c r="C70" s="468"/>
      <c r="D70" s="469"/>
      <c r="E70" s="471">
        <f t="shared" si="34"/>
        <v>0</v>
      </c>
      <c r="F70" s="468"/>
      <c r="G70" s="469"/>
      <c r="H70" s="471">
        <f t="shared" si="18"/>
        <v>0</v>
      </c>
      <c r="I70" s="468"/>
      <c r="J70" s="469"/>
      <c r="K70" s="471">
        <f t="shared" si="19"/>
        <v>0</v>
      </c>
      <c r="L70" s="468"/>
      <c r="M70" s="469"/>
      <c r="N70" s="471">
        <f t="shared" si="20"/>
        <v>0</v>
      </c>
      <c r="O70" s="468">
        <v>7570.88</v>
      </c>
      <c r="P70" s="469">
        <v>7973.96</v>
      </c>
      <c r="Q70" s="471">
        <f>IF(O70&gt;0,(((P70-O70)/O70)*100),0)</f>
        <v>5.324083858151231</v>
      </c>
      <c r="R70" s="468">
        <v>22438.96</v>
      </c>
      <c r="S70" s="469">
        <v>22818.16</v>
      </c>
      <c r="T70" s="471">
        <f>IF(R70&gt;0,(((S70-R70)/R70)*100),0)</f>
        <v>1.6899178928078695</v>
      </c>
      <c r="U70" s="468">
        <v>19336.14</v>
      </c>
      <c r="V70" s="469">
        <v>21192.2</v>
      </c>
      <c r="W70" s="471">
        <f t="shared" si="25"/>
        <v>9.59891684689913</v>
      </c>
      <c r="X70" s="468">
        <v>50556.01</v>
      </c>
      <c r="Y70" s="469">
        <v>52433.17</v>
      </c>
      <c r="Z70" s="471">
        <f t="shared" si="35"/>
        <v>3.7130303597930223</v>
      </c>
      <c r="AA70" s="468">
        <v>19273.92</v>
      </c>
      <c r="AB70" s="469">
        <v>21150.15</v>
      </c>
      <c r="AC70" s="471">
        <f t="shared" si="36"/>
        <v>9.734553220102622</v>
      </c>
      <c r="AD70" s="468">
        <v>45754.68</v>
      </c>
      <c r="AE70" s="469">
        <v>47630.9</v>
      </c>
      <c r="AF70" s="471">
        <f t="shared" si="37"/>
        <v>4.1006078503882035</v>
      </c>
      <c r="AG70" s="468">
        <v>8219.21</v>
      </c>
      <c r="AH70" s="469">
        <v>8720.72</v>
      </c>
      <c r="AI70" s="471">
        <f t="shared" si="38"/>
        <v>6.1016813051376015</v>
      </c>
      <c r="AJ70" s="468">
        <v>27821.94</v>
      </c>
      <c r="AK70" s="469">
        <v>28322.95</v>
      </c>
      <c r="AL70" s="471">
        <f t="shared" si="39"/>
        <v>1.8007730589599504</v>
      </c>
      <c r="AM70" s="468"/>
      <c r="AN70" s="469"/>
      <c r="AO70" s="471">
        <f t="shared" si="40"/>
        <v>0</v>
      </c>
      <c r="AP70" s="468"/>
      <c r="AQ70" s="469"/>
      <c r="AR70" s="471">
        <f t="shared" si="41"/>
        <v>0</v>
      </c>
      <c r="AS70" s="468"/>
      <c r="AT70" s="469"/>
      <c r="AU70" s="471">
        <f t="shared" si="31"/>
        <v>0</v>
      </c>
      <c r="AV70" s="468"/>
      <c r="AW70" s="469"/>
      <c r="AX70" s="471">
        <f t="shared" si="32"/>
        <v>0</v>
      </c>
      <c r="AY70" s="468">
        <v>16775.16</v>
      </c>
      <c r="AZ70" s="469">
        <v>18401.5</v>
      </c>
      <c r="BA70" s="471">
        <f t="shared" si="33"/>
        <v>9.694929884424353</v>
      </c>
      <c r="BB70" s="468">
        <v>37750.36</v>
      </c>
      <c r="BC70" s="469">
        <v>39376.7</v>
      </c>
      <c r="BD70" s="471">
        <f t="shared" si="30"/>
        <v>4.308144346173113</v>
      </c>
    </row>
    <row r="71" spans="1:56" ht="12.75">
      <c r="A71" s="158" t="s">
        <v>536</v>
      </c>
      <c r="B71" s="219" t="s">
        <v>89</v>
      </c>
      <c r="C71" s="457">
        <v>4891</v>
      </c>
      <c r="D71" s="458">
        <v>5553</v>
      </c>
      <c r="E71" s="459">
        <f t="shared" si="34"/>
        <v>13.535064404007361</v>
      </c>
      <c r="F71" s="457">
        <v>17268</v>
      </c>
      <c r="G71" s="458">
        <v>19849</v>
      </c>
      <c r="H71" s="459">
        <f t="shared" si="18"/>
        <v>14.94672226082928</v>
      </c>
      <c r="I71" s="457">
        <v>5585</v>
      </c>
      <c r="J71" s="458">
        <v>6228</v>
      </c>
      <c r="K71" s="459">
        <f t="shared" si="19"/>
        <v>11.512981199641898</v>
      </c>
      <c r="L71" s="457">
        <v>20021</v>
      </c>
      <c r="M71" s="458">
        <v>21797</v>
      </c>
      <c r="N71" s="459">
        <f t="shared" si="20"/>
        <v>8.870685779931073</v>
      </c>
      <c r="O71" s="457"/>
      <c r="P71" s="458"/>
      <c r="Q71" s="459"/>
      <c r="R71" s="457"/>
      <c r="S71" s="458"/>
      <c r="T71" s="459"/>
      <c r="U71" s="457"/>
      <c r="V71" s="458"/>
      <c r="W71" s="459"/>
      <c r="X71" s="457"/>
      <c r="Y71" s="458"/>
      <c r="Z71" s="459"/>
      <c r="AA71" s="457"/>
      <c r="AB71" s="458"/>
      <c r="AC71" s="459">
        <f t="shared" si="36"/>
        <v>0</v>
      </c>
      <c r="AD71" s="457"/>
      <c r="AE71" s="458"/>
      <c r="AF71" s="459">
        <f t="shared" si="37"/>
        <v>0</v>
      </c>
      <c r="AG71" s="457"/>
      <c r="AH71" s="458"/>
      <c r="AI71" s="459"/>
      <c r="AJ71" s="457"/>
      <c r="AK71" s="458"/>
      <c r="AL71" s="459"/>
      <c r="AM71" s="457"/>
      <c r="AN71" s="458"/>
      <c r="AO71" s="459"/>
      <c r="AP71" s="457"/>
      <c r="AQ71" s="458"/>
      <c r="AR71" s="459"/>
      <c r="AS71" s="457"/>
      <c r="AT71" s="458"/>
      <c r="AU71" s="459"/>
      <c r="AV71" s="457"/>
      <c r="AW71" s="458"/>
      <c r="AX71" s="459"/>
      <c r="AY71" s="457"/>
      <c r="AZ71" s="458"/>
      <c r="BA71" s="459"/>
      <c r="BB71" s="457"/>
      <c r="BC71" s="458"/>
      <c r="BD71" s="459">
        <f aca="true" t="shared" si="42" ref="BD71:BD87">IF(BB71&gt;0,(((BC71-BB71)/BB71)*100),0)</f>
        <v>0</v>
      </c>
    </row>
    <row r="72" spans="1:56" ht="12.75">
      <c r="A72" s="160"/>
      <c r="B72" s="219" t="s">
        <v>90</v>
      </c>
      <c r="C72" s="457">
        <v>4926</v>
      </c>
      <c r="D72" s="458">
        <v>5642</v>
      </c>
      <c r="E72" s="459">
        <f t="shared" si="34"/>
        <v>14.535119772634996</v>
      </c>
      <c r="F72" s="457">
        <v>20272</v>
      </c>
      <c r="G72" s="458">
        <v>23366</v>
      </c>
      <c r="H72" s="459">
        <f t="shared" si="18"/>
        <v>15.26243093922652</v>
      </c>
      <c r="I72" s="457">
        <v>5620</v>
      </c>
      <c r="J72" s="458">
        <v>6444</v>
      </c>
      <c r="K72" s="459">
        <f t="shared" si="19"/>
        <v>14.661921708185051</v>
      </c>
      <c r="L72" s="457">
        <v>20244</v>
      </c>
      <c r="M72" s="458">
        <v>23334</v>
      </c>
      <c r="N72" s="459">
        <f t="shared" si="20"/>
        <v>15.263781861292236</v>
      </c>
      <c r="O72" s="457"/>
      <c r="P72" s="458"/>
      <c r="Q72" s="459"/>
      <c r="R72" s="457"/>
      <c r="S72" s="458"/>
      <c r="T72" s="459"/>
      <c r="U72" s="457"/>
      <c r="V72" s="458"/>
      <c r="W72" s="459"/>
      <c r="X72" s="457"/>
      <c r="Y72" s="458"/>
      <c r="Z72" s="459"/>
      <c r="AA72" s="457"/>
      <c r="AB72" s="458"/>
      <c r="AC72" s="459">
        <f t="shared" si="36"/>
        <v>0</v>
      </c>
      <c r="AD72" s="457"/>
      <c r="AE72" s="458"/>
      <c r="AF72" s="459">
        <f t="shared" si="37"/>
        <v>0</v>
      </c>
      <c r="AG72" s="457"/>
      <c r="AH72" s="458"/>
      <c r="AI72" s="459"/>
      <c r="AJ72" s="457"/>
      <c r="AK72" s="458"/>
      <c r="AL72" s="459"/>
      <c r="AM72" s="457"/>
      <c r="AN72" s="458"/>
      <c r="AO72" s="459"/>
      <c r="AP72" s="457"/>
      <c r="AQ72" s="458"/>
      <c r="AR72" s="459"/>
      <c r="AS72" s="457"/>
      <c r="AT72" s="458"/>
      <c r="AU72" s="459"/>
      <c r="AV72" s="457"/>
      <c r="AW72" s="458"/>
      <c r="AX72" s="459"/>
      <c r="AY72" s="457"/>
      <c r="AZ72" s="458"/>
      <c r="BA72" s="459"/>
      <c r="BB72" s="457"/>
      <c r="BC72" s="458"/>
      <c r="BD72" s="459">
        <f t="shared" si="42"/>
        <v>0</v>
      </c>
    </row>
    <row r="73" spans="1:56" ht="12.75">
      <c r="A73" s="160"/>
      <c r="B73" s="219" t="s">
        <v>91</v>
      </c>
      <c r="C73" s="457">
        <v>3490</v>
      </c>
      <c r="D73" s="458">
        <v>4038</v>
      </c>
      <c r="E73" s="459">
        <f t="shared" si="34"/>
        <v>15.702005730659026</v>
      </c>
      <c r="F73" s="457">
        <v>11172</v>
      </c>
      <c r="G73" s="458">
        <v>12910</v>
      </c>
      <c r="H73" s="459">
        <f t="shared" si="18"/>
        <v>15.556749015395631</v>
      </c>
      <c r="I73" s="457">
        <v>3974</v>
      </c>
      <c r="J73" s="458">
        <v>4596</v>
      </c>
      <c r="K73" s="459">
        <f t="shared" si="19"/>
        <v>15.651736285858078</v>
      </c>
      <c r="L73" s="457">
        <v>13102</v>
      </c>
      <c r="M73" s="458">
        <v>15140</v>
      </c>
      <c r="N73" s="459">
        <f t="shared" si="20"/>
        <v>15.55487711799725</v>
      </c>
      <c r="O73" s="457"/>
      <c r="P73" s="458"/>
      <c r="Q73" s="459"/>
      <c r="R73" s="457"/>
      <c r="S73" s="458"/>
      <c r="T73" s="459"/>
      <c r="U73" s="457"/>
      <c r="V73" s="458"/>
      <c r="W73" s="459"/>
      <c r="X73" s="457"/>
      <c r="Y73" s="458"/>
      <c r="Z73" s="459"/>
      <c r="AA73" s="457"/>
      <c r="AB73" s="458"/>
      <c r="AC73" s="459">
        <f t="shared" si="36"/>
        <v>0</v>
      </c>
      <c r="AD73" s="457"/>
      <c r="AE73" s="458"/>
      <c r="AF73" s="459">
        <f t="shared" si="37"/>
        <v>0</v>
      </c>
      <c r="AG73" s="457"/>
      <c r="AH73" s="458"/>
      <c r="AI73" s="459"/>
      <c r="AJ73" s="457"/>
      <c r="AK73" s="458"/>
      <c r="AL73" s="459"/>
      <c r="AM73" s="457"/>
      <c r="AN73" s="458"/>
      <c r="AO73" s="459"/>
      <c r="AP73" s="457"/>
      <c r="AQ73" s="458"/>
      <c r="AR73" s="459"/>
      <c r="AS73" s="457"/>
      <c r="AT73" s="458"/>
      <c r="AU73" s="459"/>
      <c r="AV73" s="457"/>
      <c r="AW73" s="458"/>
      <c r="AX73" s="459"/>
      <c r="AY73" s="457"/>
      <c r="AZ73" s="458"/>
      <c r="BA73" s="459"/>
      <c r="BB73" s="457"/>
      <c r="BC73" s="458"/>
      <c r="BD73" s="459">
        <f t="shared" si="42"/>
        <v>0</v>
      </c>
    </row>
    <row r="74" spans="1:56" ht="12.75">
      <c r="A74" s="160"/>
      <c r="B74" s="219" t="s">
        <v>92</v>
      </c>
      <c r="C74" s="457">
        <v>3188</v>
      </c>
      <c r="D74" s="458">
        <v>3514</v>
      </c>
      <c r="E74" s="459">
        <f t="shared" si="34"/>
        <v>10.225846925972396</v>
      </c>
      <c r="F74" s="457">
        <v>10870</v>
      </c>
      <c r="G74" s="458">
        <v>12118</v>
      </c>
      <c r="H74" s="459">
        <f t="shared" si="18"/>
        <v>11.481140754369825</v>
      </c>
      <c r="I74" s="457">
        <v>3672</v>
      </c>
      <c r="J74" s="458">
        <v>4056</v>
      </c>
      <c r="K74" s="459">
        <f t="shared" si="19"/>
        <v>10.457516339869281</v>
      </c>
      <c r="L74" s="457">
        <v>12800</v>
      </c>
      <c r="M74" s="458">
        <v>14280</v>
      </c>
      <c r="N74" s="459">
        <f t="shared" si="20"/>
        <v>11.5625</v>
      </c>
      <c r="O74" s="457"/>
      <c r="P74" s="458"/>
      <c r="Q74" s="459"/>
      <c r="R74" s="457"/>
      <c r="S74" s="458"/>
      <c r="T74" s="459"/>
      <c r="U74" s="457"/>
      <c r="V74" s="458"/>
      <c r="W74" s="459"/>
      <c r="X74" s="457"/>
      <c r="Y74" s="458"/>
      <c r="Z74" s="459"/>
      <c r="AA74" s="457"/>
      <c r="AB74" s="458"/>
      <c r="AC74" s="459">
        <f t="shared" si="36"/>
        <v>0</v>
      </c>
      <c r="AD74" s="457"/>
      <c r="AE74" s="458"/>
      <c r="AF74" s="459">
        <f t="shared" si="37"/>
        <v>0</v>
      </c>
      <c r="AG74" s="457"/>
      <c r="AH74" s="458"/>
      <c r="AI74" s="459"/>
      <c r="AJ74" s="457"/>
      <c r="AK74" s="458"/>
      <c r="AL74" s="459"/>
      <c r="AM74" s="457"/>
      <c r="AN74" s="458"/>
      <c r="AO74" s="459"/>
      <c r="AP74" s="457"/>
      <c r="AQ74" s="458"/>
      <c r="AR74" s="459"/>
      <c r="AS74" s="457"/>
      <c r="AT74" s="458"/>
      <c r="AU74" s="459"/>
      <c r="AV74" s="457"/>
      <c r="AW74" s="458"/>
      <c r="AX74" s="459"/>
      <c r="AY74" s="457"/>
      <c r="AZ74" s="458"/>
      <c r="BA74" s="459"/>
      <c r="BB74" s="457"/>
      <c r="BC74" s="458"/>
      <c r="BD74" s="459">
        <f t="shared" si="42"/>
        <v>0</v>
      </c>
    </row>
    <row r="75" spans="1:56" ht="12.75">
      <c r="A75" s="160"/>
      <c r="B75" s="219" t="s">
        <v>93</v>
      </c>
      <c r="C75" s="457">
        <v>3206</v>
      </c>
      <c r="D75" s="458">
        <v>3546</v>
      </c>
      <c r="E75" s="459">
        <f t="shared" si="34"/>
        <v>10.605115408608858</v>
      </c>
      <c r="F75" s="457">
        <v>10888</v>
      </c>
      <c r="G75" s="458">
        <v>12150</v>
      </c>
      <c r="H75" s="459">
        <f t="shared" si="18"/>
        <v>11.590742101396033</v>
      </c>
      <c r="I75" s="457">
        <v>3690</v>
      </c>
      <c r="J75" s="458">
        <v>3906</v>
      </c>
      <c r="K75" s="459">
        <f t="shared" si="19"/>
        <v>5.853658536585367</v>
      </c>
      <c r="L75" s="457">
        <v>12818</v>
      </c>
      <c r="M75" s="458">
        <v>13582</v>
      </c>
      <c r="N75" s="459">
        <f t="shared" si="20"/>
        <v>5.960368232173506</v>
      </c>
      <c r="O75" s="457"/>
      <c r="P75" s="458"/>
      <c r="Q75" s="459"/>
      <c r="R75" s="457"/>
      <c r="S75" s="458"/>
      <c r="T75" s="459"/>
      <c r="U75" s="457"/>
      <c r="V75" s="458"/>
      <c r="W75" s="459"/>
      <c r="X75" s="457"/>
      <c r="Y75" s="458"/>
      <c r="Z75" s="459"/>
      <c r="AA75" s="457"/>
      <c r="AB75" s="458"/>
      <c r="AC75" s="459">
        <f t="shared" si="36"/>
        <v>0</v>
      </c>
      <c r="AD75" s="457"/>
      <c r="AE75" s="458"/>
      <c r="AF75" s="459">
        <f t="shared" si="37"/>
        <v>0</v>
      </c>
      <c r="AG75" s="457"/>
      <c r="AH75" s="458"/>
      <c r="AI75" s="459"/>
      <c r="AJ75" s="457"/>
      <c r="AK75" s="458"/>
      <c r="AL75" s="459"/>
      <c r="AM75" s="457"/>
      <c r="AN75" s="458"/>
      <c r="AO75" s="459"/>
      <c r="AP75" s="457"/>
      <c r="AQ75" s="458"/>
      <c r="AR75" s="459"/>
      <c r="AS75" s="457"/>
      <c r="AT75" s="458"/>
      <c r="AU75" s="459"/>
      <c r="AV75" s="457"/>
      <c r="AW75" s="458"/>
      <c r="AX75" s="459"/>
      <c r="AY75" s="457"/>
      <c r="AZ75" s="458"/>
      <c r="BA75" s="459"/>
      <c r="BB75" s="457"/>
      <c r="BC75" s="458"/>
      <c r="BD75" s="459">
        <f t="shared" si="42"/>
        <v>0</v>
      </c>
    </row>
    <row r="76" spans="1:56" ht="12.75">
      <c r="A76" s="160"/>
      <c r="B76" s="219" t="s">
        <v>94</v>
      </c>
      <c r="C76" s="457">
        <v>2458</v>
      </c>
      <c r="D76" s="458">
        <v>2821</v>
      </c>
      <c r="E76" s="459">
        <f t="shared" si="34"/>
        <v>14.768104149715217</v>
      </c>
      <c r="F76" s="457">
        <v>8703</v>
      </c>
      <c r="G76" s="458">
        <v>9931</v>
      </c>
      <c r="H76" s="459">
        <f t="shared" si="18"/>
        <v>14.11007698494772</v>
      </c>
      <c r="I76" s="457"/>
      <c r="J76" s="458">
        <v>4194</v>
      </c>
      <c r="K76" s="459">
        <f t="shared" si="19"/>
        <v>0</v>
      </c>
      <c r="L76" s="457"/>
      <c r="M76" s="458">
        <v>14754</v>
      </c>
      <c r="N76" s="459">
        <f t="shared" si="20"/>
        <v>0</v>
      </c>
      <c r="O76" s="457"/>
      <c r="P76" s="458"/>
      <c r="Q76" s="459"/>
      <c r="R76" s="457"/>
      <c r="S76" s="458"/>
      <c r="T76" s="459"/>
      <c r="U76" s="457"/>
      <c r="V76" s="458"/>
      <c r="W76" s="459"/>
      <c r="X76" s="457"/>
      <c r="Y76" s="458"/>
      <c r="Z76" s="459"/>
      <c r="AA76" s="457"/>
      <c r="AB76" s="458"/>
      <c r="AC76" s="459">
        <f t="shared" si="36"/>
        <v>0</v>
      </c>
      <c r="AD76" s="457"/>
      <c r="AE76" s="458"/>
      <c r="AF76" s="459">
        <f t="shared" si="37"/>
        <v>0</v>
      </c>
      <c r="AG76" s="457"/>
      <c r="AH76" s="458"/>
      <c r="AI76" s="459"/>
      <c r="AJ76" s="457"/>
      <c r="AK76" s="458"/>
      <c r="AL76" s="459"/>
      <c r="AM76" s="457"/>
      <c r="AN76" s="458"/>
      <c r="AO76" s="459"/>
      <c r="AP76" s="457"/>
      <c r="AQ76" s="458"/>
      <c r="AR76" s="459"/>
      <c r="AS76" s="457"/>
      <c r="AT76" s="458"/>
      <c r="AU76" s="459"/>
      <c r="AV76" s="457"/>
      <c r="AW76" s="458"/>
      <c r="AX76" s="459"/>
      <c r="AY76" s="457"/>
      <c r="AZ76" s="458"/>
      <c r="BA76" s="459"/>
      <c r="BB76" s="457"/>
      <c r="BC76" s="458"/>
      <c r="BD76" s="459">
        <f t="shared" si="42"/>
        <v>0</v>
      </c>
    </row>
    <row r="77" spans="1:56" s="465" customFormat="1" ht="19.5" customHeight="1">
      <c r="A77" s="460"/>
      <c r="B77" s="461" t="s">
        <v>821</v>
      </c>
      <c r="C77" s="462">
        <v>3236</v>
      </c>
      <c r="D77" s="463">
        <v>3601</v>
      </c>
      <c r="E77" s="464">
        <f t="shared" si="34"/>
        <v>11.279357231149568</v>
      </c>
      <c r="F77" s="462">
        <v>10918</v>
      </c>
      <c r="G77" s="463">
        <v>12205</v>
      </c>
      <c r="H77" s="464">
        <f t="shared" si="18"/>
        <v>11.787873236856568</v>
      </c>
      <c r="I77" s="462">
        <v>3748</v>
      </c>
      <c r="J77" s="463">
        <v>4194</v>
      </c>
      <c r="K77" s="464">
        <f t="shared" si="19"/>
        <v>11.899679829242263</v>
      </c>
      <c r="L77" s="462">
        <v>12876</v>
      </c>
      <c r="M77" s="463">
        <v>14386</v>
      </c>
      <c r="N77" s="464">
        <f t="shared" si="20"/>
        <v>11.727244485865175</v>
      </c>
      <c r="O77" s="462"/>
      <c r="P77" s="463"/>
      <c r="Q77" s="464"/>
      <c r="R77" s="462"/>
      <c r="S77" s="463"/>
      <c r="T77" s="464"/>
      <c r="U77" s="462"/>
      <c r="V77" s="463"/>
      <c r="W77" s="464"/>
      <c r="X77" s="462"/>
      <c r="Y77" s="463"/>
      <c r="Z77" s="464"/>
      <c r="AA77" s="462"/>
      <c r="AB77" s="463"/>
      <c r="AC77" s="464">
        <f t="shared" si="36"/>
        <v>0</v>
      </c>
      <c r="AD77" s="462"/>
      <c r="AE77" s="463"/>
      <c r="AF77" s="464">
        <f t="shared" si="37"/>
        <v>0</v>
      </c>
      <c r="AG77" s="462"/>
      <c r="AH77" s="463"/>
      <c r="AI77" s="464"/>
      <c r="AJ77" s="462"/>
      <c r="AK77" s="463"/>
      <c r="AL77" s="464"/>
      <c r="AM77" s="462"/>
      <c r="AN77" s="463"/>
      <c r="AO77" s="464"/>
      <c r="AP77" s="462"/>
      <c r="AQ77" s="463"/>
      <c r="AR77" s="464"/>
      <c r="AS77" s="462"/>
      <c r="AT77" s="463"/>
      <c r="AU77" s="464"/>
      <c r="AV77" s="462"/>
      <c r="AW77" s="463"/>
      <c r="AX77" s="464"/>
      <c r="AY77" s="462"/>
      <c r="AZ77" s="463"/>
      <c r="BA77" s="464"/>
      <c r="BB77" s="462"/>
      <c r="BC77" s="463"/>
      <c r="BD77" s="464">
        <f t="shared" si="42"/>
        <v>0</v>
      </c>
    </row>
    <row r="78" spans="1:56" ht="12.75">
      <c r="A78" s="160"/>
      <c r="B78" s="219" t="s">
        <v>95</v>
      </c>
      <c r="C78" s="457">
        <v>1762</v>
      </c>
      <c r="D78" s="458">
        <v>2088</v>
      </c>
      <c r="E78" s="459">
        <f t="shared" si="34"/>
        <v>18.501702610669692</v>
      </c>
      <c r="F78" s="457">
        <v>6570</v>
      </c>
      <c r="G78" s="458">
        <v>7704</v>
      </c>
      <c r="H78" s="459">
        <f t="shared" si="18"/>
        <v>17.26027397260274</v>
      </c>
      <c r="I78" s="457"/>
      <c r="J78" s="458"/>
      <c r="K78" s="459">
        <f t="shared" si="19"/>
        <v>0</v>
      </c>
      <c r="L78" s="457"/>
      <c r="M78" s="458"/>
      <c r="N78" s="459">
        <f t="shared" si="20"/>
        <v>0</v>
      </c>
      <c r="O78" s="457"/>
      <c r="P78" s="458"/>
      <c r="Q78" s="459">
        <f aca="true" t="shared" si="43" ref="Q78:Q87">IF(O78&gt;0,(((P78-O78)/O78)*100),0)</f>
        <v>0</v>
      </c>
      <c r="R78" s="457"/>
      <c r="S78" s="458"/>
      <c r="T78" s="459">
        <f aca="true" t="shared" si="44" ref="T78:T87">IF(R78&gt;0,(((S78-R78)/R78)*100),0)</f>
        <v>0</v>
      </c>
      <c r="U78" s="457"/>
      <c r="V78" s="458"/>
      <c r="W78" s="459">
        <f t="shared" si="25"/>
        <v>0</v>
      </c>
      <c r="X78" s="457"/>
      <c r="Y78" s="458"/>
      <c r="Z78" s="459">
        <f t="shared" si="35"/>
        <v>0</v>
      </c>
      <c r="AA78" s="457"/>
      <c r="AB78" s="458"/>
      <c r="AC78" s="459">
        <f t="shared" si="36"/>
        <v>0</v>
      </c>
      <c r="AD78" s="457"/>
      <c r="AE78" s="458"/>
      <c r="AF78" s="459">
        <f t="shared" si="37"/>
        <v>0</v>
      </c>
      <c r="AG78" s="457"/>
      <c r="AH78" s="458"/>
      <c r="AI78" s="459"/>
      <c r="AJ78" s="457"/>
      <c r="AK78" s="458"/>
      <c r="AL78" s="459"/>
      <c r="AM78" s="457"/>
      <c r="AN78" s="458"/>
      <c r="AO78" s="459"/>
      <c r="AP78" s="457"/>
      <c r="AQ78" s="458"/>
      <c r="AR78" s="459"/>
      <c r="AS78" s="457"/>
      <c r="AT78" s="458"/>
      <c r="AU78" s="459"/>
      <c r="AV78" s="457"/>
      <c r="AW78" s="458"/>
      <c r="AX78" s="459"/>
      <c r="AY78" s="457"/>
      <c r="AZ78" s="458"/>
      <c r="BA78" s="459"/>
      <c r="BB78" s="457"/>
      <c r="BC78" s="458"/>
      <c r="BD78" s="459">
        <f t="shared" si="42"/>
        <v>0</v>
      </c>
    </row>
    <row r="79" spans="1:56" ht="12.75">
      <c r="A79" s="160"/>
      <c r="B79" s="219" t="s">
        <v>96</v>
      </c>
      <c r="C79" s="457">
        <v>2088</v>
      </c>
      <c r="D79" s="458">
        <v>2234</v>
      </c>
      <c r="E79" s="459">
        <f t="shared" si="34"/>
        <v>6.992337164750957</v>
      </c>
      <c r="F79" s="457">
        <v>6896</v>
      </c>
      <c r="G79" s="458">
        <v>7474</v>
      </c>
      <c r="H79" s="459">
        <f t="shared" si="18"/>
        <v>8.381670533642692</v>
      </c>
      <c r="I79" s="457"/>
      <c r="J79" s="458"/>
      <c r="K79" s="459">
        <f t="shared" si="19"/>
        <v>0</v>
      </c>
      <c r="L79" s="457"/>
      <c r="M79" s="458"/>
      <c r="N79" s="459">
        <f t="shared" si="20"/>
        <v>0</v>
      </c>
      <c r="O79" s="457"/>
      <c r="P79" s="458"/>
      <c r="Q79" s="459">
        <f t="shared" si="43"/>
        <v>0</v>
      </c>
      <c r="R79" s="457"/>
      <c r="S79" s="458"/>
      <c r="T79" s="459">
        <f t="shared" si="44"/>
        <v>0</v>
      </c>
      <c r="U79" s="457"/>
      <c r="V79" s="458"/>
      <c r="W79" s="459">
        <f t="shared" si="25"/>
        <v>0</v>
      </c>
      <c r="X79" s="457"/>
      <c r="Y79" s="458"/>
      <c r="Z79" s="459">
        <f t="shared" si="35"/>
        <v>0</v>
      </c>
      <c r="AA79" s="457"/>
      <c r="AB79" s="458"/>
      <c r="AC79" s="459">
        <f t="shared" si="36"/>
        <v>0</v>
      </c>
      <c r="AD79" s="457"/>
      <c r="AE79" s="458"/>
      <c r="AF79" s="459">
        <f t="shared" si="37"/>
        <v>0</v>
      </c>
      <c r="AG79" s="457"/>
      <c r="AH79" s="458"/>
      <c r="AI79" s="459">
        <f t="shared" si="38"/>
        <v>0</v>
      </c>
      <c r="AJ79" s="457"/>
      <c r="AK79" s="458"/>
      <c r="AL79" s="459">
        <f t="shared" si="39"/>
        <v>0</v>
      </c>
      <c r="AM79" s="457"/>
      <c r="AN79" s="458"/>
      <c r="AO79" s="459">
        <f t="shared" si="40"/>
        <v>0</v>
      </c>
      <c r="AP79" s="457"/>
      <c r="AQ79" s="458"/>
      <c r="AR79" s="459">
        <f t="shared" si="41"/>
        <v>0</v>
      </c>
      <c r="AS79" s="457"/>
      <c r="AT79" s="458"/>
      <c r="AU79" s="459">
        <f aca="true" t="shared" si="45" ref="AU79:AU87">IF(AS79&gt;0,(((AT79-AS79)/AS79)*100),0)</f>
        <v>0</v>
      </c>
      <c r="AV79" s="457"/>
      <c r="AW79" s="458"/>
      <c r="AX79" s="459">
        <f aca="true" t="shared" si="46" ref="AX79:AX87">IF(AV79&gt;0,(((AW79-AV79)/AV79)*100),0)</f>
        <v>0</v>
      </c>
      <c r="AY79" s="457"/>
      <c r="AZ79" s="458"/>
      <c r="BA79" s="459">
        <f aca="true" t="shared" si="47" ref="BA79:BA87">IF(AY79&gt;0,(((AZ79-AY79)/AY79)*100),0)</f>
        <v>0</v>
      </c>
      <c r="BB79" s="457"/>
      <c r="BC79" s="458"/>
      <c r="BD79" s="459">
        <f t="shared" si="42"/>
        <v>0</v>
      </c>
    </row>
    <row r="80" spans="1:56" ht="12.75">
      <c r="A80" s="160"/>
      <c r="B80" s="219" t="s">
        <v>97</v>
      </c>
      <c r="C80" s="457">
        <v>1840</v>
      </c>
      <c r="D80" s="458">
        <v>2092</v>
      </c>
      <c r="E80" s="459">
        <f t="shared" si="34"/>
        <v>13.695652173913043</v>
      </c>
      <c r="F80" s="457">
        <v>6648</v>
      </c>
      <c r="G80" s="458">
        <v>7708</v>
      </c>
      <c r="H80" s="459">
        <f t="shared" si="18"/>
        <v>15.944645006016847</v>
      </c>
      <c r="I80" s="457"/>
      <c r="J80" s="458"/>
      <c r="K80" s="459">
        <f t="shared" si="19"/>
        <v>0</v>
      </c>
      <c r="L80" s="457"/>
      <c r="M80" s="458"/>
      <c r="N80" s="459">
        <f t="shared" si="20"/>
        <v>0</v>
      </c>
      <c r="O80" s="457"/>
      <c r="P80" s="458"/>
      <c r="Q80" s="459">
        <f t="shared" si="43"/>
        <v>0</v>
      </c>
      <c r="R80" s="457"/>
      <c r="S80" s="458"/>
      <c r="T80" s="459">
        <f t="shared" si="44"/>
        <v>0</v>
      </c>
      <c r="U80" s="457"/>
      <c r="V80" s="458"/>
      <c r="W80" s="459">
        <f t="shared" si="25"/>
        <v>0</v>
      </c>
      <c r="X80" s="457"/>
      <c r="Y80" s="458"/>
      <c r="Z80" s="459">
        <f t="shared" si="35"/>
        <v>0</v>
      </c>
      <c r="AA80" s="457"/>
      <c r="AB80" s="458"/>
      <c r="AC80" s="459">
        <f t="shared" si="36"/>
        <v>0</v>
      </c>
      <c r="AD80" s="457"/>
      <c r="AE80" s="458"/>
      <c r="AF80" s="459">
        <f t="shared" si="37"/>
        <v>0</v>
      </c>
      <c r="AG80" s="457"/>
      <c r="AH80" s="458"/>
      <c r="AI80" s="459">
        <f t="shared" si="38"/>
        <v>0</v>
      </c>
      <c r="AJ80" s="457"/>
      <c r="AK80" s="458"/>
      <c r="AL80" s="459">
        <f t="shared" si="39"/>
        <v>0</v>
      </c>
      <c r="AM80" s="457"/>
      <c r="AN80" s="458"/>
      <c r="AO80" s="459">
        <f t="shared" si="40"/>
        <v>0</v>
      </c>
      <c r="AP80" s="457"/>
      <c r="AQ80" s="458"/>
      <c r="AR80" s="459">
        <f t="shared" si="41"/>
        <v>0</v>
      </c>
      <c r="AS80" s="457"/>
      <c r="AT80" s="458"/>
      <c r="AU80" s="459">
        <f t="shared" si="45"/>
        <v>0</v>
      </c>
      <c r="AV80" s="457"/>
      <c r="AW80" s="458"/>
      <c r="AX80" s="459">
        <f t="shared" si="46"/>
        <v>0</v>
      </c>
      <c r="AY80" s="457"/>
      <c r="AZ80" s="458"/>
      <c r="BA80" s="459">
        <f t="shared" si="47"/>
        <v>0</v>
      </c>
      <c r="BB80" s="457"/>
      <c r="BC80" s="458"/>
      <c r="BD80" s="459">
        <f t="shared" si="42"/>
        <v>0</v>
      </c>
    </row>
    <row r="81" spans="1:56" ht="12.75">
      <c r="A81" s="160"/>
      <c r="B81" s="219" t="s">
        <v>778</v>
      </c>
      <c r="C81" s="457">
        <v>1768</v>
      </c>
      <c r="D81" s="458">
        <v>1950</v>
      </c>
      <c r="E81" s="459">
        <f t="shared" si="34"/>
        <v>10.294117647058822</v>
      </c>
      <c r="F81" s="457">
        <v>6576</v>
      </c>
      <c r="G81" s="458">
        <v>7190</v>
      </c>
      <c r="H81" s="459">
        <f t="shared" si="18"/>
        <v>9.33698296836983</v>
      </c>
      <c r="I81" s="457"/>
      <c r="J81" s="458"/>
      <c r="K81" s="459">
        <f t="shared" si="19"/>
        <v>0</v>
      </c>
      <c r="L81" s="457"/>
      <c r="M81" s="458"/>
      <c r="N81" s="459">
        <f t="shared" si="20"/>
        <v>0</v>
      </c>
      <c r="O81" s="457"/>
      <c r="P81" s="458"/>
      <c r="Q81" s="459">
        <f t="shared" si="43"/>
        <v>0</v>
      </c>
      <c r="R81" s="457"/>
      <c r="S81" s="458"/>
      <c r="T81" s="459">
        <f t="shared" si="44"/>
        <v>0</v>
      </c>
      <c r="U81" s="457"/>
      <c r="V81" s="458"/>
      <c r="W81" s="459">
        <f t="shared" si="25"/>
        <v>0</v>
      </c>
      <c r="X81" s="457"/>
      <c r="Y81" s="458"/>
      <c r="Z81" s="459">
        <f t="shared" si="35"/>
        <v>0</v>
      </c>
      <c r="AA81" s="457"/>
      <c r="AB81" s="458"/>
      <c r="AC81" s="459">
        <f t="shared" si="36"/>
        <v>0</v>
      </c>
      <c r="AD81" s="457"/>
      <c r="AE81" s="458"/>
      <c r="AF81" s="459">
        <f t="shared" si="37"/>
        <v>0</v>
      </c>
      <c r="AG81" s="457"/>
      <c r="AH81" s="458"/>
      <c r="AI81" s="459">
        <f t="shared" si="38"/>
        <v>0</v>
      </c>
      <c r="AJ81" s="457"/>
      <c r="AK81" s="458"/>
      <c r="AL81" s="459">
        <f t="shared" si="39"/>
        <v>0</v>
      </c>
      <c r="AM81" s="457"/>
      <c r="AN81" s="458"/>
      <c r="AO81" s="459">
        <f t="shared" si="40"/>
        <v>0</v>
      </c>
      <c r="AP81" s="457"/>
      <c r="AQ81" s="458"/>
      <c r="AR81" s="459">
        <f t="shared" si="41"/>
        <v>0</v>
      </c>
      <c r="AS81" s="457"/>
      <c r="AT81" s="458"/>
      <c r="AU81" s="459">
        <f t="shared" si="45"/>
        <v>0</v>
      </c>
      <c r="AV81" s="457"/>
      <c r="AW81" s="458"/>
      <c r="AX81" s="459">
        <f t="shared" si="46"/>
        <v>0</v>
      </c>
      <c r="AY81" s="457"/>
      <c r="AZ81" s="458"/>
      <c r="BA81" s="459">
        <f t="shared" si="47"/>
        <v>0</v>
      </c>
      <c r="BB81" s="457"/>
      <c r="BC81" s="458"/>
      <c r="BD81" s="459">
        <f t="shared" si="42"/>
        <v>0</v>
      </c>
    </row>
    <row r="82" spans="1:56" s="465" customFormat="1" ht="20.25" customHeight="1">
      <c r="A82" s="460"/>
      <c r="B82" s="461" t="s">
        <v>426</v>
      </c>
      <c r="C82" s="462">
        <v>1832</v>
      </c>
      <c r="D82" s="463">
        <v>2089</v>
      </c>
      <c r="E82" s="464">
        <f t="shared" si="34"/>
        <v>14.028384279475983</v>
      </c>
      <c r="F82" s="462">
        <v>6640</v>
      </c>
      <c r="G82" s="463">
        <v>7362</v>
      </c>
      <c r="H82" s="464">
        <f t="shared" si="18"/>
        <v>10.873493975903614</v>
      </c>
      <c r="I82" s="462"/>
      <c r="J82" s="463"/>
      <c r="K82" s="464">
        <f t="shared" si="19"/>
        <v>0</v>
      </c>
      <c r="L82" s="462"/>
      <c r="M82" s="463"/>
      <c r="N82" s="464">
        <f t="shared" si="20"/>
        <v>0</v>
      </c>
      <c r="O82" s="462"/>
      <c r="P82" s="463"/>
      <c r="Q82" s="464">
        <f t="shared" si="43"/>
        <v>0</v>
      </c>
      <c r="R82" s="462"/>
      <c r="S82" s="463"/>
      <c r="T82" s="464">
        <f t="shared" si="44"/>
        <v>0</v>
      </c>
      <c r="U82" s="462"/>
      <c r="V82" s="463"/>
      <c r="W82" s="464">
        <f t="shared" si="25"/>
        <v>0</v>
      </c>
      <c r="X82" s="462"/>
      <c r="Y82" s="463"/>
      <c r="Z82" s="464">
        <f t="shared" si="35"/>
        <v>0</v>
      </c>
      <c r="AA82" s="462"/>
      <c r="AB82" s="463"/>
      <c r="AC82" s="464">
        <f t="shared" si="36"/>
        <v>0</v>
      </c>
      <c r="AD82" s="462"/>
      <c r="AE82" s="463"/>
      <c r="AF82" s="464">
        <f t="shared" si="37"/>
        <v>0</v>
      </c>
      <c r="AG82" s="462"/>
      <c r="AH82" s="463"/>
      <c r="AI82" s="464">
        <f t="shared" si="38"/>
        <v>0</v>
      </c>
      <c r="AJ82" s="462"/>
      <c r="AK82" s="463"/>
      <c r="AL82" s="464">
        <f t="shared" si="39"/>
        <v>0</v>
      </c>
      <c r="AM82" s="462"/>
      <c r="AN82" s="463"/>
      <c r="AO82" s="464">
        <f t="shared" si="40"/>
        <v>0</v>
      </c>
      <c r="AP82" s="462"/>
      <c r="AQ82" s="463"/>
      <c r="AR82" s="464">
        <f t="shared" si="41"/>
        <v>0</v>
      </c>
      <c r="AS82" s="462"/>
      <c r="AT82" s="463"/>
      <c r="AU82" s="464">
        <f t="shared" si="45"/>
        <v>0</v>
      </c>
      <c r="AV82" s="462"/>
      <c r="AW82" s="463"/>
      <c r="AX82" s="464">
        <f t="shared" si="46"/>
        <v>0</v>
      </c>
      <c r="AY82" s="462"/>
      <c r="AZ82" s="463"/>
      <c r="BA82" s="464">
        <f t="shared" si="47"/>
        <v>0</v>
      </c>
      <c r="BB82" s="462"/>
      <c r="BC82" s="463"/>
      <c r="BD82" s="464">
        <f t="shared" si="42"/>
        <v>0</v>
      </c>
    </row>
    <row r="83" spans="1:56" ht="12.75">
      <c r="A83" s="160"/>
      <c r="B83" s="219" t="s">
        <v>779</v>
      </c>
      <c r="C83" s="457">
        <v>1362</v>
      </c>
      <c r="D83" s="458">
        <v>1542</v>
      </c>
      <c r="E83" s="459">
        <f t="shared" si="34"/>
        <v>13.215859030837004</v>
      </c>
      <c r="F83" s="457">
        <v>2478</v>
      </c>
      <c r="G83" s="458">
        <v>2838</v>
      </c>
      <c r="H83" s="459">
        <f t="shared" si="18"/>
        <v>14.527845036319611</v>
      </c>
      <c r="I83" s="457"/>
      <c r="J83" s="458"/>
      <c r="K83" s="459">
        <f t="shared" si="19"/>
        <v>0</v>
      </c>
      <c r="L83" s="457"/>
      <c r="M83" s="458"/>
      <c r="N83" s="459">
        <f t="shared" si="20"/>
        <v>0</v>
      </c>
      <c r="O83" s="457"/>
      <c r="P83" s="458"/>
      <c r="Q83" s="459">
        <f t="shared" si="43"/>
        <v>0</v>
      </c>
      <c r="R83" s="457"/>
      <c r="S83" s="458"/>
      <c r="T83" s="459">
        <f t="shared" si="44"/>
        <v>0</v>
      </c>
      <c r="U83" s="457"/>
      <c r="V83" s="458"/>
      <c r="W83" s="459">
        <f t="shared" si="25"/>
        <v>0</v>
      </c>
      <c r="X83" s="457"/>
      <c r="Y83" s="458"/>
      <c r="Z83" s="459">
        <f t="shared" si="35"/>
        <v>0</v>
      </c>
      <c r="AA83" s="457"/>
      <c r="AB83" s="458"/>
      <c r="AC83" s="459">
        <f t="shared" si="36"/>
        <v>0</v>
      </c>
      <c r="AD83" s="457"/>
      <c r="AE83" s="458"/>
      <c r="AF83" s="459">
        <f t="shared" si="37"/>
        <v>0</v>
      </c>
      <c r="AG83" s="457"/>
      <c r="AH83" s="458"/>
      <c r="AI83" s="459">
        <f t="shared" si="38"/>
        <v>0</v>
      </c>
      <c r="AJ83" s="457"/>
      <c r="AK83" s="458"/>
      <c r="AL83" s="459">
        <f t="shared" si="39"/>
        <v>0</v>
      </c>
      <c r="AM83" s="457"/>
      <c r="AN83" s="458"/>
      <c r="AO83" s="459">
        <f t="shared" si="40"/>
        <v>0</v>
      </c>
      <c r="AP83" s="457"/>
      <c r="AQ83" s="458"/>
      <c r="AR83" s="459">
        <f t="shared" si="41"/>
        <v>0</v>
      </c>
      <c r="AS83" s="457"/>
      <c r="AT83" s="458"/>
      <c r="AU83" s="459">
        <f t="shared" si="45"/>
        <v>0</v>
      </c>
      <c r="AV83" s="457"/>
      <c r="AW83" s="458"/>
      <c r="AX83" s="459">
        <f t="shared" si="46"/>
        <v>0</v>
      </c>
      <c r="AY83" s="457"/>
      <c r="AZ83" s="458"/>
      <c r="BA83" s="459">
        <f t="shared" si="47"/>
        <v>0</v>
      </c>
      <c r="BB83" s="457"/>
      <c r="BC83" s="458"/>
      <c r="BD83" s="459">
        <f t="shared" si="42"/>
        <v>0</v>
      </c>
    </row>
    <row r="84" spans="1:56" ht="12.75">
      <c r="A84" s="160"/>
      <c r="B84" s="219" t="s">
        <v>1015</v>
      </c>
      <c r="C84" s="457">
        <v>1359</v>
      </c>
      <c r="D84" s="458">
        <v>1539</v>
      </c>
      <c r="E84" s="459">
        <f t="shared" si="34"/>
        <v>13.245033112582782</v>
      </c>
      <c r="F84" s="457">
        <v>2475</v>
      </c>
      <c r="G84" s="458">
        <v>2835</v>
      </c>
      <c r="H84" s="459">
        <f aca="true" t="shared" si="48" ref="H84:H147">IF(F84&gt;0,(((G84-F84)/F84)*100),0)</f>
        <v>14.545454545454545</v>
      </c>
      <c r="I84" s="457"/>
      <c r="J84" s="458"/>
      <c r="K84" s="459">
        <f aca="true" t="shared" si="49" ref="K84:K147">IF(I84&gt;0,(((J84-I84)/I84)*100),0)</f>
        <v>0</v>
      </c>
      <c r="L84" s="457"/>
      <c r="M84" s="458"/>
      <c r="N84" s="459">
        <f aca="true" t="shared" si="50" ref="N84:N147">IF(L84&gt;0,(((M84-L84)/L84)*100),0)</f>
        <v>0</v>
      </c>
      <c r="O84" s="457"/>
      <c r="P84" s="458"/>
      <c r="Q84" s="459">
        <f t="shared" si="43"/>
        <v>0</v>
      </c>
      <c r="R84" s="457"/>
      <c r="S84" s="458"/>
      <c r="T84" s="459">
        <f t="shared" si="44"/>
        <v>0</v>
      </c>
      <c r="U84" s="457"/>
      <c r="V84" s="458"/>
      <c r="W84" s="459">
        <f t="shared" si="25"/>
        <v>0</v>
      </c>
      <c r="X84" s="457"/>
      <c r="Y84" s="458"/>
      <c r="Z84" s="459">
        <f t="shared" si="35"/>
        <v>0</v>
      </c>
      <c r="AA84" s="457"/>
      <c r="AB84" s="458"/>
      <c r="AC84" s="459">
        <f t="shared" si="36"/>
        <v>0</v>
      </c>
      <c r="AD84" s="457"/>
      <c r="AE84" s="458"/>
      <c r="AF84" s="459">
        <f t="shared" si="37"/>
        <v>0</v>
      </c>
      <c r="AG84" s="457"/>
      <c r="AH84" s="458"/>
      <c r="AI84" s="459">
        <f t="shared" si="38"/>
        <v>0</v>
      </c>
      <c r="AJ84" s="457"/>
      <c r="AK84" s="458"/>
      <c r="AL84" s="459">
        <f t="shared" si="39"/>
        <v>0</v>
      </c>
      <c r="AM84" s="457"/>
      <c r="AN84" s="458"/>
      <c r="AO84" s="459">
        <f t="shared" si="40"/>
        <v>0</v>
      </c>
      <c r="AP84" s="457"/>
      <c r="AQ84" s="458"/>
      <c r="AR84" s="459">
        <f t="shared" si="41"/>
        <v>0</v>
      </c>
      <c r="AS84" s="457"/>
      <c r="AT84" s="458"/>
      <c r="AU84" s="459">
        <f t="shared" si="45"/>
        <v>0</v>
      </c>
      <c r="AV84" s="457"/>
      <c r="AW84" s="458"/>
      <c r="AX84" s="459">
        <f t="shared" si="46"/>
        <v>0</v>
      </c>
      <c r="AY84" s="457"/>
      <c r="AZ84" s="458"/>
      <c r="BA84" s="459">
        <f t="shared" si="47"/>
        <v>0</v>
      </c>
      <c r="BB84" s="457"/>
      <c r="BC84" s="458"/>
      <c r="BD84" s="459">
        <f t="shared" si="42"/>
        <v>0</v>
      </c>
    </row>
    <row r="85" spans="1:56" ht="12.75">
      <c r="A85" s="160"/>
      <c r="B85" s="219" t="s">
        <v>1016</v>
      </c>
      <c r="C85" s="457"/>
      <c r="D85" s="458"/>
      <c r="E85" s="459">
        <f t="shared" si="34"/>
        <v>0</v>
      </c>
      <c r="F85" s="457"/>
      <c r="G85" s="458"/>
      <c r="H85" s="459">
        <f t="shared" si="48"/>
        <v>0</v>
      </c>
      <c r="I85" s="457"/>
      <c r="J85" s="458"/>
      <c r="K85" s="459">
        <f t="shared" si="49"/>
        <v>0</v>
      </c>
      <c r="L85" s="457"/>
      <c r="M85" s="458"/>
      <c r="N85" s="459">
        <f t="shared" si="50"/>
        <v>0</v>
      </c>
      <c r="O85" s="457"/>
      <c r="P85" s="458"/>
      <c r="Q85" s="459">
        <f t="shared" si="43"/>
        <v>0</v>
      </c>
      <c r="R85" s="457"/>
      <c r="S85" s="458"/>
      <c r="T85" s="459">
        <f t="shared" si="44"/>
        <v>0</v>
      </c>
      <c r="U85" s="457"/>
      <c r="V85" s="458"/>
      <c r="W85" s="459">
        <f t="shared" si="25"/>
        <v>0</v>
      </c>
      <c r="X85" s="457"/>
      <c r="Y85" s="458"/>
      <c r="Z85" s="459">
        <f t="shared" si="35"/>
        <v>0</v>
      </c>
      <c r="AA85" s="457"/>
      <c r="AB85" s="458"/>
      <c r="AC85" s="459">
        <f t="shared" si="36"/>
        <v>0</v>
      </c>
      <c r="AD85" s="457"/>
      <c r="AE85" s="458"/>
      <c r="AF85" s="459">
        <f t="shared" si="37"/>
        <v>0</v>
      </c>
      <c r="AG85" s="457"/>
      <c r="AH85" s="458"/>
      <c r="AI85" s="459">
        <f t="shared" si="38"/>
        <v>0</v>
      </c>
      <c r="AJ85" s="457"/>
      <c r="AK85" s="458"/>
      <c r="AL85" s="459">
        <f t="shared" si="39"/>
        <v>0</v>
      </c>
      <c r="AM85" s="457"/>
      <c r="AN85" s="458"/>
      <c r="AO85" s="459">
        <f t="shared" si="40"/>
        <v>0</v>
      </c>
      <c r="AP85" s="457"/>
      <c r="AQ85" s="458"/>
      <c r="AR85" s="459">
        <f t="shared" si="41"/>
        <v>0</v>
      </c>
      <c r="AS85" s="457"/>
      <c r="AT85" s="458"/>
      <c r="AU85" s="459">
        <f t="shared" si="45"/>
        <v>0</v>
      </c>
      <c r="AV85" s="457"/>
      <c r="AW85" s="458"/>
      <c r="AX85" s="459">
        <f t="shared" si="46"/>
        <v>0</v>
      </c>
      <c r="AY85" s="457"/>
      <c r="AZ85" s="458"/>
      <c r="BA85" s="459">
        <f t="shared" si="47"/>
        <v>0</v>
      </c>
      <c r="BB85" s="457"/>
      <c r="BC85" s="458"/>
      <c r="BD85" s="459">
        <f t="shared" si="42"/>
        <v>0</v>
      </c>
    </row>
    <row r="86" spans="1:56" s="465" customFormat="1" ht="21.75" customHeight="1">
      <c r="A86" s="460"/>
      <c r="B86" s="461" t="s">
        <v>978</v>
      </c>
      <c r="C86" s="462">
        <v>1359</v>
      </c>
      <c r="D86" s="463">
        <v>1539</v>
      </c>
      <c r="E86" s="464">
        <f t="shared" si="34"/>
        <v>13.245033112582782</v>
      </c>
      <c r="F86" s="462">
        <v>2475</v>
      </c>
      <c r="G86" s="463">
        <v>2835</v>
      </c>
      <c r="H86" s="464">
        <f t="shared" si="48"/>
        <v>14.545454545454545</v>
      </c>
      <c r="I86" s="462"/>
      <c r="J86" s="463"/>
      <c r="K86" s="464">
        <f t="shared" si="49"/>
        <v>0</v>
      </c>
      <c r="L86" s="462"/>
      <c r="M86" s="463"/>
      <c r="N86" s="464">
        <f t="shared" si="50"/>
        <v>0</v>
      </c>
      <c r="O86" s="462"/>
      <c r="P86" s="463"/>
      <c r="Q86" s="464">
        <f t="shared" si="43"/>
        <v>0</v>
      </c>
      <c r="R86" s="462"/>
      <c r="S86" s="463"/>
      <c r="T86" s="464">
        <f t="shared" si="44"/>
        <v>0</v>
      </c>
      <c r="U86" s="462"/>
      <c r="V86" s="463"/>
      <c r="W86" s="464">
        <f t="shared" si="25"/>
        <v>0</v>
      </c>
      <c r="X86" s="462"/>
      <c r="Y86" s="463"/>
      <c r="Z86" s="464">
        <f t="shared" si="35"/>
        <v>0</v>
      </c>
      <c r="AA86" s="462"/>
      <c r="AB86" s="463"/>
      <c r="AC86" s="464">
        <f t="shared" si="36"/>
        <v>0</v>
      </c>
      <c r="AD86" s="462"/>
      <c r="AE86" s="463"/>
      <c r="AF86" s="464">
        <f t="shared" si="37"/>
        <v>0</v>
      </c>
      <c r="AG86" s="462"/>
      <c r="AH86" s="463"/>
      <c r="AI86" s="464">
        <f t="shared" si="38"/>
        <v>0</v>
      </c>
      <c r="AJ86" s="462"/>
      <c r="AK86" s="463"/>
      <c r="AL86" s="464">
        <f t="shared" si="39"/>
        <v>0</v>
      </c>
      <c r="AM86" s="462"/>
      <c r="AN86" s="463"/>
      <c r="AO86" s="464">
        <f t="shared" si="40"/>
        <v>0</v>
      </c>
      <c r="AP86" s="462"/>
      <c r="AQ86" s="463"/>
      <c r="AR86" s="464">
        <f t="shared" si="41"/>
        <v>0</v>
      </c>
      <c r="AS86" s="462"/>
      <c r="AT86" s="463"/>
      <c r="AU86" s="464">
        <f t="shared" si="45"/>
        <v>0</v>
      </c>
      <c r="AV86" s="462"/>
      <c r="AW86" s="463"/>
      <c r="AX86" s="464">
        <f t="shared" si="46"/>
        <v>0</v>
      </c>
      <c r="AY86" s="462"/>
      <c r="AZ86" s="463"/>
      <c r="BA86" s="464">
        <f t="shared" si="47"/>
        <v>0</v>
      </c>
      <c r="BB86" s="462"/>
      <c r="BC86" s="463"/>
      <c r="BD86" s="464">
        <f t="shared" si="42"/>
        <v>0</v>
      </c>
    </row>
    <row r="87" spans="1:56" ht="12.75">
      <c r="A87" s="466"/>
      <c r="B87" s="467" t="s">
        <v>781</v>
      </c>
      <c r="C87" s="468"/>
      <c r="D87" s="469"/>
      <c r="E87" s="471">
        <f t="shared" si="34"/>
        <v>0</v>
      </c>
      <c r="F87" s="468"/>
      <c r="G87" s="469"/>
      <c r="H87" s="471">
        <f t="shared" si="48"/>
        <v>0</v>
      </c>
      <c r="I87" s="468"/>
      <c r="J87" s="469"/>
      <c r="K87" s="471">
        <f t="shared" si="49"/>
        <v>0</v>
      </c>
      <c r="L87" s="468"/>
      <c r="M87" s="469"/>
      <c r="N87" s="471">
        <f t="shared" si="50"/>
        <v>0</v>
      </c>
      <c r="O87" s="468">
        <v>10679</v>
      </c>
      <c r="P87" s="469">
        <v>10737</v>
      </c>
      <c r="Q87" s="471">
        <f t="shared" si="43"/>
        <v>0.5431220151699597</v>
      </c>
      <c r="R87" s="468">
        <v>28370</v>
      </c>
      <c r="S87" s="469">
        <v>28428</v>
      </c>
      <c r="T87" s="471">
        <f t="shared" si="44"/>
        <v>0.20444131124427212</v>
      </c>
      <c r="U87" s="468">
        <v>14196</v>
      </c>
      <c r="V87" s="469">
        <v>14238</v>
      </c>
      <c r="W87" s="471">
        <f t="shared" si="25"/>
        <v>0.2958579881656805</v>
      </c>
      <c r="X87" s="468">
        <v>31622</v>
      </c>
      <c r="Y87" s="469">
        <v>14238</v>
      </c>
      <c r="Z87" s="471">
        <f t="shared" si="35"/>
        <v>-54.97438492188982</v>
      </c>
      <c r="AA87" s="468">
        <v>10586</v>
      </c>
      <c r="AB87" s="469">
        <v>11646</v>
      </c>
      <c r="AC87" s="471">
        <f t="shared" si="36"/>
        <v>10.013225014169658</v>
      </c>
      <c r="AD87" s="468">
        <v>40370</v>
      </c>
      <c r="AE87" s="469">
        <v>40412</v>
      </c>
      <c r="AF87" s="471">
        <f t="shared" si="37"/>
        <v>0.10403765172157543</v>
      </c>
      <c r="AG87" s="468">
        <v>10276</v>
      </c>
      <c r="AH87" s="469">
        <v>10330</v>
      </c>
      <c r="AI87" s="471">
        <f t="shared" si="38"/>
        <v>0.5254963020630596</v>
      </c>
      <c r="AJ87" s="468"/>
      <c r="AK87" s="469"/>
      <c r="AL87" s="471">
        <f t="shared" si="39"/>
        <v>0</v>
      </c>
      <c r="AM87" s="468"/>
      <c r="AN87" s="469"/>
      <c r="AO87" s="471">
        <f t="shared" si="40"/>
        <v>0</v>
      </c>
      <c r="AP87" s="468"/>
      <c r="AQ87" s="469"/>
      <c r="AR87" s="471">
        <f t="shared" si="41"/>
        <v>0</v>
      </c>
      <c r="AS87" s="468"/>
      <c r="AT87" s="469"/>
      <c r="AU87" s="471">
        <f t="shared" si="45"/>
        <v>0</v>
      </c>
      <c r="AV87" s="468"/>
      <c r="AW87" s="469"/>
      <c r="AX87" s="471">
        <f t="shared" si="46"/>
        <v>0</v>
      </c>
      <c r="AY87" s="468">
        <v>12438</v>
      </c>
      <c r="AZ87" s="469">
        <v>13222</v>
      </c>
      <c r="BA87" s="471">
        <f t="shared" si="47"/>
        <v>6.303264190384306</v>
      </c>
      <c r="BB87" s="468"/>
      <c r="BC87" s="469"/>
      <c r="BD87" s="471">
        <f t="shared" si="42"/>
        <v>0</v>
      </c>
    </row>
    <row r="88" spans="1:56" ht="12.75">
      <c r="A88" s="158" t="s">
        <v>596</v>
      </c>
      <c r="B88" s="219" t="s">
        <v>89</v>
      </c>
      <c r="C88" s="457">
        <v>6604</v>
      </c>
      <c r="D88" s="458">
        <v>7199</v>
      </c>
      <c r="E88" s="459">
        <f t="shared" si="34"/>
        <v>9.00969109630527</v>
      </c>
      <c r="F88" s="457">
        <v>14063</v>
      </c>
      <c r="G88" s="458">
        <v>14995</v>
      </c>
      <c r="H88" s="459">
        <f t="shared" si="48"/>
        <v>6.627319917514043</v>
      </c>
      <c r="I88" s="457">
        <v>7036</v>
      </c>
      <c r="J88" s="458">
        <v>7670</v>
      </c>
      <c r="K88" s="459">
        <f t="shared" si="49"/>
        <v>9.01080159181353</v>
      </c>
      <c r="L88" s="457">
        <v>15154</v>
      </c>
      <c r="M88" s="458">
        <v>16158</v>
      </c>
      <c r="N88" s="459">
        <f t="shared" si="50"/>
        <v>6.62531344859443</v>
      </c>
      <c r="O88" s="457"/>
      <c r="P88" s="458"/>
      <c r="Q88" s="459"/>
      <c r="R88" s="457"/>
      <c r="S88" s="458"/>
      <c r="T88" s="459"/>
      <c r="U88" s="457"/>
      <c r="V88" s="458"/>
      <c r="W88" s="459"/>
      <c r="X88" s="457"/>
      <c r="Y88" s="458"/>
      <c r="Z88" s="459"/>
      <c r="AA88" s="457"/>
      <c r="AB88" s="458"/>
      <c r="AC88" s="459">
        <f t="shared" si="36"/>
        <v>0</v>
      </c>
      <c r="AD88" s="457">
        <v>42114</v>
      </c>
      <c r="AE88" s="458">
        <v>44854</v>
      </c>
      <c r="AF88" s="459">
        <f t="shared" si="37"/>
        <v>6.50614997388042</v>
      </c>
      <c r="AG88" s="457"/>
      <c r="AH88" s="458"/>
      <c r="AI88" s="459"/>
      <c r="AJ88" s="457"/>
      <c r="AK88" s="458"/>
      <c r="AL88" s="459"/>
      <c r="AM88" s="457"/>
      <c r="AN88" s="458"/>
      <c r="AO88" s="459"/>
      <c r="AP88" s="457"/>
      <c r="AQ88" s="458"/>
      <c r="AR88" s="459"/>
      <c r="AS88" s="457"/>
      <c r="AT88" s="458"/>
      <c r="AU88" s="459"/>
      <c r="AV88" s="457"/>
      <c r="AW88" s="458"/>
      <c r="AX88" s="459"/>
      <c r="AY88" s="457"/>
      <c r="AZ88" s="458"/>
      <c r="BA88" s="459"/>
      <c r="BB88" s="457"/>
      <c r="BC88" s="458"/>
      <c r="BD88" s="459">
        <f aca="true" t="shared" si="51" ref="BD88:BD104">IF(BB88&gt;0,(((BC88-BB88)/BB88)*100),0)</f>
        <v>0</v>
      </c>
    </row>
    <row r="89" spans="1:56" ht="12.75">
      <c r="A89" s="160"/>
      <c r="B89" s="219" t="s">
        <v>90</v>
      </c>
      <c r="C89" s="457">
        <v>6252</v>
      </c>
      <c r="D89" s="458">
        <v>6870</v>
      </c>
      <c r="E89" s="459">
        <f t="shared" si="34"/>
        <v>9.884836852207293</v>
      </c>
      <c r="F89" s="457">
        <v>16072</v>
      </c>
      <c r="G89" s="458">
        <v>17664</v>
      </c>
      <c r="H89" s="459">
        <f t="shared" si="48"/>
        <v>9.905425584868095</v>
      </c>
      <c r="I89" s="457">
        <v>6786</v>
      </c>
      <c r="J89" s="458">
        <v>7458</v>
      </c>
      <c r="K89" s="459">
        <f t="shared" si="49"/>
        <v>9.902740937223696</v>
      </c>
      <c r="L89" s="457">
        <v>17348</v>
      </c>
      <c r="M89" s="458">
        <v>18020</v>
      </c>
      <c r="N89" s="459">
        <f t="shared" si="50"/>
        <v>3.873645376988702</v>
      </c>
      <c r="O89" s="457"/>
      <c r="P89" s="458"/>
      <c r="Q89" s="459"/>
      <c r="R89" s="457"/>
      <c r="S89" s="458"/>
      <c r="T89" s="459"/>
      <c r="U89" s="457"/>
      <c r="V89" s="458"/>
      <c r="W89" s="459"/>
      <c r="X89" s="457"/>
      <c r="Y89" s="458"/>
      <c r="Z89" s="459"/>
      <c r="AA89" s="457"/>
      <c r="AB89" s="458"/>
      <c r="AC89" s="459">
        <f t="shared" si="36"/>
        <v>0</v>
      </c>
      <c r="AD89" s="457">
        <v>40968</v>
      </c>
      <c r="AE89" s="458">
        <v>45024</v>
      </c>
      <c r="AF89" s="459">
        <f t="shared" si="37"/>
        <v>9.900410076157</v>
      </c>
      <c r="AG89" s="457"/>
      <c r="AH89" s="458"/>
      <c r="AI89" s="459"/>
      <c r="AJ89" s="457"/>
      <c r="AK89" s="458"/>
      <c r="AL89" s="459"/>
      <c r="AM89" s="457"/>
      <c r="AN89" s="458"/>
      <c r="AO89" s="459"/>
      <c r="AP89" s="457"/>
      <c r="AQ89" s="458"/>
      <c r="AR89" s="459"/>
      <c r="AS89" s="457"/>
      <c r="AT89" s="458"/>
      <c r="AU89" s="459"/>
      <c r="AV89" s="457"/>
      <c r="AW89" s="458"/>
      <c r="AX89" s="459"/>
      <c r="AY89" s="457"/>
      <c r="AZ89" s="458"/>
      <c r="BA89" s="459"/>
      <c r="BB89" s="457"/>
      <c r="BC89" s="458"/>
      <c r="BD89" s="459">
        <f t="shared" si="51"/>
        <v>0</v>
      </c>
    </row>
    <row r="90" spans="1:56" ht="12.75">
      <c r="A90" s="160"/>
      <c r="B90" s="219" t="s">
        <v>91</v>
      </c>
      <c r="C90" s="457">
        <v>5192</v>
      </c>
      <c r="D90" s="458">
        <v>5682</v>
      </c>
      <c r="E90" s="459">
        <f t="shared" si="34"/>
        <v>9.437596302003081</v>
      </c>
      <c r="F90" s="457">
        <v>14400</v>
      </c>
      <c r="G90" s="458">
        <v>15382</v>
      </c>
      <c r="H90" s="459">
        <f t="shared" si="48"/>
        <v>6.819444444444445</v>
      </c>
      <c r="I90" s="457">
        <v>5680</v>
      </c>
      <c r="J90" s="458">
        <v>6156</v>
      </c>
      <c r="K90" s="459">
        <f t="shared" si="49"/>
        <v>8.380281690140844</v>
      </c>
      <c r="L90" s="457">
        <v>15910</v>
      </c>
      <c r="M90" s="458">
        <v>16838</v>
      </c>
      <c r="N90" s="459">
        <f t="shared" si="50"/>
        <v>5.832809553739787</v>
      </c>
      <c r="O90" s="457"/>
      <c r="P90" s="458"/>
      <c r="Q90" s="459"/>
      <c r="R90" s="457"/>
      <c r="S90" s="458"/>
      <c r="T90" s="459"/>
      <c r="U90" s="457"/>
      <c r="V90" s="458"/>
      <c r="W90" s="459"/>
      <c r="X90" s="457"/>
      <c r="Y90" s="458"/>
      <c r="Z90" s="459"/>
      <c r="AA90" s="457"/>
      <c r="AB90" s="458"/>
      <c r="AC90" s="459">
        <f t="shared" si="36"/>
        <v>0</v>
      </c>
      <c r="AD90" s="457"/>
      <c r="AE90" s="458"/>
      <c r="AF90" s="459">
        <f t="shared" si="37"/>
        <v>0</v>
      </c>
      <c r="AG90" s="457"/>
      <c r="AH90" s="458"/>
      <c r="AI90" s="459"/>
      <c r="AJ90" s="457"/>
      <c r="AK90" s="458"/>
      <c r="AL90" s="459"/>
      <c r="AM90" s="457"/>
      <c r="AN90" s="458"/>
      <c r="AO90" s="459"/>
      <c r="AP90" s="457"/>
      <c r="AQ90" s="458"/>
      <c r="AR90" s="459"/>
      <c r="AS90" s="457"/>
      <c r="AT90" s="458"/>
      <c r="AU90" s="459"/>
      <c r="AV90" s="457"/>
      <c r="AW90" s="458"/>
      <c r="AX90" s="459"/>
      <c r="AY90" s="457"/>
      <c r="AZ90" s="458"/>
      <c r="BA90" s="459"/>
      <c r="BB90" s="457"/>
      <c r="BC90" s="458"/>
      <c r="BD90" s="459">
        <f t="shared" si="51"/>
        <v>0</v>
      </c>
    </row>
    <row r="91" spans="1:56" ht="12.75">
      <c r="A91" s="160"/>
      <c r="B91" s="219" t="s">
        <v>92</v>
      </c>
      <c r="C91" s="457">
        <v>5159</v>
      </c>
      <c r="D91" s="458">
        <v>5616</v>
      </c>
      <c r="E91" s="459">
        <f t="shared" si="34"/>
        <v>8.858305873231247</v>
      </c>
      <c r="F91" s="457">
        <v>11575</v>
      </c>
      <c r="G91" s="458">
        <v>12058</v>
      </c>
      <c r="H91" s="459">
        <f t="shared" si="48"/>
        <v>4.172786177105832</v>
      </c>
      <c r="I91" s="457">
        <v>6156</v>
      </c>
      <c r="J91" s="458">
        <v>6909</v>
      </c>
      <c r="K91" s="459">
        <f t="shared" si="49"/>
        <v>12.231968810916179</v>
      </c>
      <c r="L91" s="457">
        <v>13941</v>
      </c>
      <c r="M91" s="458">
        <v>14679</v>
      </c>
      <c r="N91" s="459">
        <f t="shared" si="50"/>
        <v>5.293737895416398</v>
      </c>
      <c r="O91" s="457"/>
      <c r="P91" s="458"/>
      <c r="Q91" s="459"/>
      <c r="R91" s="457"/>
      <c r="S91" s="458"/>
      <c r="T91" s="459"/>
      <c r="U91" s="457"/>
      <c r="V91" s="458"/>
      <c r="W91" s="459"/>
      <c r="X91" s="457"/>
      <c r="Y91" s="458"/>
      <c r="Z91" s="459"/>
      <c r="AA91" s="457"/>
      <c r="AB91" s="458"/>
      <c r="AC91" s="459">
        <f t="shared" si="36"/>
        <v>0</v>
      </c>
      <c r="AD91" s="457"/>
      <c r="AE91" s="458"/>
      <c r="AF91" s="459">
        <f t="shared" si="37"/>
        <v>0</v>
      </c>
      <c r="AG91" s="457"/>
      <c r="AH91" s="458"/>
      <c r="AI91" s="459"/>
      <c r="AJ91" s="457"/>
      <c r="AK91" s="458"/>
      <c r="AL91" s="459"/>
      <c r="AM91" s="457"/>
      <c r="AN91" s="458"/>
      <c r="AO91" s="459"/>
      <c r="AP91" s="457"/>
      <c r="AQ91" s="458"/>
      <c r="AR91" s="459"/>
      <c r="AS91" s="457"/>
      <c r="AT91" s="458"/>
      <c r="AU91" s="459"/>
      <c r="AV91" s="457"/>
      <c r="AW91" s="458"/>
      <c r="AX91" s="459"/>
      <c r="AY91" s="457"/>
      <c r="AZ91" s="458"/>
      <c r="BA91" s="459"/>
      <c r="BB91" s="457"/>
      <c r="BC91" s="458"/>
      <c r="BD91" s="459">
        <f t="shared" si="51"/>
        <v>0</v>
      </c>
    </row>
    <row r="92" spans="1:56" ht="12.75">
      <c r="A92" s="160"/>
      <c r="B92" s="219" t="s">
        <v>93</v>
      </c>
      <c r="C92" s="457">
        <v>4950</v>
      </c>
      <c r="D92" s="458">
        <v>5320</v>
      </c>
      <c r="E92" s="459">
        <f t="shared" si="34"/>
        <v>7.474747474747474</v>
      </c>
      <c r="F92" s="457">
        <v>11500</v>
      </c>
      <c r="G92" s="458">
        <v>12490</v>
      </c>
      <c r="H92" s="459">
        <f t="shared" si="48"/>
        <v>8.608695652173912</v>
      </c>
      <c r="I92" s="457">
        <v>6840</v>
      </c>
      <c r="J92" s="458">
        <v>5400</v>
      </c>
      <c r="K92" s="459">
        <f t="shared" si="49"/>
        <v>-21.052631578947366</v>
      </c>
      <c r="L92" s="457">
        <v>16440</v>
      </c>
      <c r="M92" s="458">
        <v>12600</v>
      </c>
      <c r="N92" s="459">
        <f t="shared" si="50"/>
        <v>-23.357664233576642</v>
      </c>
      <c r="O92" s="457"/>
      <c r="P92" s="458"/>
      <c r="Q92" s="459"/>
      <c r="R92" s="457"/>
      <c r="S92" s="458"/>
      <c r="T92" s="459"/>
      <c r="U92" s="457"/>
      <c r="V92" s="458"/>
      <c r="W92" s="459"/>
      <c r="X92" s="457"/>
      <c r="Y92" s="458"/>
      <c r="Z92" s="459"/>
      <c r="AA92" s="457"/>
      <c r="AB92" s="458"/>
      <c r="AC92" s="459">
        <f t="shared" si="36"/>
        <v>0</v>
      </c>
      <c r="AD92" s="457"/>
      <c r="AE92" s="458"/>
      <c r="AF92" s="459">
        <f t="shared" si="37"/>
        <v>0</v>
      </c>
      <c r="AG92" s="457"/>
      <c r="AH92" s="458"/>
      <c r="AI92" s="459"/>
      <c r="AJ92" s="457"/>
      <c r="AK92" s="458"/>
      <c r="AL92" s="459"/>
      <c r="AM92" s="457"/>
      <c r="AN92" s="458"/>
      <c r="AO92" s="459"/>
      <c r="AP92" s="457"/>
      <c r="AQ92" s="458"/>
      <c r="AR92" s="459"/>
      <c r="AS92" s="457"/>
      <c r="AT92" s="458"/>
      <c r="AU92" s="459"/>
      <c r="AV92" s="457"/>
      <c r="AW92" s="458"/>
      <c r="AX92" s="459"/>
      <c r="AY92" s="457"/>
      <c r="AZ92" s="458"/>
      <c r="BA92" s="459"/>
      <c r="BB92" s="457"/>
      <c r="BC92" s="458"/>
      <c r="BD92" s="459">
        <f t="shared" si="51"/>
        <v>0</v>
      </c>
    </row>
    <row r="93" spans="1:56" ht="12.75">
      <c r="A93" s="160"/>
      <c r="B93" s="219" t="s">
        <v>94</v>
      </c>
      <c r="C93" s="457"/>
      <c r="D93" s="458"/>
      <c r="E93" s="459">
        <f t="shared" si="34"/>
        <v>0</v>
      </c>
      <c r="F93" s="457"/>
      <c r="G93" s="458"/>
      <c r="H93" s="459">
        <f t="shared" si="48"/>
        <v>0</v>
      </c>
      <c r="I93" s="457"/>
      <c r="J93" s="458"/>
      <c r="K93" s="459">
        <f t="shared" si="49"/>
        <v>0</v>
      </c>
      <c r="L93" s="457"/>
      <c r="M93" s="458"/>
      <c r="N93" s="459">
        <f t="shared" si="50"/>
        <v>0</v>
      </c>
      <c r="O93" s="457"/>
      <c r="P93" s="458"/>
      <c r="Q93" s="459"/>
      <c r="R93" s="457"/>
      <c r="S93" s="458"/>
      <c r="T93" s="459"/>
      <c r="U93" s="457"/>
      <c r="V93" s="458"/>
      <c r="W93" s="459"/>
      <c r="X93" s="457"/>
      <c r="Y93" s="458"/>
      <c r="Z93" s="459"/>
      <c r="AA93" s="457"/>
      <c r="AB93" s="458"/>
      <c r="AC93" s="459">
        <f t="shared" si="36"/>
        <v>0</v>
      </c>
      <c r="AD93" s="457"/>
      <c r="AE93" s="458"/>
      <c r="AF93" s="459">
        <f t="shared" si="37"/>
        <v>0</v>
      </c>
      <c r="AG93" s="457"/>
      <c r="AH93" s="458"/>
      <c r="AI93" s="459"/>
      <c r="AJ93" s="457"/>
      <c r="AK93" s="458"/>
      <c r="AL93" s="459"/>
      <c r="AM93" s="457"/>
      <c r="AN93" s="458"/>
      <c r="AO93" s="459"/>
      <c r="AP93" s="457"/>
      <c r="AQ93" s="458"/>
      <c r="AR93" s="459"/>
      <c r="AS93" s="457"/>
      <c r="AT93" s="458"/>
      <c r="AU93" s="459"/>
      <c r="AV93" s="457"/>
      <c r="AW93" s="458"/>
      <c r="AX93" s="459"/>
      <c r="AY93" s="457"/>
      <c r="AZ93" s="458"/>
      <c r="BA93" s="459"/>
      <c r="BB93" s="457"/>
      <c r="BC93" s="458"/>
      <c r="BD93" s="459">
        <f t="shared" si="51"/>
        <v>0</v>
      </c>
    </row>
    <row r="94" spans="1:56" s="465" customFormat="1" ht="19.5" customHeight="1">
      <c r="A94" s="460"/>
      <c r="B94" s="461" t="s">
        <v>821</v>
      </c>
      <c r="C94" s="462">
        <v>5320</v>
      </c>
      <c r="D94" s="463">
        <v>5817</v>
      </c>
      <c r="E94" s="464">
        <f t="shared" si="34"/>
        <v>9.342105263157894</v>
      </c>
      <c r="F94" s="462">
        <v>13814.5</v>
      </c>
      <c r="G94" s="463">
        <v>14856.5</v>
      </c>
      <c r="H94" s="464">
        <f t="shared" si="48"/>
        <v>7.542799232690289</v>
      </c>
      <c r="I94" s="462">
        <v>6653</v>
      </c>
      <c r="J94" s="463">
        <v>6585</v>
      </c>
      <c r="K94" s="464">
        <f t="shared" si="49"/>
        <v>-1.0220952953554787</v>
      </c>
      <c r="L94" s="462">
        <v>15532</v>
      </c>
      <c r="M94" s="463">
        <v>15483</v>
      </c>
      <c r="N94" s="464">
        <f t="shared" si="50"/>
        <v>-0.31547772340973473</v>
      </c>
      <c r="O94" s="462"/>
      <c r="P94" s="463"/>
      <c r="Q94" s="464"/>
      <c r="R94" s="462"/>
      <c r="S94" s="463"/>
      <c r="T94" s="464"/>
      <c r="U94" s="462"/>
      <c r="V94" s="463"/>
      <c r="W94" s="464"/>
      <c r="X94" s="462"/>
      <c r="Y94" s="463"/>
      <c r="Z94" s="464"/>
      <c r="AA94" s="462"/>
      <c r="AB94" s="463"/>
      <c r="AC94" s="464">
        <f t="shared" si="36"/>
        <v>0</v>
      </c>
      <c r="AD94" s="462">
        <v>41541</v>
      </c>
      <c r="AE94" s="463">
        <v>44939</v>
      </c>
      <c r="AF94" s="464">
        <f t="shared" si="37"/>
        <v>8.179870489396018</v>
      </c>
      <c r="AG94" s="462"/>
      <c r="AH94" s="463"/>
      <c r="AI94" s="464"/>
      <c r="AJ94" s="462"/>
      <c r="AK94" s="463"/>
      <c r="AL94" s="464"/>
      <c r="AM94" s="462"/>
      <c r="AN94" s="463"/>
      <c r="AO94" s="464"/>
      <c r="AP94" s="462"/>
      <c r="AQ94" s="463"/>
      <c r="AR94" s="464"/>
      <c r="AS94" s="462"/>
      <c r="AT94" s="463"/>
      <c r="AU94" s="464"/>
      <c r="AV94" s="462"/>
      <c r="AW94" s="463"/>
      <c r="AX94" s="464"/>
      <c r="AY94" s="462"/>
      <c r="AZ94" s="463"/>
      <c r="BA94" s="464"/>
      <c r="BB94" s="462"/>
      <c r="BC94" s="463"/>
      <c r="BD94" s="464">
        <f t="shared" si="51"/>
        <v>0</v>
      </c>
    </row>
    <row r="95" spans="1:56" ht="12.75">
      <c r="A95" s="160"/>
      <c r="B95" s="219" t="s">
        <v>95</v>
      </c>
      <c r="C95" s="457"/>
      <c r="D95" s="458"/>
      <c r="E95" s="459">
        <f t="shared" si="34"/>
        <v>0</v>
      </c>
      <c r="F95" s="457"/>
      <c r="G95" s="458"/>
      <c r="H95" s="459">
        <f t="shared" si="48"/>
        <v>0</v>
      </c>
      <c r="I95" s="457"/>
      <c r="J95" s="458"/>
      <c r="K95" s="459">
        <f t="shared" si="49"/>
        <v>0</v>
      </c>
      <c r="L95" s="457"/>
      <c r="M95" s="458"/>
      <c r="N95" s="459">
        <f t="shared" si="50"/>
        <v>0</v>
      </c>
      <c r="O95" s="457"/>
      <c r="P95" s="458"/>
      <c r="Q95" s="459"/>
      <c r="R95" s="457"/>
      <c r="S95" s="458"/>
      <c r="T95" s="459"/>
      <c r="U95" s="457"/>
      <c r="V95" s="458"/>
      <c r="W95" s="459"/>
      <c r="X95" s="457"/>
      <c r="Y95" s="458"/>
      <c r="Z95" s="459"/>
      <c r="AA95" s="457"/>
      <c r="AB95" s="458"/>
      <c r="AC95" s="459">
        <f t="shared" si="36"/>
        <v>0</v>
      </c>
      <c r="AD95" s="457"/>
      <c r="AE95" s="458"/>
      <c r="AF95" s="459">
        <f t="shared" si="37"/>
        <v>0</v>
      </c>
      <c r="AG95" s="457"/>
      <c r="AH95" s="458"/>
      <c r="AI95" s="459"/>
      <c r="AJ95" s="457"/>
      <c r="AK95" s="458"/>
      <c r="AL95" s="459"/>
      <c r="AM95" s="457"/>
      <c r="AN95" s="458"/>
      <c r="AO95" s="459"/>
      <c r="AP95" s="457"/>
      <c r="AQ95" s="458"/>
      <c r="AR95" s="459"/>
      <c r="AS95" s="457"/>
      <c r="AT95" s="458"/>
      <c r="AU95" s="459"/>
      <c r="AV95" s="457"/>
      <c r="AW95" s="458"/>
      <c r="AX95" s="459"/>
      <c r="AY95" s="457"/>
      <c r="AZ95" s="458"/>
      <c r="BA95" s="459"/>
      <c r="BB95" s="457"/>
      <c r="BC95" s="458"/>
      <c r="BD95" s="459">
        <f t="shared" si="51"/>
        <v>0</v>
      </c>
    </row>
    <row r="96" spans="1:56" ht="12.75">
      <c r="A96" s="160"/>
      <c r="B96" s="219" t="s">
        <v>96</v>
      </c>
      <c r="C96" s="457">
        <v>3270</v>
      </c>
      <c r="D96" s="458">
        <v>3450</v>
      </c>
      <c r="E96" s="459">
        <f t="shared" si="34"/>
        <v>5.5045871559633035</v>
      </c>
      <c r="F96" s="457">
        <v>9810</v>
      </c>
      <c r="G96" s="458">
        <v>10350</v>
      </c>
      <c r="H96" s="459">
        <f t="shared" si="48"/>
        <v>5.5045871559633035</v>
      </c>
      <c r="I96" s="457"/>
      <c r="J96" s="458"/>
      <c r="K96" s="459">
        <f t="shared" si="49"/>
        <v>0</v>
      </c>
      <c r="L96" s="457"/>
      <c r="M96" s="458"/>
      <c r="N96" s="459">
        <f t="shared" si="50"/>
        <v>0</v>
      </c>
      <c r="O96" s="457"/>
      <c r="P96" s="458"/>
      <c r="Q96" s="459">
        <f aca="true" t="shared" si="52" ref="Q96:Q104">IF(O96&gt;0,(((P96-O96)/O96)*100),0)</f>
        <v>0</v>
      </c>
      <c r="R96" s="457"/>
      <c r="S96" s="458"/>
      <c r="T96" s="459">
        <f aca="true" t="shared" si="53" ref="T96:T104">IF(R96&gt;0,(((S96-R96)/R96)*100),0)</f>
        <v>0</v>
      </c>
      <c r="U96" s="457"/>
      <c r="V96" s="458"/>
      <c r="W96" s="459">
        <f t="shared" si="25"/>
        <v>0</v>
      </c>
      <c r="X96" s="457"/>
      <c r="Y96" s="458"/>
      <c r="Z96" s="459">
        <f t="shared" si="35"/>
        <v>0</v>
      </c>
      <c r="AA96" s="457"/>
      <c r="AB96" s="458"/>
      <c r="AC96" s="459">
        <f t="shared" si="36"/>
        <v>0</v>
      </c>
      <c r="AD96" s="457"/>
      <c r="AE96" s="458"/>
      <c r="AF96" s="459">
        <f t="shared" si="37"/>
        <v>0</v>
      </c>
      <c r="AG96" s="457"/>
      <c r="AH96" s="458"/>
      <c r="AI96" s="459"/>
      <c r="AJ96" s="457"/>
      <c r="AK96" s="458"/>
      <c r="AL96" s="459"/>
      <c r="AM96" s="457"/>
      <c r="AN96" s="458"/>
      <c r="AO96" s="459"/>
      <c r="AP96" s="457"/>
      <c r="AQ96" s="458"/>
      <c r="AR96" s="459"/>
      <c r="AS96" s="457"/>
      <c r="AT96" s="458"/>
      <c r="AU96" s="459"/>
      <c r="AV96" s="457"/>
      <c r="AW96" s="458"/>
      <c r="AX96" s="459"/>
      <c r="AY96" s="457"/>
      <c r="AZ96" s="458"/>
      <c r="BA96" s="459"/>
      <c r="BB96" s="457"/>
      <c r="BC96" s="458"/>
      <c r="BD96" s="459">
        <f t="shared" si="51"/>
        <v>0</v>
      </c>
    </row>
    <row r="97" spans="1:56" ht="12.75">
      <c r="A97" s="160"/>
      <c r="B97" s="219" t="s">
        <v>97</v>
      </c>
      <c r="C97" s="457">
        <v>3270</v>
      </c>
      <c r="D97" s="458">
        <v>3450</v>
      </c>
      <c r="E97" s="459">
        <f t="shared" si="34"/>
        <v>5.5045871559633035</v>
      </c>
      <c r="F97" s="457">
        <v>9810</v>
      </c>
      <c r="G97" s="458">
        <v>10350</v>
      </c>
      <c r="H97" s="459">
        <f t="shared" si="48"/>
        <v>5.5045871559633035</v>
      </c>
      <c r="I97" s="457"/>
      <c r="J97" s="458"/>
      <c r="K97" s="459">
        <f t="shared" si="49"/>
        <v>0</v>
      </c>
      <c r="L97" s="457"/>
      <c r="M97" s="458"/>
      <c r="N97" s="459">
        <f t="shared" si="50"/>
        <v>0</v>
      </c>
      <c r="O97" s="457"/>
      <c r="P97" s="458"/>
      <c r="Q97" s="459">
        <f t="shared" si="52"/>
        <v>0</v>
      </c>
      <c r="R97" s="457"/>
      <c r="S97" s="458"/>
      <c r="T97" s="459">
        <f t="shared" si="53"/>
        <v>0</v>
      </c>
      <c r="U97" s="457"/>
      <c r="V97" s="458"/>
      <c r="W97" s="459">
        <f t="shared" si="25"/>
        <v>0</v>
      </c>
      <c r="X97" s="457"/>
      <c r="Y97" s="458"/>
      <c r="Z97" s="459">
        <f t="shared" si="35"/>
        <v>0</v>
      </c>
      <c r="AA97" s="457"/>
      <c r="AB97" s="458"/>
      <c r="AC97" s="459">
        <f t="shared" si="36"/>
        <v>0</v>
      </c>
      <c r="AD97" s="457"/>
      <c r="AE97" s="458"/>
      <c r="AF97" s="459">
        <f t="shared" si="37"/>
        <v>0</v>
      </c>
      <c r="AG97" s="457"/>
      <c r="AH97" s="458"/>
      <c r="AI97" s="459"/>
      <c r="AJ97" s="457"/>
      <c r="AK97" s="458"/>
      <c r="AL97" s="459"/>
      <c r="AM97" s="457"/>
      <c r="AN97" s="458"/>
      <c r="AO97" s="459"/>
      <c r="AP97" s="457"/>
      <c r="AQ97" s="458"/>
      <c r="AR97" s="459"/>
      <c r="AS97" s="457"/>
      <c r="AT97" s="458"/>
      <c r="AU97" s="459"/>
      <c r="AV97" s="457"/>
      <c r="AW97" s="458"/>
      <c r="AX97" s="459"/>
      <c r="AY97" s="457"/>
      <c r="AZ97" s="458"/>
      <c r="BA97" s="459"/>
      <c r="BB97" s="457"/>
      <c r="BC97" s="458"/>
      <c r="BD97" s="459">
        <f t="shared" si="51"/>
        <v>0</v>
      </c>
    </row>
    <row r="98" spans="1:56" ht="12.75">
      <c r="A98" s="160"/>
      <c r="B98" s="219" t="s">
        <v>778</v>
      </c>
      <c r="C98" s="457">
        <v>3270</v>
      </c>
      <c r="D98" s="458">
        <v>3450</v>
      </c>
      <c r="E98" s="459">
        <f t="shared" si="34"/>
        <v>5.5045871559633035</v>
      </c>
      <c r="F98" s="457">
        <v>9810</v>
      </c>
      <c r="G98" s="458">
        <v>10350</v>
      </c>
      <c r="H98" s="459">
        <f t="shared" si="48"/>
        <v>5.5045871559633035</v>
      </c>
      <c r="I98" s="457"/>
      <c r="J98" s="458"/>
      <c r="K98" s="459">
        <f t="shared" si="49"/>
        <v>0</v>
      </c>
      <c r="L98" s="457"/>
      <c r="M98" s="458"/>
      <c r="N98" s="459">
        <f t="shared" si="50"/>
        <v>0</v>
      </c>
      <c r="O98" s="457"/>
      <c r="P98" s="458"/>
      <c r="Q98" s="459">
        <f t="shared" si="52"/>
        <v>0</v>
      </c>
      <c r="R98" s="457"/>
      <c r="S98" s="458"/>
      <c r="T98" s="459">
        <f t="shared" si="53"/>
        <v>0</v>
      </c>
      <c r="U98" s="457"/>
      <c r="V98" s="458"/>
      <c r="W98" s="459">
        <f t="shared" si="25"/>
        <v>0</v>
      </c>
      <c r="X98" s="457"/>
      <c r="Y98" s="458"/>
      <c r="Z98" s="459">
        <f t="shared" si="35"/>
        <v>0</v>
      </c>
      <c r="AA98" s="457"/>
      <c r="AB98" s="458"/>
      <c r="AC98" s="459">
        <f t="shared" si="36"/>
        <v>0</v>
      </c>
      <c r="AD98" s="457"/>
      <c r="AE98" s="458"/>
      <c r="AF98" s="459">
        <f t="shared" si="37"/>
        <v>0</v>
      </c>
      <c r="AG98" s="457"/>
      <c r="AH98" s="458"/>
      <c r="AI98" s="459">
        <f t="shared" si="38"/>
        <v>0</v>
      </c>
      <c r="AJ98" s="457"/>
      <c r="AK98" s="458"/>
      <c r="AL98" s="459">
        <f t="shared" si="39"/>
        <v>0</v>
      </c>
      <c r="AM98" s="457"/>
      <c r="AN98" s="458"/>
      <c r="AO98" s="459">
        <f t="shared" si="40"/>
        <v>0</v>
      </c>
      <c r="AP98" s="457"/>
      <c r="AQ98" s="458"/>
      <c r="AR98" s="459">
        <f t="shared" si="41"/>
        <v>0</v>
      </c>
      <c r="AS98" s="457"/>
      <c r="AT98" s="458"/>
      <c r="AU98" s="459">
        <f aca="true" t="shared" si="54" ref="AU98:AU104">IF(AS98&gt;0,(((AT98-AS98)/AS98)*100),0)</f>
        <v>0</v>
      </c>
      <c r="AV98" s="457"/>
      <c r="AW98" s="458"/>
      <c r="AX98" s="459">
        <f aca="true" t="shared" si="55" ref="AX98:AX104">IF(AV98&gt;0,(((AW98-AV98)/AV98)*100),0)</f>
        <v>0</v>
      </c>
      <c r="AY98" s="457"/>
      <c r="AZ98" s="458"/>
      <c r="BA98" s="459">
        <f aca="true" t="shared" si="56" ref="BA98:BA104">IF(AY98&gt;0,(((AZ98-AY98)/AY98)*100),0)</f>
        <v>0</v>
      </c>
      <c r="BB98" s="457"/>
      <c r="BC98" s="458"/>
      <c r="BD98" s="459">
        <f t="shared" si="51"/>
        <v>0</v>
      </c>
    </row>
    <row r="99" spans="1:56" s="465" customFormat="1" ht="20.25" customHeight="1">
      <c r="A99" s="460"/>
      <c r="B99" s="461" t="s">
        <v>426</v>
      </c>
      <c r="C99" s="462">
        <v>3270</v>
      </c>
      <c r="D99" s="463">
        <v>3450</v>
      </c>
      <c r="E99" s="464">
        <f t="shared" si="34"/>
        <v>5.5045871559633035</v>
      </c>
      <c r="F99" s="462">
        <v>9810</v>
      </c>
      <c r="G99" s="463">
        <v>10350</v>
      </c>
      <c r="H99" s="464">
        <f t="shared" si="48"/>
        <v>5.5045871559633035</v>
      </c>
      <c r="I99" s="462"/>
      <c r="J99" s="463"/>
      <c r="K99" s="464">
        <f t="shared" si="49"/>
        <v>0</v>
      </c>
      <c r="L99" s="462"/>
      <c r="M99" s="463"/>
      <c r="N99" s="464">
        <f t="shared" si="50"/>
        <v>0</v>
      </c>
      <c r="O99" s="462"/>
      <c r="P99" s="463"/>
      <c r="Q99" s="464">
        <f t="shared" si="52"/>
        <v>0</v>
      </c>
      <c r="R99" s="462"/>
      <c r="S99" s="463"/>
      <c r="T99" s="464">
        <f t="shared" si="53"/>
        <v>0</v>
      </c>
      <c r="U99" s="462"/>
      <c r="V99" s="463"/>
      <c r="W99" s="464">
        <f t="shared" si="25"/>
        <v>0</v>
      </c>
      <c r="X99" s="462"/>
      <c r="Y99" s="463"/>
      <c r="Z99" s="464">
        <f t="shared" si="35"/>
        <v>0</v>
      </c>
      <c r="AA99" s="462"/>
      <c r="AB99" s="463"/>
      <c r="AC99" s="464">
        <f t="shared" si="36"/>
        <v>0</v>
      </c>
      <c r="AD99" s="462"/>
      <c r="AE99" s="463"/>
      <c r="AF99" s="464">
        <f t="shared" si="37"/>
        <v>0</v>
      </c>
      <c r="AG99" s="462"/>
      <c r="AH99" s="463"/>
      <c r="AI99" s="464">
        <f t="shared" si="38"/>
        <v>0</v>
      </c>
      <c r="AJ99" s="462"/>
      <c r="AK99" s="463"/>
      <c r="AL99" s="464">
        <f t="shared" si="39"/>
        <v>0</v>
      </c>
      <c r="AM99" s="462"/>
      <c r="AN99" s="463"/>
      <c r="AO99" s="464">
        <f t="shared" si="40"/>
        <v>0</v>
      </c>
      <c r="AP99" s="462"/>
      <c r="AQ99" s="463"/>
      <c r="AR99" s="464">
        <f t="shared" si="41"/>
        <v>0</v>
      </c>
      <c r="AS99" s="462"/>
      <c r="AT99" s="463"/>
      <c r="AU99" s="464">
        <f t="shared" si="54"/>
        <v>0</v>
      </c>
      <c r="AV99" s="462"/>
      <c r="AW99" s="463"/>
      <c r="AX99" s="464">
        <f t="shared" si="55"/>
        <v>0</v>
      </c>
      <c r="AY99" s="462"/>
      <c r="AZ99" s="463"/>
      <c r="BA99" s="464">
        <f t="shared" si="56"/>
        <v>0</v>
      </c>
      <c r="BB99" s="462"/>
      <c r="BC99" s="463"/>
      <c r="BD99" s="464">
        <f t="shared" si="51"/>
        <v>0</v>
      </c>
    </row>
    <row r="100" spans="1:56" ht="12.75">
      <c r="A100" s="160"/>
      <c r="B100" s="219" t="s">
        <v>779</v>
      </c>
      <c r="C100" s="457">
        <v>3270</v>
      </c>
      <c r="D100" s="458">
        <v>3450</v>
      </c>
      <c r="E100" s="459">
        <f t="shared" si="34"/>
        <v>5.5045871559633035</v>
      </c>
      <c r="F100" s="457">
        <v>9810</v>
      </c>
      <c r="G100" s="458">
        <v>10350</v>
      </c>
      <c r="H100" s="459">
        <f t="shared" si="48"/>
        <v>5.5045871559633035</v>
      </c>
      <c r="I100" s="457"/>
      <c r="J100" s="458"/>
      <c r="K100" s="459">
        <f t="shared" si="49"/>
        <v>0</v>
      </c>
      <c r="L100" s="457"/>
      <c r="M100" s="458"/>
      <c r="N100" s="459">
        <f t="shared" si="50"/>
        <v>0</v>
      </c>
      <c r="O100" s="457"/>
      <c r="P100" s="458"/>
      <c r="Q100" s="459">
        <f t="shared" si="52"/>
        <v>0</v>
      </c>
      <c r="R100" s="457"/>
      <c r="S100" s="458"/>
      <c r="T100" s="459">
        <f t="shared" si="53"/>
        <v>0</v>
      </c>
      <c r="U100" s="457"/>
      <c r="V100" s="458"/>
      <c r="W100" s="459">
        <f t="shared" si="25"/>
        <v>0</v>
      </c>
      <c r="X100" s="457"/>
      <c r="Y100" s="458"/>
      <c r="Z100" s="459">
        <f t="shared" si="35"/>
        <v>0</v>
      </c>
      <c r="AA100" s="457"/>
      <c r="AB100" s="458"/>
      <c r="AC100" s="459">
        <f t="shared" si="36"/>
        <v>0</v>
      </c>
      <c r="AD100" s="457"/>
      <c r="AE100" s="458"/>
      <c r="AF100" s="459">
        <f t="shared" si="37"/>
        <v>0</v>
      </c>
      <c r="AG100" s="457"/>
      <c r="AH100" s="458"/>
      <c r="AI100" s="459">
        <f t="shared" si="38"/>
        <v>0</v>
      </c>
      <c r="AJ100" s="457"/>
      <c r="AK100" s="458"/>
      <c r="AL100" s="459">
        <f t="shared" si="39"/>
        <v>0</v>
      </c>
      <c r="AM100" s="457"/>
      <c r="AN100" s="458"/>
      <c r="AO100" s="459">
        <f t="shared" si="40"/>
        <v>0</v>
      </c>
      <c r="AP100" s="457"/>
      <c r="AQ100" s="458"/>
      <c r="AR100" s="459">
        <f t="shared" si="41"/>
        <v>0</v>
      </c>
      <c r="AS100" s="457"/>
      <c r="AT100" s="458"/>
      <c r="AU100" s="459">
        <f t="shared" si="54"/>
        <v>0</v>
      </c>
      <c r="AV100" s="457"/>
      <c r="AW100" s="458"/>
      <c r="AX100" s="459">
        <f t="shared" si="55"/>
        <v>0</v>
      </c>
      <c r="AY100" s="457"/>
      <c r="AZ100" s="458"/>
      <c r="BA100" s="459">
        <f t="shared" si="56"/>
        <v>0</v>
      </c>
      <c r="BB100" s="457"/>
      <c r="BC100" s="458"/>
      <c r="BD100" s="459">
        <f t="shared" si="51"/>
        <v>0</v>
      </c>
    </row>
    <row r="101" spans="1:56" ht="12.75">
      <c r="A101" s="160"/>
      <c r="B101" s="219" t="s">
        <v>1015</v>
      </c>
      <c r="C101" s="457">
        <v>3270</v>
      </c>
      <c r="D101" s="458">
        <v>3450</v>
      </c>
      <c r="E101" s="459">
        <f t="shared" si="34"/>
        <v>5.5045871559633035</v>
      </c>
      <c r="F101" s="457">
        <v>9810</v>
      </c>
      <c r="G101" s="458">
        <v>10350</v>
      </c>
      <c r="H101" s="459">
        <f t="shared" si="48"/>
        <v>5.5045871559633035</v>
      </c>
      <c r="I101" s="457"/>
      <c r="J101" s="458"/>
      <c r="K101" s="459">
        <f t="shared" si="49"/>
        <v>0</v>
      </c>
      <c r="L101" s="457"/>
      <c r="M101" s="458"/>
      <c r="N101" s="459">
        <f t="shared" si="50"/>
        <v>0</v>
      </c>
      <c r="O101" s="457"/>
      <c r="P101" s="458"/>
      <c r="Q101" s="459">
        <f t="shared" si="52"/>
        <v>0</v>
      </c>
      <c r="R101" s="457"/>
      <c r="S101" s="458"/>
      <c r="T101" s="459">
        <f t="shared" si="53"/>
        <v>0</v>
      </c>
      <c r="U101" s="457"/>
      <c r="V101" s="458"/>
      <c r="W101" s="459">
        <f aca="true" t="shared" si="57" ref="W101:W164">IF(U101&gt;0,(((V101-U101)/U101)*100),0)</f>
        <v>0</v>
      </c>
      <c r="X101" s="457"/>
      <c r="Y101" s="458"/>
      <c r="Z101" s="459">
        <f t="shared" si="35"/>
        <v>0</v>
      </c>
      <c r="AA101" s="457"/>
      <c r="AB101" s="458"/>
      <c r="AC101" s="459">
        <f t="shared" si="36"/>
        <v>0</v>
      </c>
      <c r="AD101" s="457"/>
      <c r="AE101" s="458"/>
      <c r="AF101" s="459">
        <f t="shared" si="37"/>
        <v>0</v>
      </c>
      <c r="AG101" s="457"/>
      <c r="AH101" s="458"/>
      <c r="AI101" s="459">
        <f t="shared" si="38"/>
        <v>0</v>
      </c>
      <c r="AJ101" s="457"/>
      <c r="AK101" s="458"/>
      <c r="AL101" s="459">
        <f t="shared" si="39"/>
        <v>0</v>
      </c>
      <c r="AM101" s="457"/>
      <c r="AN101" s="458"/>
      <c r="AO101" s="459">
        <f t="shared" si="40"/>
        <v>0</v>
      </c>
      <c r="AP101" s="457"/>
      <c r="AQ101" s="458"/>
      <c r="AR101" s="459">
        <f t="shared" si="41"/>
        <v>0</v>
      </c>
      <c r="AS101" s="457"/>
      <c r="AT101" s="458"/>
      <c r="AU101" s="459">
        <f t="shared" si="54"/>
        <v>0</v>
      </c>
      <c r="AV101" s="457"/>
      <c r="AW101" s="458"/>
      <c r="AX101" s="459">
        <f t="shared" si="55"/>
        <v>0</v>
      </c>
      <c r="AY101" s="457"/>
      <c r="AZ101" s="458"/>
      <c r="BA101" s="459">
        <f t="shared" si="56"/>
        <v>0</v>
      </c>
      <c r="BB101" s="457"/>
      <c r="BC101" s="458"/>
      <c r="BD101" s="459">
        <f t="shared" si="51"/>
        <v>0</v>
      </c>
    </row>
    <row r="102" spans="1:56" ht="12.75">
      <c r="A102" s="160"/>
      <c r="B102" s="219" t="s">
        <v>1016</v>
      </c>
      <c r="C102" s="457"/>
      <c r="D102" s="458"/>
      <c r="E102" s="459">
        <f t="shared" si="34"/>
        <v>0</v>
      </c>
      <c r="F102" s="457"/>
      <c r="G102" s="458"/>
      <c r="H102" s="459">
        <f t="shared" si="48"/>
        <v>0</v>
      </c>
      <c r="I102" s="457"/>
      <c r="J102" s="458"/>
      <c r="K102" s="459">
        <f t="shared" si="49"/>
        <v>0</v>
      </c>
      <c r="L102" s="457"/>
      <c r="M102" s="458"/>
      <c r="N102" s="459">
        <f t="shared" si="50"/>
        <v>0</v>
      </c>
      <c r="O102" s="457"/>
      <c r="P102" s="458"/>
      <c r="Q102" s="459">
        <f t="shared" si="52"/>
        <v>0</v>
      </c>
      <c r="R102" s="457"/>
      <c r="S102" s="458"/>
      <c r="T102" s="459">
        <f t="shared" si="53"/>
        <v>0</v>
      </c>
      <c r="U102" s="457"/>
      <c r="V102" s="458"/>
      <c r="W102" s="459">
        <f t="shared" si="57"/>
        <v>0</v>
      </c>
      <c r="X102" s="457"/>
      <c r="Y102" s="458"/>
      <c r="Z102" s="459">
        <f t="shared" si="35"/>
        <v>0</v>
      </c>
      <c r="AA102" s="457"/>
      <c r="AB102" s="458"/>
      <c r="AC102" s="459">
        <f t="shared" si="36"/>
        <v>0</v>
      </c>
      <c r="AD102" s="457"/>
      <c r="AE102" s="458"/>
      <c r="AF102" s="459">
        <f t="shared" si="37"/>
        <v>0</v>
      </c>
      <c r="AG102" s="457"/>
      <c r="AH102" s="458"/>
      <c r="AI102" s="459">
        <f t="shared" si="38"/>
        <v>0</v>
      </c>
      <c r="AJ102" s="457"/>
      <c r="AK102" s="458"/>
      <c r="AL102" s="459">
        <f t="shared" si="39"/>
        <v>0</v>
      </c>
      <c r="AM102" s="457"/>
      <c r="AN102" s="458"/>
      <c r="AO102" s="459">
        <f t="shared" si="40"/>
        <v>0</v>
      </c>
      <c r="AP102" s="457"/>
      <c r="AQ102" s="458"/>
      <c r="AR102" s="459">
        <f t="shared" si="41"/>
        <v>0</v>
      </c>
      <c r="AS102" s="457"/>
      <c r="AT102" s="458"/>
      <c r="AU102" s="459">
        <f t="shared" si="54"/>
        <v>0</v>
      </c>
      <c r="AV102" s="457"/>
      <c r="AW102" s="458"/>
      <c r="AX102" s="459">
        <f t="shared" si="55"/>
        <v>0</v>
      </c>
      <c r="AY102" s="457"/>
      <c r="AZ102" s="458"/>
      <c r="BA102" s="459">
        <f t="shared" si="56"/>
        <v>0</v>
      </c>
      <c r="BB102" s="457"/>
      <c r="BC102" s="458"/>
      <c r="BD102" s="459">
        <f t="shared" si="51"/>
        <v>0</v>
      </c>
    </row>
    <row r="103" spans="1:56" s="465" customFormat="1" ht="21.75" customHeight="1">
      <c r="A103" s="460"/>
      <c r="B103" s="461" t="s">
        <v>978</v>
      </c>
      <c r="C103" s="462">
        <v>3270</v>
      </c>
      <c r="D103" s="463">
        <v>3450</v>
      </c>
      <c r="E103" s="464">
        <f t="shared" si="34"/>
        <v>5.5045871559633035</v>
      </c>
      <c r="F103" s="462">
        <v>9810</v>
      </c>
      <c r="G103" s="463">
        <v>10350</v>
      </c>
      <c r="H103" s="464">
        <f t="shared" si="48"/>
        <v>5.5045871559633035</v>
      </c>
      <c r="I103" s="462"/>
      <c r="J103" s="463"/>
      <c r="K103" s="464">
        <f t="shared" si="49"/>
        <v>0</v>
      </c>
      <c r="L103" s="462"/>
      <c r="M103" s="463"/>
      <c r="N103" s="464">
        <f t="shared" si="50"/>
        <v>0</v>
      </c>
      <c r="O103" s="462"/>
      <c r="P103" s="463"/>
      <c r="Q103" s="464">
        <f t="shared" si="52"/>
        <v>0</v>
      </c>
      <c r="R103" s="462"/>
      <c r="S103" s="463"/>
      <c r="T103" s="464">
        <f t="shared" si="53"/>
        <v>0</v>
      </c>
      <c r="U103" s="462"/>
      <c r="V103" s="463"/>
      <c r="W103" s="464">
        <f t="shared" si="57"/>
        <v>0</v>
      </c>
      <c r="X103" s="462"/>
      <c r="Y103" s="463"/>
      <c r="Z103" s="464">
        <f t="shared" si="35"/>
        <v>0</v>
      </c>
      <c r="AA103" s="462"/>
      <c r="AB103" s="463"/>
      <c r="AC103" s="464">
        <f t="shared" si="36"/>
        <v>0</v>
      </c>
      <c r="AD103" s="462"/>
      <c r="AE103" s="463"/>
      <c r="AF103" s="464">
        <f t="shared" si="37"/>
        <v>0</v>
      </c>
      <c r="AG103" s="462"/>
      <c r="AH103" s="463"/>
      <c r="AI103" s="464">
        <f t="shared" si="38"/>
        <v>0</v>
      </c>
      <c r="AJ103" s="462"/>
      <c r="AK103" s="463"/>
      <c r="AL103" s="464">
        <f t="shared" si="39"/>
        <v>0</v>
      </c>
      <c r="AM103" s="462"/>
      <c r="AN103" s="463"/>
      <c r="AO103" s="464">
        <f t="shared" si="40"/>
        <v>0</v>
      </c>
      <c r="AP103" s="462"/>
      <c r="AQ103" s="463"/>
      <c r="AR103" s="464">
        <f t="shared" si="41"/>
        <v>0</v>
      </c>
      <c r="AS103" s="462"/>
      <c r="AT103" s="463"/>
      <c r="AU103" s="464">
        <f t="shared" si="54"/>
        <v>0</v>
      </c>
      <c r="AV103" s="462"/>
      <c r="AW103" s="463"/>
      <c r="AX103" s="464">
        <f t="shared" si="55"/>
        <v>0</v>
      </c>
      <c r="AY103" s="462"/>
      <c r="AZ103" s="463"/>
      <c r="BA103" s="464">
        <f t="shared" si="56"/>
        <v>0</v>
      </c>
      <c r="BB103" s="462"/>
      <c r="BC103" s="463"/>
      <c r="BD103" s="464">
        <f t="shared" si="51"/>
        <v>0</v>
      </c>
    </row>
    <row r="104" spans="1:56" ht="12.75">
      <c r="A104" s="466"/>
      <c r="B104" s="467" t="s">
        <v>781</v>
      </c>
      <c r="C104" s="468"/>
      <c r="D104" s="469"/>
      <c r="E104" s="471">
        <f t="shared" si="34"/>
        <v>0</v>
      </c>
      <c r="F104" s="468"/>
      <c r="G104" s="469"/>
      <c r="H104" s="471">
        <f t="shared" si="48"/>
        <v>0</v>
      </c>
      <c r="I104" s="468"/>
      <c r="J104" s="469"/>
      <c r="K104" s="471">
        <f t="shared" si="49"/>
        <v>0</v>
      </c>
      <c r="L104" s="468"/>
      <c r="M104" s="469"/>
      <c r="N104" s="471">
        <f t="shared" si="50"/>
        <v>0</v>
      </c>
      <c r="O104" s="468">
        <v>11410</v>
      </c>
      <c r="P104" s="469">
        <v>12540</v>
      </c>
      <c r="Q104" s="471">
        <f t="shared" si="52"/>
        <v>9.903593339176162</v>
      </c>
      <c r="R104" s="468">
        <v>23554</v>
      </c>
      <c r="S104" s="469">
        <v>25886</v>
      </c>
      <c r="T104" s="471">
        <f t="shared" si="53"/>
        <v>9.900653816761483</v>
      </c>
      <c r="U104" s="468">
        <v>20849</v>
      </c>
      <c r="V104" s="469">
        <v>23078</v>
      </c>
      <c r="W104" s="471">
        <f t="shared" si="57"/>
        <v>10.691160247493885</v>
      </c>
      <c r="X104" s="468">
        <v>42036</v>
      </c>
      <c r="Y104" s="469">
        <v>43952.5</v>
      </c>
      <c r="Z104" s="471">
        <f t="shared" si="35"/>
        <v>4.559187363212485</v>
      </c>
      <c r="AA104" s="468">
        <v>18311</v>
      </c>
      <c r="AB104" s="469">
        <v>20027</v>
      </c>
      <c r="AC104" s="471">
        <f t="shared" si="36"/>
        <v>9.371416088689859</v>
      </c>
      <c r="AD104" s="468">
        <v>41541</v>
      </c>
      <c r="AE104" s="469">
        <v>44939</v>
      </c>
      <c r="AF104" s="471">
        <f t="shared" si="37"/>
        <v>8.179870489396018</v>
      </c>
      <c r="AG104" s="468">
        <v>16308</v>
      </c>
      <c r="AH104" s="469">
        <v>17776</v>
      </c>
      <c r="AI104" s="471">
        <f t="shared" si="38"/>
        <v>9.001716948736817</v>
      </c>
      <c r="AJ104" s="468">
        <v>31060</v>
      </c>
      <c r="AK104" s="469">
        <v>33098</v>
      </c>
      <c r="AL104" s="471">
        <f t="shared" si="39"/>
        <v>6.561493882807469</v>
      </c>
      <c r="AM104" s="468"/>
      <c r="AN104" s="469"/>
      <c r="AO104" s="471">
        <f t="shared" si="40"/>
        <v>0</v>
      </c>
      <c r="AP104" s="468"/>
      <c r="AQ104" s="469"/>
      <c r="AR104" s="471">
        <f t="shared" si="41"/>
        <v>0</v>
      </c>
      <c r="AS104" s="468"/>
      <c r="AT104" s="469"/>
      <c r="AU104" s="471">
        <f t="shared" si="54"/>
        <v>0</v>
      </c>
      <c r="AV104" s="468"/>
      <c r="AW104" s="469"/>
      <c r="AX104" s="471">
        <f t="shared" si="55"/>
        <v>0</v>
      </c>
      <c r="AY104" s="468"/>
      <c r="AZ104" s="469"/>
      <c r="BA104" s="471">
        <f t="shared" si="56"/>
        <v>0</v>
      </c>
      <c r="BB104" s="468"/>
      <c r="BC104" s="469"/>
      <c r="BD104" s="471">
        <f t="shared" si="51"/>
        <v>0</v>
      </c>
    </row>
    <row r="105" spans="1:56" ht="12.75">
      <c r="A105" s="158" t="s">
        <v>812</v>
      </c>
      <c r="B105" s="219" t="s">
        <v>89</v>
      </c>
      <c r="C105" s="457">
        <v>4449</v>
      </c>
      <c r="D105" s="458">
        <v>4688</v>
      </c>
      <c r="E105" s="459">
        <f t="shared" si="34"/>
        <v>5.371993706450888</v>
      </c>
      <c r="F105" s="457">
        <v>12749</v>
      </c>
      <c r="G105" s="458">
        <v>12988</v>
      </c>
      <c r="H105" s="459">
        <f t="shared" si="48"/>
        <v>1.874656835830261</v>
      </c>
      <c r="I105" s="457">
        <v>4428</v>
      </c>
      <c r="J105" s="458">
        <v>4622</v>
      </c>
      <c r="K105" s="459">
        <f t="shared" si="49"/>
        <v>4.381210478771455</v>
      </c>
      <c r="L105" s="457">
        <v>12728</v>
      </c>
      <c r="M105" s="458">
        <v>12922</v>
      </c>
      <c r="N105" s="459">
        <f t="shared" si="50"/>
        <v>1.5241986172218729</v>
      </c>
      <c r="O105" s="457"/>
      <c r="P105" s="458"/>
      <c r="Q105" s="459"/>
      <c r="R105" s="457"/>
      <c r="S105" s="458"/>
      <c r="T105" s="459"/>
      <c r="U105" s="457"/>
      <c r="V105" s="458"/>
      <c r="W105" s="459"/>
      <c r="X105" s="457"/>
      <c r="Y105" s="458"/>
      <c r="Z105" s="459"/>
      <c r="AA105" s="457"/>
      <c r="AB105" s="458"/>
      <c r="AC105" s="459">
        <f t="shared" si="36"/>
        <v>0</v>
      </c>
      <c r="AD105" s="457"/>
      <c r="AE105" s="458"/>
      <c r="AF105" s="459"/>
      <c r="AG105" s="457"/>
      <c r="AH105" s="458"/>
      <c r="AI105" s="459"/>
      <c r="AJ105" s="457"/>
      <c r="AK105" s="458"/>
      <c r="AL105" s="459"/>
      <c r="AM105" s="457"/>
      <c r="AN105" s="458"/>
      <c r="AO105" s="459"/>
      <c r="AP105" s="457"/>
      <c r="AQ105" s="458"/>
      <c r="AR105" s="459"/>
      <c r="AS105" s="457"/>
      <c r="AT105" s="458"/>
      <c r="AU105" s="459"/>
      <c r="AV105" s="457"/>
      <c r="AW105" s="458"/>
      <c r="AX105" s="459"/>
      <c r="AY105" s="457"/>
      <c r="AZ105" s="458"/>
      <c r="BA105" s="459"/>
      <c r="BB105" s="457"/>
      <c r="BC105" s="458"/>
      <c r="BD105" s="459"/>
    </row>
    <row r="106" spans="1:56" ht="12.75">
      <c r="A106" s="160"/>
      <c r="B106" s="219" t="s">
        <v>90</v>
      </c>
      <c r="C106" s="457">
        <v>3810</v>
      </c>
      <c r="D106" s="458">
        <v>3984</v>
      </c>
      <c r="E106" s="459">
        <f t="shared" si="34"/>
        <v>4.566929133858268</v>
      </c>
      <c r="F106" s="457">
        <v>9693</v>
      </c>
      <c r="G106" s="458">
        <v>9888</v>
      </c>
      <c r="H106" s="459">
        <f t="shared" si="48"/>
        <v>2.0117610646858557</v>
      </c>
      <c r="I106" s="457">
        <v>3720</v>
      </c>
      <c r="J106" s="458">
        <v>3918</v>
      </c>
      <c r="K106" s="459">
        <f t="shared" si="49"/>
        <v>5.32258064516129</v>
      </c>
      <c r="L106" s="457">
        <v>9524</v>
      </c>
      <c r="M106" s="458">
        <v>9628</v>
      </c>
      <c r="N106" s="459">
        <f t="shared" si="50"/>
        <v>1.0919781604367913</v>
      </c>
      <c r="O106" s="457"/>
      <c r="P106" s="458"/>
      <c r="Q106" s="459"/>
      <c r="R106" s="457"/>
      <c r="S106" s="458"/>
      <c r="T106" s="459"/>
      <c r="U106" s="457"/>
      <c r="V106" s="458"/>
      <c r="W106" s="459"/>
      <c r="X106" s="457"/>
      <c r="Y106" s="458"/>
      <c r="Z106" s="459"/>
      <c r="AA106" s="457"/>
      <c r="AB106" s="458"/>
      <c r="AC106" s="459">
        <f t="shared" si="36"/>
        <v>0</v>
      </c>
      <c r="AD106" s="457"/>
      <c r="AE106" s="458"/>
      <c r="AF106" s="459"/>
      <c r="AG106" s="457"/>
      <c r="AH106" s="458"/>
      <c r="AI106" s="459"/>
      <c r="AJ106" s="457"/>
      <c r="AK106" s="458"/>
      <c r="AL106" s="459"/>
      <c r="AM106" s="457"/>
      <c r="AN106" s="458"/>
      <c r="AO106" s="459"/>
      <c r="AP106" s="457"/>
      <c r="AQ106" s="458"/>
      <c r="AR106" s="459"/>
      <c r="AS106" s="457"/>
      <c r="AT106" s="458"/>
      <c r="AU106" s="459"/>
      <c r="AV106" s="457"/>
      <c r="AW106" s="458"/>
      <c r="AX106" s="459"/>
      <c r="AY106" s="457"/>
      <c r="AZ106" s="458"/>
      <c r="BA106" s="459"/>
      <c r="BB106" s="457"/>
      <c r="BC106" s="458"/>
      <c r="BD106" s="459"/>
    </row>
    <row r="107" spans="1:56" ht="12.75">
      <c r="A107" s="160"/>
      <c r="B107" s="219" t="s">
        <v>91</v>
      </c>
      <c r="C107" s="457">
        <v>3374.9</v>
      </c>
      <c r="D107" s="458">
        <v>3501</v>
      </c>
      <c r="E107" s="459">
        <f t="shared" si="34"/>
        <v>3.736407004651987</v>
      </c>
      <c r="F107" s="457">
        <v>9298</v>
      </c>
      <c r="G107" s="458">
        <v>9453</v>
      </c>
      <c r="H107" s="459">
        <f t="shared" si="48"/>
        <v>1.6670251667025169</v>
      </c>
      <c r="I107" s="457">
        <v>3264.9</v>
      </c>
      <c r="J107" s="458">
        <v>3511</v>
      </c>
      <c r="K107" s="459">
        <f t="shared" si="49"/>
        <v>7.5377500076572</v>
      </c>
      <c r="L107" s="457">
        <v>8690</v>
      </c>
      <c r="M107" s="458">
        <v>8850</v>
      </c>
      <c r="N107" s="459">
        <f t="shared" si="50"/>
        <v>1.8411967779056386</v>
      </c>
      <c r="O107" s="457"/>
      <c r="P107" s="458"/>
      <c r="Q107" s="459"/>
      <c r="R107" s="457"/>
      <c r="S107" s="458"/>
      <c r="T107" s="459"/>
      <c r="U107" s="457"/>
      <c r="V107" s="458"/>
      <c r="W107" s="459"/>
      <c r="X107" s="457"/>
      <c r="Y107" s="458"/>
      <c r="Z107" s="459"/>
      <c r="AA107" s="457"/>
      <c r="AB107" s="458"/>
      <c r="AC107" s="459">
        <f t="shared" si="36"/>
        <v>0</v>
      </c>
      <c r="AD107" s="457"/>
      <c r="AE107" s="458"/>
      <c r="AF107" s="459"/>
      <c r="AG107" s="457"/>
      <c r="AH107" s="458"/>
      <c r="AI107" s="459"/>
      <c r="AJ107" s="457"/>
      <c r="AK107" s="458"/>
      <c r="AL107" s="459"/>
      <c r="AM107" s="457"/>
      <c r="AN107" s="458"/>
      <c r="AO107" s="459"/>
      <c r="AP107" s="457"/>
      <c r="AQ107" s="458"/>
      <c r="AR107" s="459"/>
      <c r="AS107" s="457"/>
      <c r="AT107" s="458"/>
      <c r="AU107" s="459"/>
      <c r="AV107" s="457"/>
      <c r="AW107" s="458"/>
      <c r="AX107" s="459"/>
      <c r="AY107" s="457"/>
      <c r="AZ107" s="458"/>
      <c r="BA107" s="459"/>
      <c r="BB107" s="457"/>
      <c r="BC107" s="458"/>
      <c r="BD107" s="459"/>
    </row>
    <row r="108" spans="1:56" ht="12.75">
      <c r="A108" s="160"/>
      <c r="B108" s="219" t="s">
        <v>92</v>
      </c>
      <c r="C108" s="457">
        <v>3371.6</v>
      </c>
      <c r="D108" s="458">
        <v>3595</v>
      </c>
      <c r="E108" s="459">
        <f t="shared" si="34"/>
        <v>6.625934274528417</v>
      </c>
      <c r="F108" s="457">
        <v>8798.5</v>
      </c>
      <c r="G108" s="458">
        <v>9043</v>
      </c>
      <c r="H108" s="459">
        <f t="shared" si="48"/>
        <v>2.7788827641075184</v>
      </c>
      <c r="I108" s="457">
        <v>3350.5</v>
      </c>
      <c r="J108" s="458">
        <v>3641</v>
      </c>
      <c r="K108" s="459">
        <f t="shared" si="49"/>
        <v>8.67034770929712</v>
      </c>
      <c r="L108" s="457">
        <v>9343.6</v>
      </c>
      <c r="M108" s="458">
        <v>9437</v>
      </c>
      <c r="N108" s="459">
        <f t="shared" si="50"/>
        <v>0.9996147095337946</v>
      </c>
      <c r="O108" s="457"/>
      <c r="P108" s="458"/>
      <c r="Q108" s="459"/>
      <c r="R108" s="457"/>
      <c r="S108" s="458"/>
      <c r="T108" s="459"/>
      <c r="U108" s="457"/>
      <c r="V108" s="458"/>
      <c r="W108" s="459"/>
      <c r="X108" s="457"/>
      <c r="Y108" s="458"/>
      <c r="Z108" s="459"/>
      <c r="AA108" s="457"/>
      <c r="AB108" s="458"/>
      <c r="AC108" s="459">
        <f t="shared" si="36"/>
        <v>0</v>
      </c>
      <c r="AD108" s="457"/>
      <c r="AE108" s="458"/>
      <c r="AF108" s="459"/>
      <c r="AG108" s="457"/>
      <c r="AH108" s="458"/>
      <c r="AI108" s="459"/>
      <c r="AJ108" s="457"/>
      <c r="AK108" s="458"/>
      <c r="AL108" s="459"/>
      <c r="AM108" s="457"/>
      <c r="AN108" s="458"/>
      <c r="AO108" s="459"/>
      <c r="AP108" s="457"/>
      <c r="AQ108" s="458"/>
      <c r="AR108" s="459"/>
      <c r="AS108" s="457"/>
      <c r="AT108" s="458"/>
      <c r="AU108" s="459"/>
      <c r="AV108" s="457"/>
      <c r="AW108" s="458"/>
      <c r="AX108" s="459"/>
      <c r="AY108" s="457"/>
      <c r="AZ108" s="458"/>
      <c r="BA108" s="459"/>
      <c r="BB108" s="457"/>
      <c r="BC108" s="458"/>
      <c r="BD108" s="459"/>
    </row>
    <row r="109" spans="1:56" ht="12.75">
      <c r="A109" s="160"/>
      <c r="B109" s="219" t="s">
        <v>93</v>
      </c>
      <c r="C109" s="457">
        <v>3506</v>
      </c>
      <c r="D109" s="458">
        <v>2976</v>
      </c>
      <c r="E109" s="459">
        <f t="shared" si="34"/>
        <v>-15.116942384483743</v>
      </c>
      <c r="F109" s="457">
        <v>9298</v>
      </c>
      <c r="G109" s="458">
        <v>6714</v>
      </c>
      <c r="H109" s="459">
        <f t="shared" si="48"/>
        <v>-27.790922779092277</v>
      </c>
      <c r="I109" s="457">
        <v>3524</v>
      </c>
      <c r="J109" s="458">
        <v>3792</v>
      </c>
      <c r="K109" s="459">
        <f t="shared" si="49"/>
        <v>7.604994324631101</v>
      </c>
      <c r="L109" s="457">
        <v>8690</v>
      </c>
      <c r="M109" s="458">
        <v>6707</v>
      </c>
      <c r="N109" s="459">
        <f t="shared" si="50"/>
        <v>-22.81933256616801</v>
      </c>
      <c r="O109" s="457"/>
      <c r="P109" s="458"/>
      <c r="Q109" s="459"/>
      <c r="R109" s="457"/>
      <c r="S109" s="458"/>
      <c r="T109" s="459"/>
      <c r="U109" s="457"/>
      <c r="V109" s="458"/>
      <c r="W109" s="459"/>
      <c r="X109" s="457"/>
      <c r="Y109" s="458"/>
      <c r="Z109" s="459"/>
      <c r="AA109" s="457"/>
      <c r="AB109" s="458"/>
      <c r="AC109" s="459">
        <f t="shared" si="36"/>
        <v>0</v>
      </c>
      <c r="AD109" s="457"/>
      <c r="AE109" s="458"/>
      <c r="AF109" s="459"/>
      <c r="AG109" s="457"/>
      <c r="AH109" s="458"/>
      <c r="AI109" s="459"/>
      <c r="AJ109" s="457"/>
      <c r="AK109" s="458"/>
      <c r="AL109" s="459"/>
      <c r="AM109" s="457"/>
      <c r="AN109" s="458"/>
      <c r="AO109" s="459"/>
      <c r="AP109" s="457"/>
      <c r="AQ109" s="458"/>
      <c r="AR109" s="459"/>
      <c r="AS109" s="457"/>
      <c r="AT109" s="458"/>
      <c r="AU109" s="459"/>
      <c r="AV109" s="457"/>
      <c r="AW109" s="458"/>
      <c r="AX109" s="459"/>
      <c r="AY109" s="457"/>
      <c r="AZ109" s="458"/>
      <c r="BA109" s="459"/>
      <c r="BB109" s="457"/>
      <c r="BC109" s="458"/>
      <c r="BD109" s="459"/>
    </row>
    <row r="110" spans="1:56" ht="12.75">
      <c r="A110" s="160"/>
      <c r="B110" s="219" t="s">
        <v>94</v>
      </c>
      <c r="C110" s="457"/>
      <c r="D110" s="458"/>
      <c r="E110" s="459">
        <f t="shared" si="34"/>
        <v>0</v>
      </c>
      <c r="F110" s="457"/>
      <c r="G110" s="458"/>
      <c r="H110" s="459">
        <f t="shared" si="48"/>
        <v>0</v>
      </c>
      <c r="I110" s="457"/>
      <c r="J110" s="458"/>
      <c r="K110" s="459">
        <f t="shared" si="49"/>
        <v>0</v>
      </c>
      <c r="L110" s="457"/>
      <c r="M110" s="458"/>
      <c r="N110" s="459">
        <f t="shared" si="50"/>
        <v>0</v>
      </c>
      <c r="O110" s="457"/>
      <c r="P110" s="458"/>
      <c r="Q110" s="459"/>
      <c r="R110" s="457"/>
      <c r="S110" s="458"/>
      <c r="T110" s="459"/>
      <c r="U110" s="457"/>
      <c r="V110" s="458"/>
      <c r="W110" s="459"/>
      <c r="X110" s="457"/>
      <c r="Y110" s="458"/>
      <c r="Z110" s="459"/>
      <c r="AA110" s="457"/>
      <c r="AB110" s="458"/>
      <c r="AC110" s="459">
        <f t="shared" si="36"/>
        <v>0</v>
      </c>
      <c r="AD110" s="457"/>
      <c r="AE110" s="458"/>
      <c r="AF110" s="459"/>
      <c r="AG110" s="457"/>
      <c r="AH110" s="458"/>
      <c r="AI110" s="459"/>
      <c r="AJ110" s="457"/>
      <c r="AK110" s="458"/>
      <c r="AL110" s="459"/>
      <c r="AM110" s="457"/>
      <c r="AN110" s="458"/>
      <c r="AO110" s="459"/>
      <c r="AP110" s="457"/>
      <c r="AQ110" s="458"/>
      <c r="AR110" s="459"/>
      <c r="AS110" s="457"/>
      <c r="AT110" s="458"/>
      <c r="AU110" s="459"/>
      <c r="AV110" s="457"/>
      <c r="AW110" s="458"/>
      <c r="AX110" s="459"/>
      <c r="AY110" s="457"/>
      <c r="AZ110" s="458"/>
      <c r="BA110" s="459"/>
      <c r="BB110" s="457"/>
      <c r="BC110" s="458"/>
      <c r="BD110" s="459"/>
    </row>
    <row r="111" spans="1:56" s="465" customFormat="1" ht="19.5" customHeight="1">
      <c r="A111" s="460"/>
      <c r="B111" s="461" t="s">
        <v>821</v>
      </c>
      <c r="C111" s="462">
        <v>3438</v>
      </c>
      <c r="D111" s="463">
        <v>3595</v>
      </c>
      <c r="E111" s="464">
        <f t="shared" si="34"/>
        <v>4.566608493310064</v>
      </c>
      <c r="F111" s="462">
        <v>9298</v>
      </c>
      <c r="G111" s="463">
        <v>9453</v>
      </c>
      <c r="H111" s="464">
        <f t="shared" si="48"/>
        <v>1.6670251667025169</v>
      </c>
      <c r="I111" s="462">
        <v>3524</v>
      </c>
      <c r="J111" s="463">
        <v>3684</v>
      </c>
      <c r="K111" s="464">
        <f t="shared" si="49"/>
        <v>4.540295119182747</v>
      </c>
      <c r="L111" s="462">
        <v>9222.9</v>
      </c>
      <c r="M111" s="463">
        <v>9437</v>
      </c>
      <c r="N111" s="464">
        <f t="shared" si="50"/>
        <v>2.321395656463806</v>
      </c>
      <c r="O111" s="462"/>
      <c r="P111" s="463"/>
      <c r="Q111" s="464"/>
      <c r="R111" s="462"/>
      <c r="S111" s="463"/>
      <c r="T111" s="464"/>
      <c r="U111" s="462"/>
      <c r="V111" s="463"/>
      <c r="W111" s="464"/>
      <c r="X111" s="462"/>
      <c r="Y111" s="463"/>
      <c r="Z111" s="464"/>
      <c r="AA111" s="462"/>
      <c r="AB111" s="463"/>
      <c r="AC111" s="464">
        <f t="shared" si="36"/>
        <v>0</v>
      </c>
      <c r="AD111" s="462"/>
      <c r="AE111" s="463"/>
      <c r="AF111" s="464"/>
      <c r="AG111" s="462"/>
      <c r="AH111" s="463"/>
      <c r="AI111" s="464"/>
      <c r="AJ111" s="462"/>
      <c r="AK111" s="463"/>
      <c r="AL111" s="464"/>
      <c r="AM111" s="462"/>
      <c r="AN111" s="463"/>
      <c r="AO111" s="464"/>
      <c r="AP111" s="462"/>
      <c r="AQ111" s="463"/>
      <c r="AR111" s="464"/>
      <c r="AS111" s="462"/>
      <c r="AT111" s="463"/>
      <c r="AU111" s="464"/>
      <c r="AV111" s="462"/>
      <c r="AW111" s="463"/>
      <c r="AX111" s="464"/>
      <c r="AY111" s="462"/>
      <c r="AZ111" s="463"/>
      <c r="BA111" s="464"/>
      <c r="BB111" s="462"/>
      <c r="BC111" s="463"/>
      <c r="BD111" s="464"/>
    </row>
    <row r="112" spans="1:56" ht="12.75">
      <c r="A112" s="160"/>
      <c r="B112" s="219" t="s">
        <v>95</v>
      </c>
      <c r="C112" s="457">
        <v>3092.5</v>
      </c>
      <c r="D112" s="458">
        <v>3169</v>
      </c>
      <c r="E112" s="459">
        <f t="shared" si="34"/>
        <v>2.473726758286176</v>
      </c>
      <c r="F112" s="457">
        <v>5552.5</v>
      </c>
      <c r="G112" s="458">
        <v>5629</v>
      </c>
      <c r="H112" s="459">
        <f t="shared" si="48"/>
        <v>1.3777577667717245</v>
      </c>
      <c r="I112" s="457"/>
      <c r="J112" s="458"/>
      <c r="K112" s="459">
        <f t="shared" si="49"/>
        <v>0</v>
      </c>
      <c r="L112" s="457"/>
      <c r="M112" s="458"/>
      <c r="N112" s="459">
        <f t="shared" si="50"/>
        <v>0</v>
      </c>
      <c r="O112" s="457"/>
      <c r="P112" s="458"/>
      <c r="Q112" s="459"/>
      <c r="R112" s="457"/>
      <c r="S112" s="458"/>
      <c r="T112" s="459"/>
      <c r="U112" s="457"/>
      <c r="V112" s="458"/>
      <c r="W112" s="459"/>
      <c r="X112" s="457"/>
      <c r="Y112" s="458"/>
      <c r="Z112" s="459"/>
      <c r="AA112" s="457"/>
      <c r="AB112" s="458"/>
      <c r="AC112" s="459">
        <f t="shared" si="36"/>
        <v>0</v>
      </c>
      <c r="AD112" s="457"/>
      <c r="AE112" s="458"/>
      <c r="AF112" s="459"/>
      <c r="AG112" s="457"/>
      <c r="AH112" s="458"/>
      <c r="AI112" s="459"/>
      <c r="AJ112" s="457"/>
      <c r="AK112" s="458"/>
      <c r="AL112" s="459"/>
      <c r="AM112" s="457"/>
      <c r="AN112" s="458"/>
      <c r="AO112" s="459"/>
      <c r="AP112" s="457"/>
      <c r="AQ112" s="458"/>
      <c r="AR112" s="459"/>
      <c r="AS112" s="457"/>
      <c r="AT112" s="458"/>
      <c r="AU112" s="459"/>
      <c r="AV112" s="457"/>
      <c r="AW112" s="458"/>
      <c r="AX112" s="459"/>
      <c r="AY112" s="457"/>
      <c r="AZ112" s="458"/>
      <c r="BA112" s="459"/>
      <c r="BB112" s="457"/>
      <c r="BC112" s="458"/>
      <c r="BD112" s="459">
        <f aca="true" t="shared" si="58" ref="BD112:BD121">IF(BB112&gt;0,(((BC112-BB112)/BB112)*100),0)</f>
        <v>0</v>
      </c>
    </row>
    <row r="113" spans="1:56" ht="12.75">
      <c r="A113" s="160"/>
      <c r="B113" s="219" t="s">
        <v>96</v>
      </c>
      <c r="C113" s="457">
        <v>1928</v>
      </c>
      <c r="D113" s="458">
        <v>1928</v>
      </c>
      <c r="E113" s="459">
        <f t="shared" si="34"/>
        <v>0</v>
      </c>
      <c r="F113" s="457">
        <v>4908</v>
      </c>
      <c r="G113" s="458">
        <v>4908</v>
      </c>
      <c r="H113" s="459">
        <f t="shared" si="48"/>
        <v>0</v>
      </c>
      <c r="I113" s="457"/>
      <c r="J113" s="458"/>
      <c r="K113" s="459">
        <f t="shared" si="49"/>
        <v>0</v>
      </c>
      <c r="L113" s="457"/>
      <c r="M113" s="458"/>
      <c r="N113" s="459">
        <f t="shared" si="50"/>
        <v>0</v>
      </c>
      <c r="O113" s="457"/>
      <c r="P113" s="458"/>
      <c r="Q113" s="459"/>
      <c r="R113" s="457"/>
      <c r="S113" s="458"/>
      <c r="T113" s="459"/>
      <c r="U113" s="457"/>
      <c r="V113" s="458"/>
      <c r="W113" s="459"/>
      <c r="X113" s="457"/>
      <c r="Y113" s="458"/>
      <c r="Z113" s="459"/>
      <c r="AA113" s="457"/>
      <c r="AB113" s="458"/>
      <c r="AC113" s="459">
        <f t="shared" si="36"/>
        <v>0</v>
      </c>
      <c r="AD113" s="457"/>
      <c r="AE113" s="458"/>
      <c r="AF113" s="459"/>
      <c r="AG113" s="457"/>
      <c r="AH113" s="458"/>
      <c r="AI113" s="459"/>
      <c r="AJ113" s="457"/>
      <c r="AK113" s="458"/>
      <c r="AL113" s="459"/>
      <c r="AM113" s="457"/>
      <c r="AN113" s="458"/>
      <c r="AO113" s="459"/>
      <c r="AP113" s="457"/>
      <c r="AQ113" s="458"/>
      <c r="AR113" s="459"/>
      <c r="AS113" s="457"/>
      <c r="AT113" s="458"/>
      <c r="AU113" s="459"/>
      <c r="AV113" s="457"/>
      <c r="AW113" s="458"/>
      <c r="AX113" s="459"/>
      <c r="AY113" s="457"/>
      <c r="AZ113" s="458"/>
      <c r="BA113" s="459"/>
      <c r="BB113" s="457"/>
      <c r="BC113" s="458"/>
      <c r="BD113" s="459">
        <f t="shared" si="58"/>
        <v>0</v>
      </c>
    </row>
    <row r="114" spans="1:56" ht="12.75">
      <c r="A114" s="160"/>
      <c r="B114" s="219" t="s">
        <v>97</v>
      </c>
      <c r="C114" s="457">
        <v>1806</v>
      </c>
      <c r="D114" s="458">
        <v>1806</v>
      </c>
      <c r="E114" s="459">
        <f t="shared" si="34"/>
        <v>0</v>
      </c>
      <c r="F114" s="457">
        <v>4614</v>
      </c>
      <c r="G114" s="458">
        <v>4614</v>
      </c>
      <c r="H114" s="459">
        <f t="shared" si="48"/>
        <v>0</v>
      </c>
      <c r="I114" s="457"/>
      <c r="J114" s="458"/>
      <c r="K114" s="459">
        <f t="shared" si="49"/>
        <v>0</v>
      </c>
      <c r="L114" s="457"/>
      <c r="M114" s="458"/>
      <c r="N114" s="459">
        <f t="shared" si="50"/>
        <v>0</v>
      </c>
      <c r="O114" s="457"/>
      <c r="P114" s="458"/>
      <c r="Q114" s="459"/>
      <c r="R114" s="457"/>
      <c r="S114" s="458"/>
      <c r="T114" s="459"/>
      <c r="U114" s="457"/>
      <c r="V114" s="458"/>
      <c r="W114" s="459"/>
      <c r="X114" s="457"/>
      <c r="Y114" s="458"/>
      <c r="Z114" s="459"/>
      <c r="AA114" s="457"/>
      <c r="AB114" s="458"/>
      <c r="AC114" s="459">
        <f t="shared" si="36"/>
        <v>0</v>
      </c>
      <c r="AD114" s="457"/>
      <c r="AE114" s="458"/>
      <c r="AF114" s="459"/>
      <c r="AG114" s="457"/>
      <c r="AH114" s="458"/>
      <c r="AI114" s="459"/>
      <c r="AJ114" s="457"/>
      <c r="AK114" s="458"/>
      <c r="AL114" s="459"/>
      <c r="AM114" s="457"/>
      <c r="AN114" s="458"/>
      <c r="AO114" s="459"/>
      <c r="AP114" s="457"/>
      <c r="AQ114" s="458"/>
      <c r="AR114" s="459"/>
      <c r="AS114" s="457"/>
      <c r="AT114" s="458"/>
      <c r="AU114" s="459"/>
      <c r="AV114" s="457"/>
      <c r="AW114" s="458"/>
      <c r="AX114" s="459"/>
      <c r="AY114" s="457"/>
      <c r="AZ114" s="458"/>
      <c r="BA114" s="459"/>
      <c r="BB114" s="457"/>
      <c r="BC114" s="458"/>
      <c r="BD114" s="459">
        <f t="shared" si="58"/>
        <v>0</v>
      </c>
    </row>
    <row r="115" spans="1:56" ht="12.75">
      <c r="A115" s="160"/>
      <c r="B115" s="219" t="s">
        <v>778</v>
      </c>
      <c r="C115" s="457">
        <v>1874</v>
      </c>
      <c r="D115" s="458">
        <v>1874</v>
      </c>
      <c r="E115" s="459">
        <f t="shared" si="34"/>
        <v>0</v>
      </c>
      <c r="F115" s="457">
        <v>4002</v>
      </c>
      <c r="G115" s="458">
        <v>4002</v>
      </c>
      <c r="H115" s="459">
        <f t="shared" si="48"/>
        <v>0</v>
      </c>
      <c r="I115" s="457"/>
      <c r="J115" s="458"/>
      <c r="K115" s="459">
        <f t="shared" si="49"/>
        <v>0</v>
      </c>
      <c r="L115" s="457"/>
      <c r="M115" s="458"/>
      <c r="N115" s="459">
        <f t="shared" si="50"/>
        <v>0</v>
      </c>
      <c r="O115" s="457"/>
      <c r="P115" s="458"/>
      <c r="Q115" s="459">
        <f aca="true" t="shared" si="59" ref="Q115:Q121">IF(O115&gt;0,(((P115-O115)/O115)*100),0)</f>
        <v>0</v>
      </c>
      <c r="R115" s="457"/>
      <c r="S115" s="458"/>
      <c r="T115" s="459">
        <f aca="true" t="shared" si="60" ref="T115:T121">IF(R115&gt;0,(((S115-R115)/R115)*100),0)</f>
        <v>0</v>
      </c>
      <c r="U115" s="457"/>
      <c r="V115" s="458"/>
      <c r="W115" s="459">
        <f t="shared" si="57"/>
        <v>0</v>
      </c>
      <c r="X115" s="457"/>
      <c r="Y115" s="458"/>
      <c r="Z115" s="459">
        <f t="shared" si="35"/>
        <v>0</v>
      </c>
      <c r="AA115" s="457"/>
      <c r="AB115" s="458"/>
      <c r="AC115" s="459">
        <f t="shared" si="36"/>
        <v>0</v>
      </c>
      <c r="AD115" s="457"/>
      <c r="AE115" s="458"/>
      <c r="AF115" s="459"/>
      <c r="AG115" s="457"/>
      <c r="AH115" s="458"/>
      <c r="AI115" s="459"/>
      <c r="AJ115" s="457"/>
      <c r="AK115" s="458"/>
      <c r="AL115" s="459"/>
      <c r="AM115" s="457"/>
      <c r="AN115" s="458"/>
      <c r="AO115" s="459"/>
      <c r="AP115" s="457"/>
      <c r="AQ115" s="458"/>
      <c r="AR115" s="459"/>
      <c r="AS115" s="457"/>
      <c r="AT115" s="458"/>
      <c r="AU115" s="459"/>
      <c r="AV115" s="457"/>
      <c r="AW115" s="458"/>
      <c r="AX115" s="459"/>
      <c r="AY115" s="457"/>
      <c r="AZ115" s="458"/>
      <c r="BA115" s="459"/>
      <c r="BB115" s="457"/>
      <c r="BC115" s="458"/>
      <c r="BD115" s="459">
        <f t="shared" si="58"/>
        <v>0</v>
      </c>
    </row>
    <row r="116" spans="1:56" s="465" customFormat="1" ht="20.25" customHeight="1">
      <c r="A116" s="460"/>
      <c r="B116" s="461" t="s">
        <v>426</v>
      </c>
      <c r="C116" s="462">
        <v>1901</v>
      </c>
      <c r="D116" s="463">
        <v>1901</v>
      </c>
      <c r="E116" s="464">
        <f t="shared" si="34"/>
        <v>0</v>
      </c>
      <c r="F116" s="462">
        <v>4451</v>
      </c>
      <c r="G116" s="463">
        <v>4451</v>
      </c>
      <c r="H116" s="464">
        <f t="shared" si="48"/>
        <v>0</v>
      </c>
      <c r="I116" s="462"/>
      <c r="J116" s="463"/>
      <c r="K116" s="464">
        <f t="shared" si="49"/>
        <v>0</v>
      </c>
      <c r="L116" s="462"/>
      <c r="M116" s="463"/>
      <c r="N116" s="464">
        <f t="shared" si="50"/>
        <v>0</v>
      </c>
      <c r="O116" s="462"/>
      <c r="P116" s="463"/>
      <c r="Q116" s="464">
        <f t="shared" si="59"/>
        <v>0</v>
      </c>
      <c r="R116" s="462"/>
      <c r="S116" s="463"/>
      <c r="T116" s="464">
        <f t="shared" si="60"/>
        <v>0</v>
      </c>
      <c r="U116" s="462"/>
      <c r="V116" s="463"/>
      <c r="W116" s="464">
        <f t="shared" si="57"/>
        <v>0</v>
      </c>
      <c r="X116" s="462"/>
      <c r="Y116" s="463"/>
      <c r="Z116" s="464">
        <f t="shared" si="35"/>
        <v>0</v>
      </c>
      <c r="AA116" s="462"/>
      <c r="AB116" s="463"/>
      <c r="AC116" s="464">
        <f t="shared" si="36"/>
        <v>0</v>
      </c>
      <c r="AD116" s="462"/>
      <c r="AE116" s="463"/>
      <c r="AF116" s="464"/>
      <c r="AG116" s="462"/>
      <c r="AH116" s="463"/>
      <c r="AI116" s="464"/>
      <c r="AJ116" s="462"/>
      <c r="AK116" s="463"/>
      <c r="AL116" s="464"/>
      <c r="AM116" s="462"/>
      <c r="AN116" s="463"/>
      <c r="AO116" s="464"/>
      <c r="AP116" s="462"/>
      <c r="AQ116" s="463"/>
      <c r="AR116" s="464"/>
      <c r="AS116" s="462"/>
      <c r="AT116" s="463"/>
      <c r="AU116" s="464"/>
      <c r="AV116" s="462"/>
      <c r="AW116" s="463"/>
      <c r="AX116" s="464"/>
      <c r="AY116" s="462"/>
      <c r="AZ116" s="463"/>
      <c r="BA116" s="464"/>
      <c r="BB116" s="462"/>
      <c r="BC116" s="463"/>
      <c r="BD116" s="464">
        <f t="shared" si="58"/>
        <v>0</v>
      </c>
    </row>
    <row r="117" spans="1:56" ht="12.75">
      <c r="A117" s="160"/>
      <c r="B117" s="219" t="s">
        <v>779</v>
      </c>
      <c r="C117" s="457">
        <v>1450</v>
      </c>
      <c r="D117" s="458">
        <v>1450</v>
      </c>
      <c r="E117" s="459">
        <f t="shared" si="34"/>
        <v>0</v>
      </c>
      <c r="F117" s="457">
        <v>2698</v>
      </c>
      <c r="G117" s="458">
        <v>2698</v>
      </c>
      <c r="H117" s="459">
        <f t="shared" si="48"/>
        <v>0</v>
      </c>
      <c r="I117" s="457"/>
      <c r="J117" s="458"/>
      <c r="K117" s="459">
        <f t="shared" si="49"/>
        <v>0</v>
      </c>
      <c r="L117" s="457"/>
      <c r="M117" s="458"/>
      <c r="N117" s="459">
        <f t="shared" si="50"/>
        <v>0</v>
      </c>
      <c r="O117" s="457"/>
      <c r="P117" s="458"/>
      <c r="Q117" s="459">
        <f t="shared" si="59"/>
        <v>0</v>
      </c>
      <c r="R117" s="457"/>
      <c r="S117" s="458"/>
      <c r="T117" s="459">
        <f t="shared" si="60"/>
        <v>0</v>
      </c>
      <c r="U117" s="457"/>
      <c r="V117" s="458"/>
      <c r="W117" s="459">
        <f t="shared" si="57"/>
        <v>0</v>
      </c>
      <c r="X117" s="457"/>
      <c r="Y117" s="458"/>
      <c r="Z117" s="459">
        <f t="shared" si="35"/>
        <v>0</v>
      </c>
      <c r="AA117" s="457"/>
      <c r="AB117" s="458"/>
      <c r="AC117" s="459">
        <f t="shared" si="36"/>
        <v>0</v>
      </c>
      <c r="AD117" s="457"/>
      <c r="AE117" s="458"/>
      <c r="AF117" s="459"/>
      <c r="AG117" s="457"/>
      <c r="AH117" s="458"/>
      <c r="AI117" s="459"/>
      <c r="AJ117" s="457"/>
      <c r="AK117" s="458"/>
      <c r="AL117" s="459"/>
      <c r="AM117" s="457"/>
      <c r="AN117" s="458"/>
      <c r="AO117" s="459"/>
      <c r="AP117" s="457"/>
      <c r="AQ117" s="458"/>
      <c r="AR117" s="459"/>
      <c r="AS117" s="457"/>
      <c r="AT117" s="458"/>
      <c r="AU117" s="459"/>
      <c r="AV117" s="457"/>
      <c r="AW117" s="458"/>
      <c r="AX117" s="459"/>
      <c r="AY117" s="457"/>
      <c r="AZ117" s="458"/>
      <c r="BA117" s="459"/>
      <c r="BB117" s="457"/>
      <c r="BC117" s="458"/>
      <c r="BD117" s="459">
        <f t="shared" si="58"/>
        <v>0</v>
      </c>
    </row>
    <row r="118" spans="1:56" ht="12.75">
      <c r="A118" s="160"/>
      <c r="B118" s="219" t="s">
        <v>1015</v>
      </c>
      <c r="C118" s="457">
        <v>1480</v>
      </c>
      <c r="D118" s="458">
        <v>1480</v>
      </c>
      <c r="E118" s="459">
        <f t="shared" si="34"/>
        <v>0</v>
      </c>
      <c r="F118" s="457">
        <v>2728</v>
      </c>
      <c r="G118" s="458">
        <v>2728</v>
      </c>
      <c r="H118" s="459">
        <f t="shared" si="48"/>
        <v>0</v>
      </c>
      <c r="I118" s="457"/>
      <c r="J118" s="458"/>
      <c r="K118" s="459">
        <f t="shared" si="49"/>
        <v>0</v>
      </c>
      <c r="L118" s="457"/>
      <c r="M118" s="458"/>
      <c r="N118" s="459">
        <f t="shared" si="50"/>
        <v>0</v>
      </c>
      <c r="O118" s="457"/>
      <c r="P118" s="458"/>
      <c r="Q118" s="459">
        <f t="shared" si="59"/>
        <v>0</v>
      </c>
      <c r="R118" s="457"/>
      <c r="S118" s="458"/>
      <c r="T118" s="459">
        <f t="shared" si="60"/>
        <v>0</v>
      </c>
      <c r="U118" s="457"/>
      <c r="V118" s="458"/>
      <c r="W118" s="459">
        <f t="shared" si="57"/>
        <v>0</v>
      </c>
      <c r="X118" s="457"/>
      <c r="Y118" s="458"/>
      <c r="Z118" s="459">
        <f t="shared" si="35"/>
        <v>0</v>
      </c>
      <c r="AA118" s="457"/>
      <c r="AB118" s="458"/>
      <c r="AC118" s="459">
        <f t="shared" si="36"/>
        <v>0</v>
      </c>
      <c r="AD118" s="457"/>
      <c r="AE118" s="458"/>
      <c r="AF118" s="459"/>
      <c r="AG118" s="457"/>
      <c r="AH118" s="458"/>
      <c r="AI118" s="459"/>
      <c r="AJ118" s="457"/>
      <c r="AK118" s="458"/>
      <c r="AL118" s="459"/>
      <c r="AM118" s="457"/>
      <c r="AN118" s="458"/>
      <c r="AO118" s="459"/>
      <c r="AP118" s="457"/>
      <c r="AQ118" s="458"/>
      <c r="AR118" s="459"/>
      <c r="AS118" s="457"/>
      <c r="AT118" s="458"/>
      <c r="AU118" s="459"/>
      <c r="AV118" s="457"/>
      <c r="AW118" s="458"/>
      <c r="AX118" s="459"/>
      <c r="AY118" s="457"/>
      <c r="AZ118" s="458"/>
      <c r="BA118" s="459"/>
      <c r="BB118" s="457"/>
      <c r="BC118" s="458"/>
      <c r="BD118" s="459">
        <f t="shared" si="58"/>
        <v>0</v>
      </c>
    </row>
    <row r="119" spans="1:56" ht="12.75">
      <c r="A119" s="160"/>
      <c r="B119" s="219" t="s">
        <v>1016</v>
      </c>
      <c r="C119" s="457">
        <v>886</v>
      </c>
      <c r="D119" s="458">
        <v>886</v>
      </c>
      <c r="E119" s="459">
        <f t="shared" si="34"/>
        <v>0</v>
      </c>
      <c r="F119" s="457">
        <v>1438</v>
      </c>
      <c r="G119" s="458">
        <v>1438</v>
      </c>
      <c r="H119" s="459">
        <f t="shared" si="48"/>
        <v>0</v>
      </c>
      <c r="I119" s="457"/>
      <c r="J119" s="458"/>
      <c r="K119" s="459">
        <f t="shared" si="49"/>
        <v>0</v>
      </c>
      <c r="L119" s="457"/>
      <c r="M119" s="458"/>
      <c r="N119" s="459">
        <f t="shared" si="50"/>
        <v>0</v>
      </c>
      <c r="O119" s="457"/>
      <c r="P119" s="458"/>
      <c r="Q119" s="459">
        <f t="shared" si="59"/>
        <v>0</v>
      </c>
      <c r="R119" s="457"/>
      <c r="S119" s="458"/>
      <c r="T119" s="459">
        <f t="shared" si="60"/>
        <v>0</v>
      </c>
      <c r="U119" s="457"/>
      <c r="V119" s="458"/>
      <c r="W119" s="459">
        <f t="shared" si="57"/>
        <v>0</v>
      </c>
      <c r="X119" s="457"/>
      <c r="Y119" s="458"/>
      <c r="Z119" s="459">
        <f t="shared" si="35"/>
        <v>0</v>
      </c>
      <c r="AA119" s="457"/>
      <c r="AB119" s="458"/>
      <c r="AC119" s="459">
        <f t="shared" si="36"/>
        <v>0</v>
      </c>
      <c r="AD119" s="457"/>
      <c r="AE119" s="458"/>
      <c r="AF119" s="459">
        <f t="shared" si="37"/>
        <v>0</v>
      </c>
      <c r="AG119" s="457"/>
      <c r="AH119" s="458"/>
      <c r="AI119" s="459">
        <f t="shared" si="38"/>
        <v>0</v>
      </c>
      <c r="AJ119" s="457"/>
      <c r="AK119" s="458"/>
      <c r="AL119" s="459">
        <f t="shared" si="39"/>
        <v>0</v>
      </c>
      <c r="AM119" s="457"/>
      <c r="AN119" s="458"/>
      <c r="AO119" s="459">
        <f t="shared" si="40"/>
        <v>0</v>
      </c>
      <c r="AP119" s="457"/>
      <c r="AQ119" s="458"/>
      <c r="AR119" s="459">
        <f t="shared" si="41"/>
        <v>0</v>
      </c>
      <c r="AS119" s="457"/>
      <c r="AT119" s="458"/>
      <c r="AU119" s="459">
        <f>IF(AS119&gt;0,(((AT119-AS119)/AS119)*100),0)</f>
        <v>0</v>
      </c>
      <c r="AV119" s="457"/>
      <c r="AW119" s="458"/>
      <c r="AX119" s="459">
        <f>IF(AV119&gt;0,(((AW119-AV119)/AV119)*100),0)</f>
        <v>0</v>
      </c>
      <c r="AY119" s="457"/>
      <c r="AZ119" s="458"/>
      <c r="BA119" s="459">
        <f>IF(AY119&gt;0,(((AZ119-AY119)/AY119)*100),0)</f>
        <v>0</v>
      </c>
      <c r="BB119" s="457"/>
      <c r="BC119" s="458"/>
      <c r="BD119" s="459">
        <f t="shared" si="58"/>
        <v>0</v>
      </c>
    </row>
    <row r="120" spans="1:56" s="465" customFormat="1" ht="21.75" customHeight="1">
      <c r="A120" s="460"/>
      <c r="B120" s="461" t="s">
        <v>978</v>
      </c>
      <c r="C120" s="462">
        <v>886</v>
      </c>
      <c r="D120" s="463">
        <v>886</v>
      </c>
      <c r="E120" s="464">
        <f t="shared" si="34"/>
        <v>0</v>
      </c>
      <c r="F120" s="462">
        <v>1438</v>
      </c>
      <c r="G120" s="463">
        <v>1438</v>
      </c>
      <c r="H120" s="464">
        <f t="shared" si="48"/>
        <v>0</v>
      </c>
      <c r="I120" s="462"/>
      <c r="J120" s="463"/>
      <c r="K120" s="464">
        <f t="shared" si="49"/>
        <v>0</v>
      </c>
      <c r="L120" s="462"/>
      <c r="M120" s="463"/>
      <c r="N120" s="464">
        <f t="shared" si="50"/>
        <v>0</v>
      </c>
      <c r="O120" s="462"/>
      <c r="P120" s="463"/>
      <c r="Q120" s="464">
        <f t="shared" si="59"/>
        <v>0</v>
      </c>
      <c r="R120" s="462"/>
      <c r="S120" s="463"/>
      <c r="T120" s="464">
        <f t="shared" si="60"/>
        <v>0</v>
      </c>
      <c r="U120" s="462"/>
      <c r="V120" s="463"/>
      <c r="W120" s="464">
        <f t="shared" si="57"/>
        <v>0</v>
      </c>
      <c r="X120" s="462"/>
      <c r="Y120" s="463"/>
      <c r="Z120" s="464">
        <f t="shared" si="35"/>
        <v>0</v>
      </c>
      <c r="AA120" s="462"/>
      <c r="AB120" s="463"/>
      <c r="AC120" s="464">
        <f t="shared" si="36"/>
        <v>0</v>
      </c>
      <c r="AD120" s="462"/>
      <c r="AE120" s="463"/>
      <c r="AF120" s="464">
        <f t="shared" si="37"/>
        <v>0</v>
      </c>
      <c r="AG120" s="462"/>
      <c r="AH120" s="463"/>
      <c r="AI120" s="464">
        <f t="shared" si="38"/>
        <v>0</v>
      </c>
      <c r="AJ120" s="462"/>
      <c r="AK120" s="463"/>
      <c r="AL120" s="464">
        <f t="shared" si="39"/>
        <v>0</v>
      </c>
      <c r="AM120" s="462"/>
      <c r="AN120" s="463"/>
      <c r="AO120" s="464">
        <f t="shared" si="40"/>
        <v>0</v>
      </c>
      <c r="AP120" s="462"/>
      <c r="AQ120" s="463"/>
      <c r="AR120" s="464">
        <f t="shared" si="41"/>
        <v>0</v>
      </c>
      <c r="AS120" s="462"/>
      <c r="AT120" s="463"/>
      <c r="AU120" s="464">
        <f>IF(AS120&gt;0,(((AT120-AS120)/AS120)*100),0)</f>
        <v>0</v>
      </c>
      <c r="AV120" s="462"/>
      <c r="AW120" s="463"/>
      <c r="AX120" s="464">
        <f>IF(AV120&gt;0,(((AW120-AV120)/AV120)*100),0)</f>
        <v>0</v>
      </c>
      <c r="AY120" s="462"/>
      <c r="AZ120" s="463"/>
      <c r="BA120" s="464">
        <f>IF(AY120&gt;0,(((AZ120-AY120)/AY120)*100),0)</f>
        <v>0</v>
      </c>
      <c r="BB120" s="462"/>
      <c r="BC120" s="463"/>
      <c r="BD120" s="464">
        <f t="shared" si="58"/>
        <v>0</v>
      </c>
    </row>
    <row r="121" spans="1:56" ht="12.75">
      <c r="A121" s="466"/>
      <c r="B121" s="467" t="s">
        <v>781</v>
      </c>
      <c r="C121" s="468"/>
      <c r="D121" s="469"/>
      <c r="E121" s="471">
        <f t="shared" si="34"/>
        <v>0</v>
      </c>
      <c r="F121" s="468"/>
      <c r="G121" s="469"/>
      <c r="H121" s="471">
        <f t="shared" si="48"/>
        <v>0</v>
      </c>
      <c r="I121" s="468"/>
      <c r="J121" s="469"/>
      <c r="K121" s="471">
        <f t="shared" si="49"/>
        <v>0</v>
      </c>
      <c r="L121" s="468"/>
      <c r="M121" s="469"/>
      <c r="N121" s="471">
        <f t="shared" si="50"/>
        <v>0</v>
      </c>
      <c r="O121" s="468">
        <v>9295.875</v>
      </c>
      <c r="P121" s="469">
        <v>9380.5</v>
      </c>
      <c r="Q121" s="471">
        <f t="shared" si="59"/>
        <v>0.9103500208425781</v>
      </c>
      <c r="R121" s="468">
        <v>16143.875</v>
      </c>
      <c r="S121" s="469">
        <v>16228.5</v>
      </c>
      <c r="T121" s="471">
        <f t="shared" si="60"/>
        <v>0.524192611749038</v>
      </c>
      <c r="U121" s="468">
        <v>11589.5</v>
      </c>
      <c r="V121" s="469">
        <v>11591</v>
      </c>
      <c r="W121" s="471">
        <f t="shared" si="57"/>
        <v>0.012942749902929377</v>
      </c>
      <c r="X121" s="468">
        <v>25737.5</v>
      </c>
      <c r="Y121" s="469">
        <v>25739</v>
      </c>
      <c r="Z121" s="471">
        <f t="shared" si="35"/>
        <v>0.005828071879553182</v>
      </c>
      <c r="AA121" s="468">
        <v>10886</v>
      </c>
      <c r="AB121" s="469">
        <v>10886</v>
      </c>
      <c r="AC121" s="471">
        <f t="shared" si="36"/>
        <v>0</v>
      </c>
      <c r="AD121" s="468">
        <v>23260</v>
      </c>
      <c r="AE121" s="469">
        <v>23260</v>
      </c>
      <c r="AF121" s="471">
        <f t="shared" si="37"/>
        <v>0</v>
      </c>
      <c r="AG121" s="468">
        <v>10772.9</v>
      </c>
      <c r="AH121" s="469">
        <v>11899</v>
      </c>
      <c r="AI121" s="471">
        <f t="shared" si="38"/>
        <v>10.453081342999567</v>
      </c>
      <c r="AJ121" s="468">
        <v>20724.9</v>
      </c>
      <c r="AK121" s="469">
        <v>21851</v>
      </c>
      <c r="AL121" s="471">
        <f t="shared" si="39"/>
        <v>5.433560596191048</v>
      </c>
      <c r="AM121" s="468"/>
      <c r="AN121" s="469"/>
      <c r="AO121" s="471">
        <f t="shared" si="40"/>
        <v>0</v>
      </c>
      <c r="AP121" s="468"/>
      <c r="AQ121" s="469"/>
      <c r="AR121" s="471">
        <f t="shared" si="41"/>
        <v>0</v>
      </c>
      <c r="AS121" s="468"/>
      <c r="AT121" s="469"/>
      <c r="AU121" s="471">
        <f>IF(AS121&gt;0,(((AT121-AS121)/AS121)*100),0)</f>
        <v>0</v>
      </c>
      <c r="AV121" s="468"/>
      <c r="AW121" s="469"/>
      <c r="AX121" s="471">
        <f>IF(AV121&gt;0,(((AW121-AV121)/AV121)*100),0)</f>
        <v>0</v>
      </c>
      <c r="AY121" s="468">
        <v>11640</v>
      </c>
      <c r="AZ121" s="469">
        <v>11867</v>
      </c>
      <c r="BA121" s="471">
        <f>IF(AY121&gt;0,(((AZ121-AY121)/AY121)*100),0)</f>
        <v>1.9501718213058419</v>
      </c>
      <c r="BB121" s="468">
        <v>32040</v>
      </c>
      <c r="BC121" s="469">
        <v>32267</v>
      </c>
      <c r="BD121" s="471">
        <f t="shared" si="58"/>
        <v>0.7084893882646692</v>
      </c>
    </row>
    <row r="122" spans="1:56" ht="12.75">
      <c r="A122" s="158" t="s">
        <v>529</v>
      </c>
      <c r="B122" s="219" t="s">
        <v>89</v>
      </c>
      <c r="C122" s="457">
        <v>7906</v>
      </c>
      <c r="D122" s="458">
        <v>7969</v>
      </c>
      <c r="E122" s="459">
        <f t="shared" si="34"/>
        <v>0.7968631419175309</v>
      </c>
      <c r="F122" s="457">
        <v>21345</v>
      </c>
      <c r="G122" s="458">
        <v>22208</v>
      </c>
      <c r="H122" s="459">
        <f t="shared" si="48"/>
        <v>4.043101428906067</v>
      </c>
      <c r="I122" s="457">
        <v>10864</v>
      </c>
      <c r="J122" s="458">
        <v>11328</v>
      </c>
      <c r="K122" s="459">
        <f t="shared" si="49"/>
        <v>4.270986745213549</v>
      </c>
      <c r="L122" s="457">
        <v>22264</v>
      </c>
      <c r="M122" s="458">
        <v>23184</v>
      </c>
      <c r="N122" s="459">
        <f t="shared" si="50"/>
        <v>4.132231404958678</v>
      </c>
      <c r="O122" s="457"/>
      <c r="P122" s="458"/>
      <c r="Q122" s="459"/>
      <c r="R122" s="457"/>
      <c r="S122" s="458"/>
      <c r="T122" s="459"/>
      <c r="U122" s="457"/>
      <c r="V122" s="458"/>
      <c r="W122" s="459">
        <f t="shared" si="57"/>
        <v>0</v>
      </c>
      <c r="X122" s="457"/>
      <c r="Y122" s="458"/>
      <c r="Z122" s="459">
        <f t="shared" si="35"/>
        <v>0</v>
      </c>
      <c r="AA122" s="457"/>
      <c r="AB122" s="458"/>
      <c r="AC122" s="459">
        <f t="shared" si="36"/>
        <v>0</v>
      </c>
      <c r="AD122" s="457"/>
      <c r="AE122" s="458"/>
      <c r="AF122" s="459">
        <f t="shared" si="37"/>
        <v>0</v>
      </c>
      <c r="AG122" s="457"/>
      <c r="AH122" s="458"/>
      <c r="AI122" s="459">
        <f t="shared" si="38"/>
        <v>0</v>
      </c>
      <c r="AJ122" s="457"/>
      <c r="AK122" s="458"/>
      <c r="AL122" s="459">
        <f t="shared" si="39"/>
        <v>0</v>
      </c>
      <c r="AM122" s="457"/>
      <c r="AN122" s="458"/>
      <c r="AO122" s="459">
        <f t="shared" si="40"/>
        <v>0</v>
      </c>
      <c r="AP122" s="457"/>
      <c r="AQ122" s="458"/>
      <c r="AR122" s="459">
        <f t="shared" si="41"/>
        <v>0</v>
      </c>
      <c r="AS122" s="457"/>
      <c r="AT122" s="458"/>
      <c r="AU122" s="459">
        <f aca="true" t="shared" si="61" ref="AU122:AU138">IF(AS122&gt;0,(((AT122-AS122)/AS122)*100),0)</f>
        <v>0</v>
      </c>
      <c r="AV122" s="457"/>
      <c r="AW122" s="458"/>
      <c r="AX122" s="459">
        <f aca="true" t="shared" si="62" ref="AX122:AX138">IF(AV122&gt;0,(((AW122-AV122)/AV122)*100),0)</f>
        <v>0</v>
      </c>
      <c r="AY122" s="457"/>
      <c r="AZ122" s="458"/>
      <c r="BA122" s="459">
        <f aca="true" t="shared" si="63" ref="BA122:BA138">IF(AY122&gt;0,(((AZ122-AY122)/AY122)*100),0)</f>
        <v>0</v>
      </c>
      <c r="BB122" s="457"/>
      <c r="BC122" s="458"/>
      <c r="BD122" s="459">
        <f aca="true" t="shared" si="64" ref="BD122:BD138">IF(BB122&gt;0,(((BC122-BB122)/BB122)*100),0)</f>
        <v>0</v>
      </c>
    </row>
    <row r="123" spans="1:56" ht="12.75">
      <c r="A123" s="160"/>
      <c r="B123" s="219" t="s">
        <v>90</v>
      </c>
      <c r="C123" s="457">
        <v>8622</v>
      </c>
      <c r="D123" s="458">
        <v>8707</v>
      </c>
      <c r="E123" s="459">
        <f t="shared" si="34"/>
        <v>0.9858501507770819</v>
      </c>
      <c r="F123" s="457">
        <v>17354</v>
      </c>
      <c r="G123" s="458">
        <v>17439</v>
      </c>
      <c r="H123" s="459">
        <f t="shared" si="48"/>
        <v>0.4898006223349084</v>
      </c>
      <c r="I123" s="457">
        <v>12072</v>
      </c>
      <c r="J123" s="458">
        <v>12192</v>
      </c>
      <c r="K123" s="459">
        <f t="shared" si="49"/>
        <v>0.9940357852882704</v>
      </c>
      <c r="L123" s="457">
        <v>18528</v>
      </c>
      <c r="M123" s="458">
        <v>18648</v>
      </c>
      <c r="N123" s="459">
        <f t="shared" si="50"/>
        <v>0.6476683937823834</v>
      </c>
      <c r="O123" s="457"/>
      <c r="P123" s="458"/>
      <c r="Q123" s="459"/>
      <c r="R123" s="457"/>
      <c r="S123" s="458"/>
      <c r="T123" s="459"/>
      <c r="U123" s="457"/>
      <c r="V123" s="458"/>
      <c r="W123" s="459">
        <f t="shared" si="57"/>
        <v>0</v>
      </c>
      <c r="X123" s="457"/>
      <c r="Y123" s="458"/>
      <c r="Z123" s="459">
        <f t="shared" si="35"/>
        <v>0</v>
      </c>
      <c r="AA123" s="457"/>
      <c r="AB123" s="458"/>
      <c r="AC123" s="459">
        <f t="shared" si="36"/>
        <v>0</v>
      </c>
      <c r="AD123" s="457"/>
      <c r="AE123" s="458"/>
      <c r="AF123" s="459">
        <f t="shared" si="37"/>
        <v>0</v>
      </c>
      <c r="AG123" s="457"/>
      <c r="AH123" s="458"/>
      <c r="AI123" s="459">
        <f t="shared" si="38"/>
        <v>0</v>
      </c>
      <c r="AJ123" s="457"/>
      <c r="AK123" s="458"/>
      <c r="AL123" s="459">
        <f t="shared" si="39"/>
        <v>0</v>
      </c>
      <c r="AM123" s="457"/>
      <c r="AN123" s="458"/>
      <c r="AO123" s="459">
        <f t="shared" si="40"/>
        <v>0</v>
      </c>
      <c r="AP123" s="457"/>
      <c r="AQ123" s="458"/>
      <c r="AR123" s="459">
        <f t="shared" si="41"/>
        <v>0</v>
      </c>
      <c r="AS123" s="457"/>
      <c r="AT123" s="458"/>
      <c r="AU123" s="459">
        <f t="shared" si="61"/>
        <v>0</v>
      </c>
      <c r="AV123" s="457"/>
      <c r="AW123" s="458"/>
      <c r="AX123" s="459">
        <f t="shared" si="62"/>
        <v>0</v>
      </c>
      <c r="AY123" s="457"/>
      <c r="AZ123" s="458"/>
      <c r="BA123" s="459">
        <f t="shared" si="63"/>
        <v>0</v>
      </c>
      <c r="BB123" s="457"/>
      <c r="BC123" s="458"/>
      <c r="BD123" s="459">
        <f t="shared" si="64"/>
        <v>0</v>
      </c>
    </row>
    <row r="124" spans="1:56" ht="12.75">
      <c r="A124" s="160"/>
      <c r="B124" s="219" t="s">
        <v>91</v>
      </c>
      <c r="C124" s="457">
        <v>7164</v>
      </c>
      <c r="D124" s="458">
        <v>7234</v>
      </c>
      <c r="E124" s="459">
        <f t="shared" si="34"/>
        <v>0.977107761027359</v>
      </c>
      <c r="F124" s="457">
        <v>16522</v>
      </c>
      <c r="G124" s="458">
        <v>17174</v>
      </c>
      <c r="H124" s="459">
        <f t="shared" si="48"/>
        <v>3.9462534802082074</v>
      </c>
      <c r="I124" s="457">
        <v>8472</v>
      </c>
      <c r="J124" s="458">
        <v>8808</v>
      </c>
      <c r="K124" s="459">
        <f t="shared" si="49"/>
        <v>3.9660056657223794</v>
      </c>
      <c r="L124" s="457">
        <v>15720</v>
      </c>
      <c r="M124" s="458">
        <v>16344</v>
      </c>
      <c r="N124" s="459">
        <f t="shared" si="50"/>
        <v>3.969465648854962</v>
      </c>
      <c r="O124" s="457"/>
      <c r="P124" s="458"/>
      <c r="Q124" s="459"/>
      <c r="R124" s="457"/>
      <c r="S124" s="458"/>
      <c r="T124" s="459"/>
      <c r="U124" s="457"/>
      <c r="V124" s="458"/>
      <c r="W124" s="459">
        <f t="shared" si="57"/>
        <v>0</v>
      </c>
      <c r="X124" s="457"/>
      <c r="Y124" s="458"/>
      <c r="Z124" s="459">
        <f t="shared" si="35"/>
        <v>0</v>
      </c>
      <c r="AA124" s="457"/>
      <c r="AB124" s="458"/>
      <c r="AC124" s="459">
        <f t="shared" si="36"/>
        <v>0</v>
      </c>
      <c r="AD124" s="457"/>
      <c r="AE124" s="458"/>
      <c r="AF124" s="459">
        <f t="shared" si="37"/>
        <v>0</v>
      </c>
      <c r="AG124" s="457"/>
      <c r="AH124" s="458"/>
      <c r="AI124" s="459">
        <f t="shared" si="38"/>
        <v>0</v>
      </c>
      <c r="AJ124" s="457"/>
      <c r="AK124" s="458"/>
      <c r="AL124" s="459">
        <f t="shared" si="39"/>
        <v>0</v>
      </c>
      <c r="AM124" s="457"/>
      <c r="AN124" s="458"/>
      <c r="AO124" s="459">
        <f t="shared" si="40"/>
        <v>0</v>
      </c>
      <c r="AP124" s="457"/>
      <c r="AQ124" s="458"/>
      <c r="AR124" s="459">
        <f t="shared" si="41"/>
        <v>0</v>
      </c>
      <c r="AS124" s="457"/>
      <c r="AT124" s="458"/>
      <c r="AU124" s="459">
        <f t="shared" si="61"/>
        <v>0</v>
      </c>
      <c r="AV124" s="457"/>
      <c r="AW124" s="458"/>
      <c r="AX124" s="459">
        <f t="shared" si="62"/>
        <v>0</v>
      </c>
      <c r="AY124" s="457"/>
      <c r="AZ124" s="458"/>
      <c r="BA124" s="459">
        <f t="shared" si="63"/>
        <v>0</v>
      </c>
      <c r="BB124" s="457"/>
      <c r="BC124" s="458"/>
      <c r="BD124" s="459">
        <f t="shared" si="64"/>
        <v>0</v>
      </c>
    </row>
    <row r="125" spans="1:56" ht="12.75">
      <c r="A125" s="160"/>
      <c r="B125" s="219" t="s">
        <v>92</v>
      </c>
      <c r="C125" s="457">
        <v>6204</v>
      </c>
      <c r="D125" s="458">
        <v>6318</v>
      </c>
      <c r="E125" s="459">
        <f t="shared" si="34"/>
        <v>1.83752417794971</v>
      </c>
      <c r="F125" s="457">
        <v>14306</v>
      </c>
      <c r="G125" s="458">
        <v>14500</v>
      </c>
      <c r="H125" s="459">
        <f t="shared" si="48"/>
        <v>1.3560743743883685</v>
      </c>
      <c r="I125" s="457">
        <v>7935</v>
      </c>
      <c r="J125" s="458">
        <v>8767</v>
      </c>
      <c r="K125" s="459">
        <f t="shared" si="49"/>
        <v>10.485192186515437</v>
      </c>
      <c r="L125" s="457">
        <v>12864</v>
      </c>
      <c r="M125" s="458">
        <v>14232</v>
      </c>
      <c r="N125" s="459">
        <f t="shared" si="50"/>
        <v>10.634328358208956</v>
      </c>
      <c r="O125" s="457"/>
      <c r="P125" s="458"/>
      <c r="Q125" s="459"/>
      <c r="R125" s="457"/>
      <c r="S125" s="458"/>
      <c r="T125" s="459"/>
      <c r="U125" s="457"/>
      <c r="V125" s="458"/>
      <c r="W125" s="459">
        <f t="shared" si="57"/>
        <v>0</v>
      </c>
      <c r="X125" s="457"/>
      <c r="Y125" s="458"/>
      <c r="Z125" s="459">
        <f t="shared" si="35"/>
        <v>0</v>
      </c>
      <c r="AA125" s="457"/>
      <c r="AB125" s="458"/>
      <c r="AC125" s="459">
        <f t="shared" si="36"/>
        <v>0</v>
      </c>
      <c r="AD125" s="457"/>
      <c r="AE125" s="458"/>
      <c r="AF125" s="459">
        <f t="shared" si="37"/>
        <v>0</v>
      </c>
      <c r="AG125" s="457"/>
      <c r="AH125" s="458"/>
      <c r="AI125" s="459">
        <f t="shared" si="38"/>
        <v>0</v>
      </c>
      <c r="AJ125" s="457"/>
      <c r="AK125" s="458"/>
      <c r="AL125" s="459">
        <f t="shared" si="39"/>
        <v>0</v>
      </c>
      <c r="AM125" s="457"/>
      <c r="AN125" s="458"/>
      <c r="AO125" s="459">
        <f t="shared" si="40"/>
        <v>0</v>
      </c>
      <c r="AP125" s="457"/>
      <c r="AQ125" s="458"/>
      <c r="AR125" s="459">
        <f t="shared" si="41"/>
        <v>0</v>
      </c>
      <c r="AS125" s="457"/>
      <c r="AT125" s="458"/>
      <c r="AU125" s="459">
        <f t="shared" si="61"/>
        <v>0</v>
      </c>
      <c r="AV125" s="457"/>
      <c r="AW125" s="458"/>
      <c r="AX125" s="459">
        <f t="shared" si="62"/>
        <v>0</v>
      </c>
      <c r="AY125" s="457"/>
      <c r="AZ125" s="458"/>
      <c r="BA125" s="459">
        <f t="shared" si="63"/>
        <v>0</v>
      </c>
      <c r="BB125" s="457"/>
      <c r="BC125" s="458"/>
      <c r="BD125" s="459">
        <f t="shared" si="64"/>
        <v>0</v>
      </c>
    </row>
    <row r="126" spans="1:56" ht="12.75">
      <c r="A126" s="160"/>
      <c r="B126" s="219" t="s">
        <v>93</v>
      </c>
      <c r="C126" s="457"/>
      <c r="D126" s="458"/>
      <c r="E126" s="459">
        <f t="shared" si="34"/>
        <v>0</v>
      </c>
      <c r="F126" s="457"/>
      <c r="G126" s="458"/>
      <c r="H126" s="459">
        <f t="shared" si="48"/>
        <v>0</v>
      </c>
      <c r="I126" s="457"/>
      <c r="J126" s="458"/>
      <c r="K126" s="459">
        <f t="shared" si="49"/>
        <v>0</v>
      </c>
      <c r="L126" s="457"/>
      <c r="M126" s="458"/>
      <c r="N126" s="459">
        <f t="shared" si="50"/>
        <v>0</v>
      </c>
      <c r="O126" s="457"/>
      <c r="P126" s="458"/>
      <c r="Q126" s="459"/>
      <c r="R126" s="457"/>
      <c r="S126" s="458"/>
      <c r="T126" s="459"/>
      <c r="U126" s="457"/>
      <c r="V126" s="458"/>
      <c r="W126" s="459">
        <f t="shared" si="57"/>
        <v>0</v>
      </c>
      <c r="X126" s="457"/>
      <c r="Y126" s="458"/>
      <c r="Z126" s="459">
        <f t="shared" si="35"/>
        <v>0</v>
      </c>
      <c r="AA126" s="457"/>
      <c r="AB126" s="458"/>
      <c r="AC126" s="459">
        <f t="shared" si="36"/>
        <v>0</v>
      </c>
      <c r="AD126" s="457"/>
      <c r="AE126" s="458"/>
      <c r="AF126" s="459">
        <f t="shared" si="37"/>
        <v>0</v>
      </c>
      <c r="AG126" s="457"/>
      <c r="AH126" s="458"/>
      <c r="AI126" s="459">
        <f t="shared" si="38"/>
        <v>0</v>
      </c>
      <c r="AJ126" s="457"/>
      <c r="AK126" s="458"/>
      <c r="AL126" s="459">
        <f t="shared" si="39"/>
        <v>0</v>
      </c>
      <c r="AM126" s="457"/>
      <c r="AN126" s="458"/>
      <c r="AO126" s="459">
        <f t="shared" si="40"/>
        <v>0</v>
      </c>
      <c r="AP126" s="457"/>
      <c r="AQ126" s="458"/>
      <c r="AR126" s="459">
        <f t="shared" si="41"/>
        <v>0</v>
      </c>
      <c r="AS126" s="457"/>
      <c r="AT126" s="458"/>
      <c r="AU126" s="459">
        <f t="shared" si="61"/>
        <v>0</v>
      </c>
      <c r="AV126" s="457"/>
      <c r="AW126" s="458"/>
      <c r="AX126" s="459">
        <f t="shared" si="62"/>
        <v>0</v>
      </c>
      <c r="AY126" s="457"/>
      <c r="AZ126" s="458"/>
      <c r="BA126" s="459">
        <f t="shared" si="63"/>
        <v>0</v>
      </c>
      <c r="BB126" s="457"/>
      <c r="BC126" s="458"/>
      <c r="BD126" s="459">
        <f t="shared" si="64"/>
        <v>0</v>
      </c>
    </row>
    <row r="127" spans="1:56" ht="12.75">
      <c r="A127" s="160"/>
      <c r="B127" s="219" t="s">
        <v>94</v>
      </c>
      <c r="C127" s="457">
        <v>11418</v>
      </c>
      <c r="D127" s="458">
        <v>11989</v>
      </c>
      <c r="E127" s="459">
        <f t="shared" si="34"/>
        <v>5.0008758101243656</v>
      </c>
      <c r="F127" s="457">
        <v>21260</v>
      </c>
      <c r="G127" s="458">
        <v>20584</v>
      </c>
      <c r="H127" s="459">
        <f t="shared" si="48"/>
        <v>-3.1796801505174033</v>
      </c>
      <c r="I127" s="457">
        <v>11418</v>
      </c>
      <c r="J127" s="458">
        <v>11989</v>
      </c>
      <c r="K127" s="459">
        <f t="shared" si="49"/>
        <v>5.0008758101243656</v>
      </c>
      <c r="L127" s="457"/>
      <c r="M127" s="458"/>
      <c r="N127" s="459">
        <f t="shared" si="50"/>
        <v>0</v>
      </c>
      <c r="O127" s="457"/>
      <c r="P127" s="458"/>
      <c r="Q127" s="459"/>
      <c r="R127" s="457"/>
      <c r="S127" s="458"/>
      <c r="T127" s="459"/>
      <c r="U127" s="457"/>
      <c r="V127" s="458"/>
      <c r="W127" s="459">
        <f t="shared" si="57"/>
        <v>0</v>
      </c>
      <c r="X127" s="457"/>
      <c r="Y127" s="458"/>
      <c r="Z127" s="459">
        <f t="shared" si="35"/>
        <v>0</v>
      </c>
      <c r="AA127" s="457"/>
      <c r="AB127" s="458"/>
      <c r="AC127" s="459">
        <f t="shared" si="36"/>
        <v>0</v>
      </c>
      <c r="AD127" s="457"/>
      <c r="AE127" s="458"/>
      <c r="AF127" s="459">
        <f t="shared" si="37"/>
        <v>0</v>
      </c>
      <c r="AG127" s="457"/>
      <c r="AH127" s="458"/>
      <c r="AI127" s="459">
        <f t="shared" si="38"/>
        <v>0</v>
      </c>
      <c r="AJ127" s="457"/>
      <c r="AK127" s="458"/>
      <c r="AL127" s="459">
        <f t="shared" si="39"/>
        <v>0</v>
      </c>
      <c r="AM127" s="457"/>
      <c r="AN127" s="458"/>
      <c r="AO127" s="459">
        <f t="shared" si="40"/>
        <v>0</v>
      </c>
      <c r="AP127" s="457"/>
      <c r="AQ127" s="458"/>
      <c r="AR127" s="459">
        <f t="shared" si="41"/>
        <v>0</v>
      </c>
      <c r="AS127" s="457"/>
      <c r="AT127" s="458"/>
      <c r="AU127" s="459">
        <f t="shared" si="61"/>
        <v>0</v>
      </c>
      <c r="AV127" s="457"/>
      <c r="AW127" s="458"/>
      <c r="AX127" s="459">
        <f t="shared" si="62"/>
        <v>0</v>
      </c>
      <c r="AY127" s="457"/>
      <c r="AZ127" s="458"/>
      <c r="BA127" s="459">
        <f t="shared" si="63"/>
        <v>0</v>
      </c>
      <c r="BB127" s="457"/>
      <c r="BC127" s="458"/>
      <c r="BD127" s="459">
        <f t="shared" si="64"/>
        <v>0</v>
      </c>
    </row>
    <row r="128" spans="1:56" s="465" customFormat="1" ht="19.5" customHeight="1">
      <c r="A128" s="460"/>
      <c r="B128" s="461" t="s">
        <v>821</v>
      </c>
      <c r="C128" s="462">
        <v>6412</v>
      </c>
      <c r="D128" s="463">
        <v>6550</v>
      </c>
      <c r="E128" s="464">
        <f t="shared" si="34"/>
        <v>2.152214597629445</v>
      </c>
      <c r="F128" s="462">
        <v>15442</v>
      </c>
      <c r="G128" s="463">
        <v>16162</v>
      </c>
      <c r="H128" s="464">
        <f t="shared" si="48"/>
        <v>4.662608470405387</v>
      </c>
      <c r="I128" s="462">
        <v>8650</v>
      </c>
      <c r="J128" s="463">
        <v>9024</v>
      </c>
      <c r="K128" s="464">
        <f t="shared" si="49"/>
        <v>4.323699421965318</v>
      </c>
      <c r="L128" s="462">
        <v>15000</v>
      </c>
      <c r="M128" s="463">
        <v>15257</v>
      </c>
      <c r="N128" s="464">
        <f t="shared" si="50"/>
        <v>1.7133333333333334</v>
      </c>
      <c r="O128" s="462"/>
      <c r="P128" s="463"/>
      <c r="Q128" s="464"/>
      <c r="R128" s="462"/>
      <c r="S128" s="463"/>
      <c r="T128" s="464"/>
      <c r="U128" s="462"/>
      <c r="V128" s="463"/>
      <c r="W128" s="464">
        <f t="shared" si="57"/>
        <v>0</v>
      </c>
      <c r="X128" s="462"/>
      <c r="Y128" s="463"/>
      <c r="Z128" s="464">
        <f t="shared" si="35"/>
        <v>0</v>
      </c>
      <c r="AA128" s="462"/>
      <c r="AB128" s="463"/>
      <c r="AC128" s="464">
        <f t="shared" si="36"/>
        <v>0</v>
      </c>
      <c r="AD128" s="462"/>
      <c r="AE128" s="463"/>
      <c r="AF128" s="464">
        <f t="shared" si="37"/>
        <v>0</v>
      </c>
      <c r="AG128" s="462"/>
      <c r="AH128" s="463"/>
      <c r="AI128" s="464">
        <f t="shared" si="38"/>
        <v>0</v>
      </c>
      <c r="AJ128" s="462"/>
      <c r="AK128" s="463"/>
      <c r="AL128" s="464">
        <f t="shared" si="39"/>
        <v>0</v>
      </c>
      <c r="AM128" s="462"/>
      <c r="AN128" s="463"/>
      <c r="AO128" s="464">
        <f t="shared" si="40"/>
        <v>0</v>
      </c>
      <c r="AP128" s="462"/>
      <c r="AQ128" s="463"/>
      <c r="AR128" s="464">
        <f t="shared" si="41"/>
        <v>0</v>
      </c>
      <c r="AS128" s="462"/>
      <c r="AT128" s="463"/>
      <c r="AU128" s="464">
        <f t="shared" si="61"/>
        <v>0</v>
      </c>
      <c r="AV128" s="462"/>
      <c r="AW128" s="463"/>
      <c r="AX128" s="464">
        <f t="shared" si="62"/>
        <v>0</v>
      </c>
      <c r="AY128" s="462"/>
      <c r="AZ128" s="463"/>
      <c r="BA128" s="464">
        <f t="shared" si="63"/>
        <v>0</v>
      </c>
      <c r="BB128" s="462"/>
      <c r="BC128" s="463"/>
      <c r="BD128" s="464">
        <f t="shared" si="64"/>
        <v>0</v>
      </c>
    </row>
    <row r="129" spans="1:56" ht="12.75">
      <c r="A129" s="160"/>
      <c r="B129" s="219" t="s">
        <v>95</v>
      </c>
      <c r="C129" s="457"/>
      <c r="D129" s="458"/>
      <c r="E129" s="459">
        <f t="shared" si="34"/>
        <v>0</v>
      </c>
      <c r="F129" s="457"/>
      <c r="G129" s="458"/>
      <c r="H129" s="459">
        <f t="shared" si="48"/>
        <v>0</v>
      </c>
      <c r="I129" s="457"/>
      <c r="J129" s="458"/>
      <c r="K129" s="459">
        <f t="shared" si="49"/>
        <v>0</v>
      </c>
      <c r="L129" s="457"/>
      <c r="M129" s="458"/>
      <c r="N129" s="459">
        <f t="shared" si="50"/>
        <v>0</v>
      </c>
      <c r="O129" s="457"/>
      <c r="P129" s="458"/>
      <c r="Q129" s="459"/>
      <c r="R129" s="457"/>
      <c r="S129" s="458"/>
      <c r="T129" s="459"/>
      <c r="U129" s="457"/>
      <c r="V129" s="458"/>
      <c r="W129" s="459">
        <f t="shared" si="57"/>
        <v>0</v>
      </c>
      <c r="X129" s="457"/>
      <c r="Y129" s="458"/>
      <c r="Z129" s="459">
        <f t="shared" si="35"/>
        <v>0</v>
      </c>
      <c r="AA129" s="457"/>
      <c r="AB129" s="458"/>
      <c r="AC129" s="459">
        <f t="shared" si="36"/>
        <v>0</v>
      </c>
      <c r="AD129" s="457"/>
      <c r="AE129" s="458"/>
      <c r="AF129" s="459">
        <f t="shared" si="37"/>
        <v>0</v>
      </c>
      <c r="AG129" s="457"/>
      <c r="AH129" s="458"/>
      <c r="AI129" s="459">
        <f t="shared" si="38"/>
        <v>0</v>
      </c>
      <c r="AJ129" s="457"/>
      <c r="AK129" s="458"/>
      <c r="AL129" s="459">
        <f t="shared" si="39"/>
        <v>0</v>
      </c>
      <c r="AM129" s="457"/>
      <c r="AN129" s="458"/>
      <c r="AO129" s="459">
        <f t="shared" si="40"/>
        <v>0</v>
      </c>
      <c r="AP129" s="457"/>
      <c r="AQ129" s="458"/>
      <c r="AR129" s="459">
        <f t="shared" si="41"/>
        <v>0</v>
      </c>
      <c r="AS129" s="457"/>
      <c r="AT129" s="458"/>
      <c r="AU129" s="459">
        <f t="shared" si="61"/>
        <v>0</v>
      </c>
      <c r="AV129" s="457"/>
      <c r="AW129" s="458"/>
      <c r="AX129" s="459">
        <f t="shared" si="62"/>
        <v>0</v>
      </c>
      <c r="AY129" s="457"/>
      <c r="AZ129" s="458"/>
      <c r="BA129" s="459">
        <f t="shared" si="63"/>
        <v>0</v>
      </c>
      <c r="BB129" s="457"/>
      <c r="BC129" s="458"/>
      <c r="BD129" s="459">
        <f t="shared" si="64"/>
        <v>0</v>
      </c>
    </row>
    <row r="130" spans="1:56" ht="12.75">
      <c r="A130" s="160"/>
      <c r="B130" s="219" t="s">
        <v>96</v>
      </c>
      <c r="C130" s="457">
        <v>3337</v>
      </c>
      <c r="D130" s="458">
        <v>3383</v>
      </c>
      <c r="E130" s="459">
        <f t="shared" si="34"/>
        <v>1.3784836679652384</v>
      </c>
      <c r="F130" s="457">
        <v>8910</v>
      </c>
      <c r="G130" s="458">
        <v>8835</v>
      </c>
      <c r="H130" s="459">
        <f t="shared" si="48"/>
        <v>-0.8417508417508417</v>
      </c>
      <c r="I130" s="457"/>
      <c r="J130" s="458"/>
      <c r="K130" s="459">
        <f t="shared" si="49"/>
        <v>0</v>
      </c>
      <c r="L130" s="457"/>
      <c r="M130" s="458"/>
      <c r="N130" s="459">
        <f t="shared" si="50"/>
        <v>0</v>
      </c>
      <c r="O130" s="457"/>
      <c r="P130" s="458"/>
      <c r="Q130" s="459"/>
      <c r="R130" s="457"/>
      <c r="S130" s="458"/>
      <c r="T130" s="459"/>
      <c r="U130" s="457"/>
      <c r="V130" s="458"/>
      <c r="W130" s="459">
        <f t="shared" si="57"/>
        <v>0</v>
      </c>
      <c r="X130" s="457"/>
      <c r="Y130" s="458"/>
      <c r="Z130" s="459">
        <f t="shared" si="35"/>
        <v>0</v>
      </c>
      <c r="AA130" s="457"/>
      <c r="AB130" s="458"/>
      <c r="AC130" s="459">
        <f t="shared" si="36"/>
        <v>0</v>
      </c>
      <c r="AD130" s="457"/>
      <c r="AE130" s="458"/>
      <c r="AF130" s="459">
        <f t="shared" si="37"/>
        <v>0</v>
      </c>
      <c r="AG130" s="457"/>
      <c r="AH130" s="458"/>
      <c r="AI130" s="459">
        <f t="shared" si="38"/>
        <v>0</v>
      </c>
      <c r="AJ130" s="457"/>
      <c r="AK130" s="458"/>
      <c r="AL130" s="459">
        <f t="shared" si="39"/>
        <v>0</v>
      </c>
      <c r="AM130" s="457"/>
      <c r="AN130" s="458"/>
      <c r="AO130" s="459">
        <f t="shared" si="40"/>
        <v>0</v>
      </c>
      <c r="AP130" s="457"/>
      <c r="AQ130" s="458"/>
      <c r="AR130" s="459">
        <f t="shared" si="41"/>
        <v>0</v>
      </c>
      <c r="AS130" s="457"/>
      <c r="AT130" s="458"/>
      <c r="AU130" s="459">
        <f t="shared" si="61"/>
        <v>0</v>
      </c>
      <c r="AV130" s="457"/>
      <c r="AW130" s="458"/>
      <c r="AX130" s="459">
        <f t="shared" si="62"/>
        <v>0</v>
      </c>
      <c r="AY130" s="457"/>
      <c r="AZ130" s="458"/>
      <c r="BA130" s="459">
        <f t="shared" si="63"/>
        <v>0</v>
      </c>
      <c r="BB130" s="457"/>
      <c r="BC130" s="458"/>
      <c r="BD130" s="459">
        <f t="shared" si="64"/>
        <v>0</v>
      </c>
    </row>
    <row r="131" spans="1:56" ht="12.75">
      <c r="A131" s="160"/>
      <c r="B131" s="219" t="s">
        <v>97</v>
      </c>
      <c r="C131" s="457">
        <v>3044</v>
      </c>
      <c r="D131" s="458">
        <v>3074</v>
      </c>
      <c r="E131" s="459">
        <f aca="true" t="shared" si="65" ref="E131:E194">IF(C131&gt;0,(((D131-C131)/C131)*100),0)</f>
        <v>0.985545335085414</v>
      </c>
      <c r="F131" s="457">
        <v>7161</v>
      </c>
      <c r="G131" s="458">
        <v>7161</v>
      </c>
      <c r="H131" s="459">
        <f t="shared" si="48"/>
        <v>0</v>
      </c>
      <c r="I131" s="457"/>
      <c r="J131" s="458"/>
      <c r="K131" s="459">
        <f t="shared" si="49"/>
        <v>0</v>
      </c>
      <c r="L131" s="457"/>
      <c r="M131" s="458"/>
      <c r="N131" s="459">
        <f t="shared" si="50"/>
        <v>0</v>
      </c>
      <c r="O131" s="457"/>
      <c r="P131" s="458"/>
      <c r="Q131" s="459">
        <f aca="true" t="shared" si="66" ref="Q131:Q189">IF(O131&gt;0,(((P131-O131)/O131)*100),0)</f>
        <v>0</v>
      </c>
      <c r="R131" s="457"/>
      <c r="S131" s="458"/>
      <c r="T131" s="459">
        <f aca="true" t="shared" si="67" ref="T131:T189">IF(R131&gt;0,(((S131-R131)/R131)*100),0)</f>
        <v>0</v>
      </c>
      <c r="U131" s="457"/>
      <c r="V131" s="458"/>
      <c r="W131" s="459">
        <f t="shared" si="57"/>
        <v>0</v>
      </c>
      <c r="X131" s="457"/>
      <c r="Y131" s="458"/>
      <c r="Z131" s="459">
        <f aca="true" t="shared" si="68" ref="Z131:Z189">IF(X131&gt;0,(((Y131-X131)/X131)*100),0)</f>
        <v>0</v>
      </c>
      <c r="AA131" s="457"/>
      <c r="AB131" s="458"/>
      <c r="AC131" s="459">
        <f aca="true" t="shared" si="69" ref="AC131:AC194">IF(AA131&gt;0,(((AB131-AA131)/AA131)*100),0)</f>
        <v>0</v>
      </c>
      <c r="AD131" s="457"/>
      <c r="AE131" s="458"/>
      <c r="AF131" s="459">
        <f aca="true" t="shared" si="70" ref="AF131:AF138">IF(AD131&gt;0,(((AE131-AD131)/AD131)*100),0)</f>
        <v>0</v>
      </c>
      <c r="AG131" s="457"/>
      <c r="AH131" s="458"/>
      <c r="AI131" s="459">
        <f aca="true" t="shared" si="71" ref="AI131:AI138">IF(AG131&gt;0,(((AH131-AG131)/AG131)*100),0)</f>
        <v>0</v>
      </c>
      <c r="AJ131" s="457"/>
      <c r="AK131" s="458"/>
      <c r="AL131" s="459">
        <f aca="true" t="shared" si="72" ref="AL131:AL138">IF(AJ131&gt;0,(((AK131-AJ131)/AJ131)*100),0)</f>
        <v>0</v>
      </c>
      <c r="AM131" s="457"/>
      <c r="AN131" s="458"/>
      <c r="AO131" s="459">
        <f aca="true" t="shared" si="73" ref="AO131:AO194">IF(AM131&gt;0,(((AN131-AM131)/AM131)*100),0)</f>
        <v>0</v>
      </c>
      <c r="AP131" s="457"/>
      <c r="AQ131" s="458"/>
      <c r="AR131" s="459">
        <f aca="true" t="shared" si="74" ref="AR131:AR194">IF(AP131&gt;0,(((AQ131-AP131)/AP131)*100),0)</f>
        <v>0</v>
      </c>
      <c r="AS131" s="457"/>
      <c r="AT131" s="458"/>
      <c r="AU131" s="459">
        <f t="shared" si="61"/>
        <v>0</v>
      </c>
      <c r="AV131" s="457"/>
      <c r="AW131" s="458"/>
      <c r="AX131" s="459">
        <f t="shared" si="62"/>
        <v>0</v>
      </c>
      <c r="AY131" s="457"/>
      <c r="AZ131" s="458"/>
      <c r="BA131" s="459">
        <f t="shared" si="63"/>
        <v>0</v>
      </c>
      <c r="BB131" s="457"/>
      <c r="BC131" s="458"/>
      <c r="BD131" s="459">
        <f t="shared" si="64"/>
        <v>0</v>
      </c>
    </row>
    <row r="132" spans="1:56" ht="12.75">
      <c r="A132" s="160"/>
      <c r="B132" s="219" t="s">
        <v>778</v>
      </c>
      <c r="C132" s="457">
        <v>2970</v>
      </c>
      <c r="D132" s="458">
        <v>2970</v>
      </c>
      <c r="E132" s="459">
        <f t="shared" si="65"/>
        <v>0</v>
      </c>
      <c r="F132" s="457">
        <v>6990</v>
      </c>
      <c r="G132" s="458">
        <v>6990</v>
      </c>
      <c r="H132" s="459">
        <f t="shared" si="48"/>
        <v>0</v>
      </c>
      <c r="I132" s="457"/>
      <c r="J132" s="458"/>
      <c r="K132" s="459">
        <f t="shared" si="49"/>
        <v>0</v>
      </c>
      <c r="L132" s="457"/>
      <c r="M132" s="458"/>
      <c r="N132" s="459">
        <f t="shared" si="50"/>
        <v>0</v>
      </c>
      <c r="O132" s="457"/>
      <c r="P132" s="458"/>
      <c r="Q132" s="459">
        <f t="shared" si="66"/>
        <v>0</v>
      </c>
      <c r="R132" s="457"/>
      <c r="S132" s="458"/>
      <c r="T132" s="459">
        <f t="shared" si="67"/>
        <v>0</v>
      </c>
      <c r="U132" s="457"/>
      <c r="V132" s="458"/>
      <c r="W132" s="459">
        <f t="shared" si="57"/>
        <v>0</v>
      </c>
      <c r="X132" s="457"/>
      <c r="Y132" s="458"/>
      <c r="Z132" s="459">
        <f t="shared" si="68"/>
        <v>0</v>
      </c>
      <c r="AA132" s="457"/>
      <c r="AB132" s="458"/>
      <c r="AC132" s="459">
        <f t="shared" si="69"/>
        <v>0</v>
      </c>
      <c r="AD132" s="457"/>
      <c r="AE132" s="458"/>
      <c r="AF132" s="459">
        <f t="shared" si="70"/>
        <v>0</v>
      </c>
      <c r="AG132" s="457"/>
      <c r="AH132" s="458"/>
      <c r="AI132" s="459">
        <f t="shared" si="71"/>
        <v>0</v>
      </c>
      <c r="AJ132" s="457"/>
      <c r="AK132" s="458"/>
      <c r="AL132" s="459">
        <f t="shared" si="72"/>
        <v>0</v>
      </c>
      <c r="AM132" s="457"/>
      <c r="AN132" s="458"/>
      <c r="AO132" s="459">
        <f t="shared" si="73"/>
        <v>0</v>
      </c>
      <c r="AP132" s="457"/>
      <c r="AQ132" s="458"/>
      <c r="AR132" s="459">
        <f t="shared" si="74"/>
        <v>0</v>
      </c>
      <c r="AS132" s="457"/>
      <c r="AT132" s="458"/>
      <c r="AU132" s="459">
        <f t="shared" si="61"/>
        <v>0</v>
      </c>
      <c r="AV132" s="457"/>
      <c r="AW132" s="458"/>
      <c r="AX132" s="459">
        <f t="shared" si="62"/>
        <v>0</v>
      </c>
      <c r="AY132" s="457"/>
      <c r="AZ132" s="458"/>
      <c r="BA132" s="459">
        <f t="shared" si="63"/>
        <v>0</v>
      </c>
      <c r="BB132" s="457"/>
      <c r="BC132" s="458"/>
      <c r="BD132" s="459">
        <f t="shared" si="64"/>
        <v>0</v>
      </c>
    </row>
    <row r="133" spans="1:56" s="465" customFormat="1" ht="20.25" customHeight="1">
      <c r="A133" s="460"/>
      <c r="B133" s="461" t="s">
        <v>426</v>
      </c>
      <c r="C133" s="462">
        <v>3007</v>
      </c>
      <c r="D133" s="463">
        <v>3065</v>
      </c>
      <c r="E133" s="464">
        <f t="shared" si="65"/>
        <v>1.9288327236448288</v>
      </c>
      <c r="F133" s="462">
        <v>7210.5</v>
      </c>
      <c r="G133" s="463">
        <v>7348</v>
      </c>
      <c r="H133" s="464">
        <f t="shared" si="48"/>
        <v>1.9069412662090008</v>
      </c>
      <c r="I133" s="462"/>
      <c r="J133" s="463"/>
      <c r="K133" s="464">
        <f t="shared" si="49"/>
        <v>0</v>
      </c>
      <c r="L133" s="462"/>
      <c r="M133" s="463"/>
      <c r="N133" s="464">
        <f t="shared" si="50"/>
        <v>0</v>
      </c>
      <c r="O133" s="462"/>
      <c r="P133" s="463"/>
      <c r="Q133" s="464">
        <f t="shared" si="66"/>
        <v>0</v>
      </c>
      <c r="R133" s="462"/>
      <c r="S133" s="463"/>
      <c r="T133" s="464">
        <f t="shared" si="67"/>
        <v>0</v>
      </c>
      <c r="U133" s="462"/>
      <c r="V133" s="463"/>
      <c r="W133" s="464">
        <f t="shared" si="57"/>
        <v>0</v>
      </c>
      <c r="X133" s="462"/>
      <c r="Y133" s="463"/>
      <c r="Z133" s="464">
        <f t="shared" si="68"/>
        <v>0</v>
      </c>
      <c r="AA133" s="462"/>
      <c r="AB133" s="463"/>
      <c r="AC133" s="464">
        <f t="shared" si="69"/>
        <v>0</v>
      </c>
      <c r="AD133" s="462"/>
      <c r="AE133" s="463"/>
      <c r="AF133" s="464">
        <f t="shared" si="70"/>
        <v>0</v>
      </c>
      <c r="AG133" s="462"/>
      <c r="AH133" s="463"/>
      <c r="AI133" s="464">
        <f t="shared" si="71"/>
        <v>0</v>
      </c>
      <c r="AJ133" s="462"/>
      <c r="AK133" s="463"/>
      <c r="AL133" s="464">
        <f t="shared" si="72"/>
        <v>0</v>
      </c>
      <c r="AM133" s="462"/>
      <c r="AN133" s="463"/>
      <c r="AO133" s="464">
        <f t="shared" si="73"/>
        <v>0</v>
      </c>
      <c r="AP133" s="462"/>
      <c r="AQ133" s="463"/>
      <c r="AR133" s="464">
        <f t="shared" si="74"/>
        <v>0</v>
      </c>
      <c r="AS133" s="462"/>
      <c r="AT133" s="463"/>
      <c r="AU133" s="464">
        <f t="shared" si="61"/>
        <v>0</v>
      </c>
      <c r="AV133" s="462"/>
      <c r="AW133" s="463"/>
      <c r="AX133" s="464">
        <f t="shared" si="62"/>
        <v>0</v>
      </c>
      <c r="AY133" s="462"/>
      <c r="AZ133" s="463"/>
      <c r="BA133" s="464">
        <f t="shared" si="63"/>
        <v>0</v>
      </c>
      <c r="BB133" s="462"/>
      <c r="BC133" s="463"/>
      <c r="BD133" s="464">
        <f t="shared" si="64"/>
        <v>0</v>
      </c>
    </row>
    <row r="134" spans="1:56" ht="12.75">
      <c r="A134" s="160"/>
      <c r="B134" s="219" t="s">
        <v>779</v>
      </c>
      <c r="C134" s="457"/>
      <c r="D134" s="458"/>
      <c r="E134" s="459">
        <f t="shared" si="65"/>
        <v>0</v>
      </c>
      <c r="F134" s="457"/>
      <c r="G134" s="458"/>
      <c r="H134" s="459">
        <f t="shared" si="48"/>
        <v>0</v>
      </c>
      <c r="I134" s="457"/>
      <c r="J134" s="458"/>
      <c r="K134" s="459">
        <f t="shared" si="49"/>
        <v>0</v>
      </c>
      <c r="L134" s="457"/>
      <c r="M134" s="458"/>
      <c r="N134" s="459">
        <f t="shared" si="50"/>
        <v>0</v>
      </c>
      <c r="O134" s="457"/>
      <c r="P134" s="458"/>
      <c r="Q134" s="459">
        <f t="shared" si="66"/>
        <v>0</v>
      </c>
      <c r="R134" s="457"/>
      <c r="S134" s="458"/>
      <c r="T134" s="459">
        <f t="shared" si="67"/>
        <v>0</v>
      </c>
      <c r="U134" s="457"/>
      <c r="V134" s="458"/>
      <c r="W134" s="459">
        <f t="shared" si="57"/>
        <v>0</v>
      </c>
      <c r="X134" s="457"/>
      <c r="Y134" s="458"/>
      <c r="Z134" s="459">
        <f t="shared" si="68"/>
        <v>0</v>
      </c>
      <c r="AA134" s="457"/>
      <c r="AB134" s="458"/>
      <c r="AC134" s="459">
        <f t="shared" si="69"/>
        <v>0</v>
      </c>
      <c r="AD134" s="457"/>
      <c r="AE134" s="458"/>
      <c r="AF134" s="459">
        <f t="shared" si="70"/>
        <v>0</v>
      </c>
      <c r="AG134" s="457"/>
      <c r="AH134" s="458"/>
      <c r="AI134" s="459">
        <f t="shared" si="71"/>
        <v>0</v>
      </c>
      <c r="AJ134" s="457"/>
      <c r="AK134" s="458"/>
      <c r="AL134" s="459">
        <f t="shared" si="72"/>
        <v>0</v>
      </c>
      <c r="AM134" s="457"/>
      <c r="AN134" s="458"/>
      <c r="AO134" s="459">
        <f t="shared" si="73"/>
        <v>0</v>
      </c>
      <c r="AP134" s="457"/>
      <c r="AQ134" s="458"/>
      <c r="AR134" s="459">
        <f t="shared" si="74"/>
        <v>0</v>
      </c>
      <c r="AS134" s="457"/>
      <c r="AT134" s="458"/>
      <c r="AU134" s="459">
        <f t="shared" si="61"/>
        <v>0</v>
      </c>
      <c r="AV134" s="457"/>
      <c r="AW134" s="458"/>
      <c r="AX134" s="459">
        <f t="shared" si="62"/>
        <v>0</v>
      </c>
      <c r="AY134" s="457"/>
      <c r="AZ134" s="458"/>
      <c r="BA134" s="459">
        <f t="shared" si="63"/>
        <v>0</v>
      </c>
      <c r="BB134" s="457"/>
      <c r="BC134" s="458"/>
      <c r="BD134" s="459">
        <f t="shared" si="64"/>
        <v>0</v>
      </c>
    </row>
    <row r="135" spans="1:56" ht="12.75">
      <c r="A135" s="160"/>
      <c r="B135" s="219" t="s">
        <v>1015</v>
      </c>
      <c r="C135" s="457"/>
      <c r="D135" s="458"/>
      <c r="E135" s="459">
        <f t="shared" si="65"/>
        <v>0</v>
      </c>
      <c r="F135" s="457"/>
      <c r="G135" s="458"/>
      <c r="H135" s="459">
        <f t="shared" si="48"/>
        <v>0</v>
      </c>
      <c r="I135" s="457"/>
      <c r="J135" s="458"/>
      <c r="K135" s="459">
        <f t="shared" si="49"/>
        <v>0</v>
      </c>
      <c r="L135" s="457"/>
      <c r="M135" s="458"/>
      <c r="N135" s="459">
        <f t="shared" si="50"/>
        <v>0</v>
      </c>
      <c r="O135" s="457"/>
      <c r="P135" s="458"/>
      <c r="Q135" s="459">
        <f t="shared" si="66"/>
        <v>0</v>
      </c>
      <c r="R135" s="457"/>
      <c r="S135" s="458"/>
      <c r="T135" s="459">
        <f t="shared" si="67"/>
        <v>0</v>
      </c>
      <c r="U135" s="457"/>
      <c r="V135" s="458"/>
      <c r="W135" s="459">
        <f t="shared" si="57"/>
        <v>0</v>
      </c>
      <c r="X135" s="457"/>
      <c r="Y135" s="458"/>
      <c r="Z135" s="459">
        <f t="shared" si="68"/>
        <v>0</v>
      </c>
      <c r="AA135" s="457"/>
      <c r="AB135" s="458"/>
      <c r="AC135" s="459">
        <f t="shared" si="69"/>
        <v>0</v>
      </c>
      <c r="AD135" s="457"/>
      <c r="AE135" s="458"/>
      <c r="AF135" s="459">
        <f t="shared" si="70"/>
        <v>0</v>
      </c>
      <c r="AG135" s="457"/>
      <c r="AH135" s="458"/>
      <c r="AI135" s="459">
        <f t="shared" si="71"/>
        <v>0</v>
      </c>
      <c r="AJ135" s="457"/>
      <c r="AK135" s="458"/>
      <c r="AL135" s="459">
        <f t="shared" si="72"/>
        <v>0</v>
      </c>
      <c r="AM135" s="457"/>
      <c r="AN135" s="458"/>
      <c r="AO135" s="459">
        <f t="shared" si="73"/>
        <v>0</v>
      </c>
      <c r="AP135" s="457"/>
      <c r="AQ135" s="458"/>
      <c r="AR135" s="459">
        <f t="shared" si="74"/>
        <v>0</v>
      </c>
      <c r="AS135" s="457"/>
      <c r="AT135" s="458"/>
      <c r="AU135" s="459">
        <f t="shared" si="61"/>
        <v>0</v>
      </c>
      <c r="AV135" s="457"/>
      <c r="AW135" s="458"/>
      <c r="AX135" s="459">
        <f t="shared" si="62"/>
        <v>0</v>
      </c>
      <c r="AY135" s="457"/>
      <c r="AZ135" s="458"/>
      <c r="BA135" s="459">
        <f t="shared" si="63"/>
        <v>0</v>
      </c>
      <c r="BB135" s="457"/>
      <c r="BC135" s="458"/>
      <c r="BD135" s="459">
        <f t="shared" si="64"/>
        <v>0</v>
      </c>
    </row>
    <row r="136" spans="1:56" ht="12.75">
      <c r="A136" s="160"/>
      <c r="B136" s="219" t="s">
        <v>1016</v>
      </c>
      <c r="C136" s="457"/>
      <c r="D136" s="458"/>
      <c r="E136" s="459">
        <f t="shared" si="65"/>
        <v>0</v>
      </c>
      <c r="F136" s="457"/>
      <c r="G136" s="458"/>
      <c r="H136" s="459">
        <f t="shared" si="48"/>
        <v>0</v>
      </c>
      <c r="I136" s="457"/>
      <c r="J136" s="458"/>
      <c r="K136" s="459">
        <f t="shared" si="49"/>
        <v>0</v>
      </c>
      <c r="L136" s="457"/>
      <c r="M136" s="458"/>
      <c r="N136" s="459">
        <f t="shared" si="50"/>
        <v>0</v>
      </c>
      <c r="O136" s="457"/>
      <c r="P136" s="458"/>
      <c r="Q136" s="459">
        <f t="shared" si="66"/>
        <v>0</v>
      </c>
      <c r="R136" s="457"/>
      <c r="S136" s="458"/>
      <c r="T136" s="459">
        <f t="shared" si="67"/>
        <v>0</v>
      </c>
      <c r="U136" s="457"/>
      <c r="V136" s="458"/>
      <c r="W136" s="459">
        <f t="shared" si="57"/>
        <v>0</v>
      </c>
      <c r="X136" s="457"/>
      <c r="Y136" s="458"/>
      <c r="Z136" s="459">
        <f t="shared" si="68"/>
        <v>0</v>
      </c>
      <c r="AA136" s="457"/>
      <c r="AB136" s="458"/>
      <c r="AC136" s="459">
        <f t="shared" si="69"/>
        <v>0</v>
      </c>
      <c r="AD136" s="457"/>
      <c r="AE136" s="458"/>
      <c r="AF136" s="459">
        <f t="shared" si="70"/>
        <v>0</v>
      </c>
      <c r="AG136" s="457"/>
      <c r="AH136" s="458"/>
      <c r="AI136" s="459">
        <f t="shared" si="71"/>
        <v>0</v>
      </c>
      <c r="AJ136" s="457"/>
      <c r="AK136" s="458"/>
      <c r="AL136" s="459">
        <f t="shared" si="72"/>
        <v>0</v>
      </c>
      <c r="AM136" s="457"/>
      <c r="AN136" s="458"/>
      <c r="AO136" s="459">
        <f t="shared" si="73"/>
        <v>0</v>
      </c>
      <c r="AP136" s="457"/>
      <c r="AQ136" s="458"/>
      <c r="AR136" s="459">
        <f t="shared" si="74"/>
        <v>0</v>
      </c>
      <c r="AS136" s="457"/>
      <c r="AT136" s="458"/>
      <c r="AU136" s="459">
        <f t="shared" si="61"/>
        <v>0</v>
      </c>
      <c r="AV136" s="457"/>
      <c r="AW136" s="458"/>
      <c r="AX136" s="459">
        <f t="shared" si="62"/>
        <v>0</v>
      </c>
      <c r="AY136" s="457"/>
      <c r="AZ136" s="458"/>
      <c r="BA136" s="459">
        <f t="shared" si="63"/>
        <v>0</v>
      </c>
      <c r="BB136" s="457"/>
      <c r="BC136" s="458"/>
      <c r="BD136" s="459">
        <f t="shared" si="64"/>
        <v>0</v>
      </c>
    </row>
    <row r="137" spans="1:56" s="465" customFormat="1" ht="21.75" customHeight="1">
      <c r="A137" s="460"/>
      <c r="B137" s="461" t="s">
        <v>978</v>
      </c>
      <c r="C137" s="462"/>
      <c r="D137" s="463"/>
      <c r="E137" s="464">
        <f t="shared" si="65"/>
        <v>0</v>
      </c>
      <c r="F137" s="462"/>
      <c r="G137" s="463"/>
      <c r="H137" s="464">
        <f t="shared" si="48"/>
        <v>0</v>
      </c>
      <c r="I137" s="462"/>
      <c r="J137" s="463"/>
      <c r="K137" s="464">
        <f t="shared" si="49"/>
        <v>0</v>
      </c>
      <c r="L137" s="462"/>
      <c r="M137" s="463"/>
      <c r="N137" s="464">
        <f t="shared" si="50"/>
        <v>0</v>
      </c>
      <c r="O137" s="462"/>
      <c r="P137" s="463"/>
      <c r="Q137" s="464">
        <f t="shared" si="66"/>
        <v>0</v>
      </c>
      <c r="R137" s="462"/>
      <c r="S137" s="463"/>
      <c r="T137" s="464">
        <f t="shared" si="67"/>
        <v>0</v>
      </c>
      <c r="U137" s="462"/>
      <c r="V137" s="463"/>
      <c r="W137" s="464">
        <f t="shared" si="57"/>
        <v>0</v>
      </c>
      <c r="X137" s="462"/>
      <c r="Y137" s="463"/>
      <c r="Z137" s="464">
        <f t="shared" si="68"/>
        <v>0</v>
      </c>
      <c r="AA137" s="462"/>
      <c r="AB137" s="463"/>
      <c r="AC137" s="464">
        <f t="shared" si="69"/>
        <v>0</v>
      </c>
      <c r="AD137" s="462"/>
      <c r="AE137" s="463"/>
      <c r="AF137" s="464">
        <f t="shared" si="70"/>
        <v>0</v>
      </c>
      <c r="AG137" s="462"/>
      <c r="AH137" s="463"/>
      <c r="AI137" s="464">
        <f t="shared" si="71"/>
        <v>0</v>
      </c>
      <c r="AJ137" s="462"/>
      <c r="AK137" s="463"/>
      <c r="AL137" s="464">
        <f t="shared" si="72"/>
        <v>0</v>
      </c>
      <c r="AM137" s="462"/>
      <c r="AN137" s="463"/>
      <c r="AO137" s="464">
        <f t="shared" si="73"/>
        <v>0</v>
      </c>
      <c r="AP137" s="462"/>
      <c r="AQ137" s="463"/>
      <c r="AR137" s="464">
        <f t="shared" si="74"/>
        <v>0</v>
      </c>
      <c r="AS137" s="462"/>
      <c r="AT137" s="463"/>
      <c r="AU137" s="464">
        <f t="shared" si="61"/>
        <v>0</v>
      </c>
      <c r="AV137" s="462"/>
      <c r="AW137" s="463"/>
      <c r="AX137" s="464">
        <f t="shared" si="62"/>
        <v>0</v>
      </c>
      <c r="AY137" s="462"/>
      <c r="AZ137" s="463"/>
      <c r="BA137" s="464">
        <f t="shared" si="63"/>
        <v>0</v>
      </c>
      <c r="BB137" s="462"/>
      <c r="BC137" s="463"/>
      <c r="BD137" s="464">
        <f t="shared" si="64"/>
        <v>0</v>
      </c>
    </row>
    <row r="138" spans="1:56" ht="12.75">
      <c r="A138" s="466"/>
      <c r="B138" s="467" t="s">
        <v>781</v>
      </c>
      <c r="C138" s="468"/>
      <c r="D138" s="469"/>
      <c r="E138" s="471">
        <f t="shared" si="65"/>
        <v>0</v>
      </c>
      <c r="F138" s="468"/>
      <c r="G138" s="469"/>
      <c r="H138" s="471">
        <f t="shared" si="48"/>
        <v>0</v>
      </c>
      <c r="I138" s="468"/>
      <c r="J138" s="469"/>
      <c r="K138" s="471">
        <f t="shared" si="49"/>
        <v>0</v>
      </c>
      <c r="L138" s="468"/>
      <c r="M138" s="469"/>
      <c r="N138" s="471">
        <f t="shared" si="50"/>
        <v>0</v>
      </c>
      <c r="O138" s="468">
        <v>19170</v>
      </c>
      <c r="P138" s="469">
        <v>20566</v>
      </c>
      <c r="Q138" s="471">
        <f t="shared" si="66"/>
        <v>7.282211789254042</v>
      </c>
      <c r="R138" s="468">
        <v>30767.5</v>
      </c>
      <c r="S138" s="469">
        <v>32284</v>
      </c>
      <c r="T138" s="471">
        <f t="shared" si="67"/>
        <v>4.928902250751604</v>
      </c>
      <c r="U138" s="468">
        <v>20615</v>
      </c>
      <c r="V138" s="469">
        <v>21722</v>
      </c>
      <c r="W138" s="471">
        <f t="shared" si="57"/>
        <v>5.369876303662382</v>
      </c>
      <c r="X138" s="468">
        <v>36958</v>
      </c>
      <c r="Y138" s="469">
        <v>39957</v>
      </c>
      <c r="Z138" s="471">
        <f t="shared" si="68"/>
        <v>8.114616591806916</v>
      </c>
      <c r="AA138" s="468">
        <v>18275</v>
      </c>
      <c r="AB138" s="469">
        <v>19331</v>
      </c>
      <c r="AC138" s="471">
        <f t="shared" si="69"/>
        <v>5.778385772913817</v>
      </c>
      <c r="AD138" s="468">
        <v>38288</v>
      </c>
      <c r="AE138" s="469">
        <v>40983</v>
      </c>
      <c r="AF138" s="471">
        <f t="shared" si="70"/>
        <v>7.038758880066862</v>
      </c>
      <c r="AG138" s="468">
        <v>13382</v>
      </c>
      <c r="AH138" s="469">
        <v>14443</v>
      </c>
      <c r="AI138" s="471">
        <f t="shared" si="71"/>
        <v>7.928560753250635</v>
      </c>
      <c r="AJ138" s="468">
        <v>26867</v>
      </c>
      <c r="AK138" s="469">
        <v>28297</v>
      </c>
      <c r="AL138" s="471">
        <f t="shared" si="72"/>
        <v>5.322514608999889</v>
      </c>
      <c r="AM138" s="468"/>
      <c r="AN138" s="469"/>
      <c r="AO138" s="471">
        <f t="shared" si="73"/>
        <v>0</v>
      </c>
      <c r="AP138" s="468"/>
      <c r="AQ138" s="469"/>
      <c r="AR138" s="471">
        <f t="shared" si="74"/>
        <v>0</v>
      </c>
      <c r="AS138" s="468"/>
      <c r="AT138" s="469"/>
      <c r="AU138" s="471">
        <f t="shared" si="61"/>
        <v>0</v>
      </c>
      <c r="AV138" s="468"/>
      <c r="AW138" s="469"/>
      <c r="AX138" s="471">
        <f t="shared" si="62"/>
        <v>0</v>
      </c>
      <c r="AY138" s="468"/>
      <c r="AZ138" s="469"/>
      <c r="BA138" s="471">
        <f t="shared" si="63"/>
        <v>0</v>
      </c>
      <c r="BB138" s="468"/>
      <c r="BC138" s="469"/>
      <c r="BD138" s="471">
        <f t="shared" si="64"/>
        <v>0</v>
      </c>
    </row>
    <row r="139" spans="1:56" ht="12.75">
      <c r="A139" s="158" t="s">
        <v>530</v>
      </c>
      <c r="B139" s="219" t="s">
        <v>89</v>
      </c>
      <c r="C139" s="457">
        <v>4594</v>
      </c>
      <c r="D139" s="458">
        <v>4946.5</v>
      </c>
      <c r="E139" s="459">
        <f t="shared" si="65"/>
        <v>7.673051806704397</v>
      </c>
      <c r="F139" s="457">
        <v>10681</v>
      </c>
      <c r="G139" s="458">
        <v>11581</v>
      </c>
      <c r="H139" s="459">
        <f t="shared" si="48"/>
        <v>8.426177324220578</v>
      </c>
      <c r="I139" s="457">
        <v>4594</v>
      </c>
      <c r="J139" s="458">
        <v>4946.5</v>
      </c>
      <c r="K139" s="459">
        <f t="shared" si="49"/>
        <v>7.673051806704397</v>
      </c>
      <c r="L139" s="457">
        <v>10681</v>
      </c>
      <c r="M139" s="458">
        <v>11581</v>
      </c>
      <c r="N139" s="459">
        <f t="shared" si="50"/>
        <v>8.426177324220578</v>
      </c>
      <c r="O139" s="457"/>
      <c r="P139" s="458"/>
      <c r="Q139" s="459"/>
      <c r="R139" s="457"/>
      <c r="S139" s="458"/>
      <c r="T139" s="459"/>
      <c r="U139" s="457"/>
      <c r="V139" s="458"/>
      <c r="W139" s="459"/>
      <c r="X139" s="457"/>
      <c r="Y139" s="458"/>
      <c r="Z139" s="459">
        <f t="shared" si="68"/>
        <v>0</v>
      </c>
      <c r="AA139" s="457"/>
      <c r="AB139" s="458"/>
      <c r="AC139" s="459">
        <f t="shared" si="69"/>
        <v>0</v>
      </c>
      <c r="AD139" s="457"/>
      <c r="AE139" s="458"/>
      <c r="AF139" s="459"/>
      <c r="AG139" s="457"/>
      <c r="AH139" s="458"/>
      <c r="AI139" s="459"/>
      <c r="AJ139" s="457"/>
      <c r="AK139" s="458"/>
      <c r="AL139" s="459"/>
      <c r="AM139" s="457"/>
      <c r="AN139" s="458"/>
      <c r="AO139" s="459"/>
      <c r="AP139" s="457"/>
      <c r="AQ139" s="458"/>
      <c r="AR139" s="459"/>
      <c r="AS139" s="457"/>
      <c r="AT139" s="458"/>
      <c r="AU139" s="459"/>
      <c r="AV139" s="457"/>
      <c r="AW139" s="458"/>
      <c r="AX139" s="459"/>
      <c r="AY139" s="457"/>
      <c r="AZ139" s="458"/>
      <c r="BA139" s="459"/>
      <c r="BB139" s="457"/>
      <c r="BC139" s="458"/>
      <c r="BD139" s="459"/>
    </row>
    <row r="140" spans="1:56" ht="12.75">
      <c r="A140" s="160"/>
      <c r="B140" s="219" t="s">
        <v>90</v>
      </c>
      <c r="C140" s="457">
        <v>4413.5</v>
      </c>
      <c r="D140" s="458">
        <v>4705.5</v>
      </c>
      <c r="E140" s="459">
        <f t="shared" si="65"/>
        <v>6.616064348023111</v>
      </c>
      <c r="F140" s="457">
        <v>10059.5</v>
      </c>
      <c r="G140" s="458">
        <v>10755</v>
      </c>
      <c r="H140" s="459">
        <f t="shared" si="48"/>
        <v>6.913862518017794</v>
      </c>
      <c r="I140" s="457">
        <v>4413.5</v>
      </c>
      <c r="J140" s="458">
        <v>4705.5</v>
      </c>
      <c r="K140" s="459">
        <f t="shared" si="49"/>
        <v>6.616064348023111</v>
      </c>
      <c r="L140" s="457">
        <v>10059.5</v>
      </c>
      <c r="M140" s="458">
        <v>10755</v>
      </c>
      <c r="N140" s="459">
        <f t="shared" si="50"/>
        <v>6.913862518017794</v>
      </c>
      <c r="O140" s="457"/>
      <c r="P140" s="458"/>
      <c r="Q140" s="459"/>
      <c r="R140" s="457"/>
      <c r="S140" s="458"/>
      <c r="T140" s="459"/>
      <c r="U140" s="457"/>
      <c r="V140" s="458"/>
      <c r="W140" s="459"/>
      <c r="X140" s="457"/>
      <c r="Y140" s="458"/>
      <c r="Z140" s="459">
        <f t="shared" si="68"/>
        <v>0</v>
      </c>
      <c r="AA140" s="457"/>
      <c r="AB140" s="458"/>
      <c r="AC140" s="459">
        <f t="shared" si="69"/>
        <v>0</v>
      </c>
      <c r="AD140" s="457"/>
      <c r="AE140" s="458"/>
      <c r="AF140" s="459"/>
      <c r="AG140" s="457"/>
      <c r="AH140" s="458"/>
      <c r="AI140" s="459"/>
      <c r="AJ140" s="457"/>
      <c r="AK140" s="458"/>
      <c r="AL140" s="459"/>
      <c r="AM140" s="457"/>
      <c r="AN140" s="458"/>
      <c r="AO140" s="459"/>
      <c r="AP140" s="457"/>
      <c r="AQ140" s="458"/>
      <c r="AR140" s="459"/>
      <c r="AS140" s="457"/>
      <c r="AT140" s="458"/>
      <c r="AU140" s="459"/>
      <c r="AV140" s="457"/>
      <c r="AW140" s="458"/>
      <c r="AX140" s="459"/>
      <c r="AY140" s="457"/>
      <c r="AZ140" s="458"/>
      <c r="BA140" s="459"/>
      <c r="BB140" s="457"/>
      <c r="BC140" s="458"/>
      <c r="BD140" s="459"/>
    </row>
    <row r="141" spans="1:56" ht="12.75">
      <c r="A141" s="160"/>
      <c r="B141" s="219" t="s">
        <v>91</v>
      </c>
      <c r="C141" s="457"/>
      <c r="D141" s="458"/>
      <c r="E141" s="459">
        <f t="shared" si="65"/>
        <v>0</v>
      </c>
      <c r="F141" s="457"/>
      <c r="G141" s="458"/>
      <c r="H141" s="459">
        <f t="shared" si="48"/>
        <v>0</v>
      </c>
      <c r="I141" s="457"/>
      <c r="J141" s="458"/>
      <c r="K141" s="459">
        <f t="shared" si="49"/>
        <v>0</v>
      </c>
      <c r="L141" s="457"/>
      <c r="M141" s="458"/>
      <c r="N141" s="459">
        <f t="shared" si="50"/>
        <v>0</v>
      </c>
      <c r="O141" s="457"/>
      <c r="P141" s="458"/>
      <c r="Q141" s="459"/>
      <c r="R141" s="457"/>
      <c r="S141" s="458"/>
      <c r="T141" s="459"/>
      <c r="U141" s="457"/>
      <c r="V141" s="458"/>
      <c r="W141" s="459"/>
      <c r="X141" s="457"/>
      <c r="Y141" s="458"/>
      <c r="Z141" s="459">
        <f t="shared" si="68"/>
        <v>0</v>
      </c>
      <c r="AA141" s="457"/>
      <c r="AB141" s="458"/>
      <c r="AC141" s="459">
        <f t="shared" si="69"/>
        <v>0</v>
      </c>
      <c r="AD141" s="457"/>
      <c r="AE141" s="458"/>
      <c r="AF141" s="459"/>
      <c r="AG141" s="457"/>
      <c r="AH141" s="458"/>
      <c r="AI141" s="459"/>
      <c r="AJ141" s="457"/>
      <c r="AK141" s="458"/>
      <c r="AL141" s="459"/>
      <c r="AM141" s="457"/>
      <c r="AN141" s="458"/>
      <c r="AO141" s="459"/>
      <c r="AP141" s="457"/>
      <c r="AQ141" s="458"/>
      <c r="AR141" s="459"/>
      <c r="AS141" s="457"/>
      <c r="AT141" s="458"/>
      <c r="AU141" s="459"/>
      <c r="AV141" s="457"/>
      <c r="AW141" s="458"/>
      <c r="AX141" s="459"/>
      <c r="AY141" s="457"/>
      <c r="AZ141" s="458"/>
      <c r="BA141" s="459"/>
      <c r="BB141" s="457"/>
      <c r="BC141" s="458"/>
      <c r="BD141" s="459"/>
    </row>
    <row r="142" spans="1:56" ht="12.75">
      <c r="A142" s="160"/>
      <c r="B142" s="219" t="s">
        <v>92</v>
      </c>
      <c r="C142" s="457">
        <v>4082</v>
      </c>
      <c r="D142" s="458">
        <v>4285.5</v>
      </c>
      <c r="E142" s="459">
        <f t="shared" si="65"/>
        <v>4.985301322880941</v>
      </c>
      <c r="F142" s="457">
        <v>9453</v>
      </c>
      <c r="G142" s="458">
        <v>10034</v>
      </c>
      <c r="H142" s="459">
        <f t="shared" si="48"/>
        <v>6.1461969745054486</v>
      </c>
      <c r="I142" s="457">
        <v>3926</v>
      </c>
      <c r="J142" s="458">
        <v>4286</v>
      </c>
      <c r="K142" s="459">
        <f t="shared" si="49"/>
        <v>9.169638308711155</v>
      </c>
      <c r="L142" s="457">
        <v>9297</v>
      </c>
      <c r="M142" s="458">
        <v>10034.5</v>
      </c>
      <c r="N142" s="459">
        <f t="shared" si="50"/>
        <v>7.932666451543509</v>
      </c>
      <c r="O142" s="457"/>
      <c r="P142" s="458"/>
      <c r="Q142" s="459"/>
      <c r="R142" s="457"/>
      <c r="S142" s="458"/>
      <c r="T142" s="459"/>
      <c r="U142" s="457"/>
      <c r="V142" s="458"/>
      <c r="W142" s="459"/>
      <c r="X142" s="457"/>
      <c r="Y142" s="458"/>
      <c r="Z142" s="459">
        <f t="shared" si="68"/>
        <v>0</v>
      </c>
      <c r="AA142" s="457"/>
      <c r="AB142" s="458"/>
      <c r="AC142" s="459">
        <f t="shared" si="69"/>
        <v>0</v>
      </c>
      <c r="AD142" s="457"/>
      <c r="AE142" s="458"/>
      <c r="AF142" s="459"/>
      <c r="AG142" s="457"/>
      <c r="AH142" s="458"/>
      <c r="AI142" s="459"/>
      <c r="AJ142" s="457"/>
      <c r="AK142" s="458"/>
      <c r="AL142" s="459"/>
      <c r="AM142" s="457"/>
      <c r="AN142" s="458"/>
      <c r="AO142" s="459"/>
      <c r="AP142" s="457"/>
      <c r="AQ142" s="458"/>
      <c r="AR142" s="459"/>
      <c r="AS142" s="457"/>
      <c r="AT142" s="458"/>
      <c r="AU142" s="459"/>
      <c r="AV142" s="457"/>
      <c r="AW142" s="458"/>
      <c r="AX142" s="459"/>
      <c r="AY142" s="457"/>
      <c r="AZ142" s="458"/>
      <c r="BA142" s="459"/>
      <c r="BB142" s="457"/>
      <c r="BC142" s="458"/>
      <c r="BD142" s="459"/>
    </row>
    <row r="143" spans="1:56" ht="12.75">
      <c r="A143" s="160"/>
      <c r="B143" s="219" t="s">
        <v>93</v>
      </c>
      <c r="C143" s="457">
        <v>4090</v>
      </c>
      <c r="D143" s="458">
        <v>4313</v>
      </c>
      <c r="E143" s="459">
        <f t="shared" si="65"/>
        <v>5.452322738386308</v>
      </c>
      <c r="F143" s="457">
        <v>9712.5</v>
      </c>
      <c r="G143" s="458">
        <v>10460.5</v>
      </c>
      <c r="H143" s="459">
        <f t="shared" si="48"/>
        <v>7.7014157014157005</v>
      </c>
      <c r="I143" s="457">
        <v>4146</v>
      </c>
      <c r="J143" s="458">
        <v>4393.5</v>
      </c>
      <c r="K143" s="459">
        <f t="shared" si="49"/>
        <v>5.969609261939218</v>
      </c>
      <c r="L143" s="457">
        <v>9825.5</v>
      </c>
      <c r="M143" s="458">
        <v>10575.5</v>
      </c>
      <c r="N143" s="459">
        <f t="shared" si="50"/>
        <v>7.633199328278459</v>
      </c>
      <c r="O143" s="457"/>
      <c r="P143" s="458"/>
      <c r="Q143" s="459"/>
      <c r="R143" s="457"/>
      <c r="S143" s="458"/>
      <c r="T143" s="459"/>
      <c r="U143" s="457"/>
      <c r="V143" s="458"/>
      <c r="W143" s="459"/>
      <c r="X143" s="457"/>
      <c r="Y143" s="458"/>
      <c r="Z143" s="459">
        <f t="shared" si="68"/>
        <v>0</v>
      </c>
      <c r="AA143" s="457"/>
      <c r="AB143" s="458"/>
      <c r="AC143" s="459">
        <f t="shared" si="69"/>
        <v>0</v>
      </c>
      <c r="AD143" s="457"/>
      <c r="AE143" s="458"/>
      <c r="AF143" s="459"/>
      <c r="AG143" s="457"/>
      <c r="AH143" s="458"/>
      <c r="AI143" s="459"/>
      <c r="AJ143" s="457"/>
      <c r="AK143" s="458"/>
      <c r="AL143" s="459"/>
      <c r="AM143" s="457"/>
      <c r="AN143" s="458"/>
      <c r="AO143" s="459"/>
      <c r="AP143" s="457"/>
      <c r="AQ143" s="458"/>
      <c r="AR143" s="459"/>
      <c r="AS143" s="457"/>
      <c r="AT143" s="458"/>
      <c r="AU143" s="459"/>
      <c r="AV143" s="457"/>
      <c r="AW143" s="458"/>
      <c r="AX143" s="459"/>
      <c r="AY143" s="457"/>
      <c r="AZ143" s="458"/>
      <c r="BA143" s="459"/>
      <c r="BB143" s="457"/>
      <c r="BC143" s="458"/>
      <c r="BD143" s="459"/>
    </row>
    <row r="144" spans="1:56" ht="12.75">
      <c r="A144" s="160"/>
      <c r="B144" s="219" t="s">
        <v>94</v>
      </c>
      <c r="C144" s="457"/>
      <c r="D144" s="458"/>
      <c r="E144" s="459">
        <f t="shared" si="65"/>
        <v>0</v>
      </c>
      <c r="F144" s="457"/>
      <c r="G144" s="458"/>
      <c r="H144" s="459">
        <f t="shared" si="48"/>
        <v>0</v>
      </c>
      <c r="I144" s="457"/>
      <c r="J144" s="458"/>
      <c r="K144" s="459">
        <f t="shared" si="49"/>
        <v>0</v>
      </c>
      <c r="L144" s="457"/>
      <c r="M144" s="458"/>
      <c r="N144" s="459">
        <f t="shared" si="50"/>
        <v>0</v>
      </c>
      <c r="O144" s="457"/>
      <c r="P144" s="458"/>
      <c r="Q144" s="459"/>
      <c r="R144" s="457"/>
      <c r="S144" s="458"/>
      <c r="T144" s="459"/>
      <c r="U144" s="457"/>
      <c r="V144" s="458"/>
      <c r="W144" s="459"/>
      <c r="X144" s="457"/>
      <c r="Y144" s="458"/>
      <c r="Z144" s="459">
        <f t="shared" si="68"/>
        <v>0</v>
      </c>
      <c r="AA144" s="457"/>
      <c r="AB144" s="458"/>
      <c r="AC144" s="459">
        <f t="shared" si="69"/>
        <v>0</v>
      </c>
      <c r="AD144" s="457"/>
      <c r="AE144" s="458"/>
      <c r="AF144" s="459"/>
      <c r="AG144" s="457"/>
      <c r="AH144" s="458"/>
      <c r="AI144" s="459"/>
      <c r="AJ144" s="457"/>
      <c r="AK144" s="458"/>
      <c r="AL144" s="459"/>
      <c r="AM144" s="457"/>
      <c r="AN144" s="458"/>
      <c r="AO144" s="459"/>
      <c r="AP144" s="457"/>
      <c r="AQ144" s="458"/>
      <c r="AR144" s="459"/>
      <c r="AS144" s="457"/>
      <c r="AT144" s="458"/>
      <c r="AU144" s="459"/>
      <c r="AV144" s="457"/>
      <c r="AW144" s="458"/>
      <c r="AX144" s="459"/>
      <c r="AY144" s="457"/>
      <c r="AZ144" s="458"/>
      <c r="BA144" s="459"/>
      <c r="BB144" s="457"/>
      <c r="BC144" s="458"/>
      <c r="BD144" s="459"/>
    </row>
    <row r="145" spans="1:56" s="465" customFormat="1" ht="19.5" customHeight="1">
      <c r="A145" s="460"/>
      <c r="B145" s="461" t="s">
        <v>821</v>
      </c>
      <c r="C145" s="462">
        <v>4235.5</v>
      </c>
      <c r="D145" s="463">
        <v>4447</v>
      </c>
      <c r="E145" s="464">
        <f t="shared" si="65"/>
        <v>4.993507260063747</v>
      </c>
      <c r="F145" s="462">
        <v>9712.5</v>
      </c>
      <c r="G145" s="463">
        <v>10491</v>
      </c>
      <c r="H145" s="464">
        <f t="shared" si="48"/>
        <v>8.015444015444015</v>
      </c>
      <c r="I145" s="462">
        <v>4291.5</v>
      </c>
      <c r="J145" s="463">
        <v>4527.5</v>
      </c>
      <c r="K145" s="464">
        <f t="shared" si="49"/>
        <v>5.499242689036468</v>
      </c>
      <c r="L145" s="462">
        <v>9825.5</v>
      </c>
      <c r="M145" s="463">
        <v>10575.5</v>
      </c>
      <c r="N145" s="464">
        <f t="shared" si="50"/>
        <v>7.633199328278459</v>
      </c>
      <c r="O145" s="462"/>
      <c r="P145" s="463"/>
      <c r="Q145" s="464"/>
      <c r="R145" s="462"/>
      <c r="S145" s="463"/>
      <c r="T145" s="464"/>
      <c r="U145" s="462"/>
      <c r="V145" s="463"/>
      <c r="W145" s="464"/>
      <c r="X145" s="462"/>
      <c r="Y145" s="463"/>
      <c r="Z145" s="464">
        <f t="shared" si="68"/>
        <v>0</v>
      </c>
      <c r="AA145" s="462"/>
      <c r="AB145" s="463"/>
      <c r="AC145" s="464">
        <f t="shared" si="69"/>
        <v>0</v>
      </c>
      <c r="AD145" s="462"/>
      <c r="AE145" s="463"/>
      <c r="AF145" s="464"/>
      <c r="AG145" s="462"/>
      <c r="AH145" s="463"/>
      <c r="AI145" s="464"/>
      <c r="AJ145" s="462"/>
      <c r="AK145" s="463"/>
      <c r="AL145" s="464"/>
      <c r="AM145" s="462"/>
      <c r="AN145" s="463"/>
      <c r="AO145" s="464"/>
      <c r="AP145" s="462"/>
      <c r="AQ145" s="463"/>
      <c r="AR145" s="464"/>
      <c r="AS145" s="462"/>
      <c r="AT145" s="463"/>
      <c r="AU145" s="464"/>
      <c r="AV145" s="462"/>
      <c r="AW145" s="463"/>
      <c r="AX145" s="464"/>
      <c r="AY145" s="462"/>
      <c r="AZ145" s="463"/>
      <c r="BA145" s="464"/>
      <c r="BB145" s="462"/>
      <c r="BC145" s="463"/>
      <c r="BD145" s="464"/>
    </row>
    <row r="146" spans="1:56" ht="12.75">
      <c r="A146" s="160"/>
      <c r="B146" s="219" t="s">
        <v>95</v>
      </c>
      <c r="C146" s="457"/>
      <c r="D146" s="458"/>
      <c r="E146" s="459">
        <f t="shared" si="65"/>
        <v>0</v>
      </c>
      <c r="F146" s="457"/>
      <c r="G146" s="458"/>
      <c r="H146" s="459">
        <f t="shared" si="48"/>
        <v>0</v>
      </c>
      <c r="I146" s="457"/>
      <c r="J146" s="458"/>
      <c r="K146" s="459">
        <f t="shared" si="49"/>
        <v>0</v>
      </c>
      <c r="L146" s="457"/>
      <c r="M146" s="458"/>
      <c r="N146" s="459">
        <f t="shared" si="50"/>
        <v>0</v>
      </c>
      <c r="O146" s="457"/>
      <c r="P146" s="458"/>
      <c r="Q146" s="459"/>
      <c r="R146" s="457"/>
      <c r="S146" s="458"/>
      <c r="T146" s="459"/>
      <c r="U146" s="457"/>
      <c r="V146" s="458"/>
      <c r="W146" s="459"/>
      <c r="X146" s="457"/>
      <c r="Y146" s="458"/>
      <c r="Z146" s="459">
        <f t="shared" si="68"/>
        <v>0</v>
      </c>
      <c r="AA146" s="457"/>
      <c r="AB146" s="458"/>
      <c r="AC146" s="459">
        <f t="shared" si="69"/>
        <v>0</v>
      </c>
      <c r="AD146" s="457"/>
      <c r="AE146" s="458"/>
      <c r="AF146" s="459"/>
      <c r="AG146" s="457"/>
      <c r="AH146" s="458"/>
      <c r="AI146" s="459"/>
      <c r="AJ146" s="457"/>
      <c r="AK146" s="458"/>
      <c r="AL146" s="459"/>
      <c r="AM146" s="457"/>
      <c r="AN146" s="458"/>
      <c r="AO146" s="459"/>
      <c r="AP146" s="457"/>
      <c r="AQ146" s="458"/>
      <c r="AR146" s="459"/>
      <c r="AS146" s="457"/>
      <c r="AT146" s="458"/>
      <c r="AU146" s="459"/>
      <c r="AV146" s="457"/>
      <c r="AW146" s="458"/>
      <c r="AX146" s="459"/>
      <c r="AY146" s="457"/>
      <c r="AZ146" s="458"/>
      <c r="BA146" s="459"/>
      <c r="BB146" s="457"/>
      <c r="BC146" s="458"/>
      <c r="BD146" s="459">
        <f aca="true" t="shared" si="75" ref="BD146:BD155">IF(BB146&gt;0,(((BC146-BB146)/BB146)*100),0)</f>
        <v>0</v>
      </c>
    </row>
    <row r="147" spans="1:56" ht="12.75">
      <c r="A147" s="160"/>
      <c r="B147" s="219" t="s">
        <v>96</v>
      </c>
      <c r="C147" s="457">
        <v>1700</v>
      </c>
      <c r="D147" s="458">
        <v>1700</v>
      </c>
      <c r="E147" s="459">
        <f t="shared" si="65"/>
        <v>0</v>
      </c>
      <c r="F147" s="457">
        <v>3700</v>
      </c>
      <c r="G147" s="458">
        <v>3700</v>
      </c>
      <c r="H147" s="459">
        <f t="shared" si="48"/>
        <v>0</v>
      </c>
      <c r="I147" s="457"/>
      <c r="J147" s="458"/>
      <c r="K147" s="459">
        <f t="shared" si="49"/>
        <v>0</v>
      </c>
      <c r="L147" s="457"/>
      <c r="M147" s="458"/>
      <c r="N147" s="459">
        <f t="shared" si="50"/>
        <v>0</v>
      </c>
      <c r="O147" s="457"/>
      <c r="P147" s="458"/>
      <c r="Q147" s="459"/>
      <c r="R147" s="457"/>
      <c r="S147" s="458"/>
      <c r="T147" s="459"/>
      <c r="U147" s="457"/>
      <c r="V147" s="458"/>
      <c r="W147" s="459"/>
      <c r="X147" s="457"/>
      <c r="Y147" s="458"/>
      <c r="Z147" s="459">
        <f t="shared" si="68"/>
        <v>0</v>
      </c>
      <c r="AA147" s="457"/>
      <c r="AB147" s="458"/>
      <c r="AC147" s="459">
        <f t="shared" si="69"/>
        <v>0</v>
      </c>
      <c r="AD147" s="457"/>
      <c r="AE147" s="458"/>
      <c r="AF147" s="459"/>
      <c r="AG147" s="457"/>
      <c r="AH147" s="458"/>
      <c r="AI147" s="459"/>
      <c r="AJ147" s="457"/>
      <c r="AK147" s="458"/>
      <c r="AL147" s="459"/>
      <c r="AM147" s="457"/>
      <c r="AN147" s="458"/>
      <c r="AO147" s="459"/>
      <c r="AP147" s="457"/>
      <c r="AQ147" s="458"/>
      <c r="AR147" s="459"/>
      <c r="AS147" s="457"/>
      <c r="AT147" s="458"/>
      <c r="AU147" s="459"/>
      <c r="AV147" s="457"/>
      <c r="AW147" s="458"/>
      <c r="AX147" s="459"/>
      <c r="AY147" s="457"/>
      <c r="AZ147" s="458"/>
      <c r="BA147" s="459"/>
      <c r="BB147" s="457"/>
      <c r="BC147" s="458"/>
      <c r="BD147" s="459">
        <f t="shared" si="75"/>
        <v>0</v>
      </c>
    </row>
    <row r="148" spans="1:56" ht="12.75">
      <c r="A148" s="160"/>
      <c r="B148" s="219" t="s">
        <v>97</v>
      </c>
      <c r="C148" s="457">
        <v>1733</v>
      </c>
      <c r="D148" s="458">
        <v>1743</v>
      </c>
      <c r="E148" s="459">
        <f t="shared" si="65"/>
        <v>0.5770340450086555</v>
      </c>
      <c r="F148" s="457">
        <v>3549</v>
      </c>
      <c r="G148" s="458">
        <v>3585</v>
      </c>
      <c r="H148" s="459">
        <f aca="true" t="shared" si="76" ref="H148:H211">IF(F148&gt;0,(((G148-F148)/F148)*100),0)</f>
        <v>1.0143702451394758</v>
      </c>
      <c r="I148" s="457"/>
      <c r="J148" s="458"/>
      <c r="K148" s="459">
        <f aca="true" t="shared" si="77" ref="K148:K211">IF(I148&gt;0,(((J148-I148)/I148)*100),0)</f>
        <v>0</v>
      </c>
      <c r="L148" s="457"/>
      <c r="M148" s="458"/>
      <c r="N148" s="459">
        <f aca="true" t="shared" si="78" ref="N148:N211">IF(L148&gt;0,(((M148-L148)/L148)*100),0)</f>
        <v>0</v>
      </c>
      <c r="O148" s="457"/>
      <c r="P148" s="458"/>
      <c r="Q148" s="459"/>
      <c r="R148" s="457"/>
      <c r="S148" s="458"/>
      <c r="T148" s="459"/>
      <c r="U148" s="457"/>
      <c r="V148" s="458"/>
      <c r="W148" s="459"/>
      <c r="X148" s="457"/>
      <c r="Y148" s="458"/>
      <c r="Z148" s="459">
        <f t="shared" si="68"/>
        <v>0</v>
      </c>
      <c r="AA148" s="457"/>
      <c r="AB148" s="458"/>
      <c r="AC148" s="459">
        <f t="shared" si="69"/>
        <v>0</v>
      </c>
      <c r="AD148" s="457"/>
      <c r="AE148" s="458"/>
      <c r="AF148" s="459"/>
      <c r="AG148" s="457"/>
      <c r="AH148" s="458"/>
      <c r="AI148" s="459"/>
      <c r="AJ148" s="457"/>
      <c r="AK148" s="458"/>
      <c r="AL148" s="459"/>
      <c r="AM148" s="457"/>
      <c r="AN148" s="458"/>
      <c r="AO148" s="459"/>
      <c r="AP148" s="457"/>
      <c r="AQ148" s="458"/>
      <c r="AR148" s="459"/>
      <c r="AS148" s="457"/>
      <c r="AT148" s="458"/>
      <c r="AU148" s="459"/>
      <c r="AV148" s="457"/>
      <c r="AW148" s="458"/>
      <c r="AX148" s="459"/>
      <c r="AY148" s="457"/>
      <c r="AZ148" s="458"/>
      <c r="BA148" s="459"/>
      <c r="BB148" s="457"/>
      <c r="BC148" s="458"/>
      <c r="BD148" s="459">
        <f t="shared" si="75"/>
        <v>0</v>
      </c>
    </row>
    <row r="149" spans="1:56" ht="12.75">
      <c r="A149" s="160"/>
      <c r="B149" s="219" t="s">
        <v>778</v>
      </c>
      <c r="C149" s="457">
        <v>1800</v>
      </c>
      <c r="D149" s="458">
        <v>1800</v>
      </c>
      <c r="E149" s="459">
        <f t="shared" si="65"/>
        <v>0</v>
      </c>
      <c r="F149" s="457">
        <v>4350</v>
      </c>
      <c r="G149" s="458">
        <v>4600</v>
      </c>
      <c r="H149" s="459">
        <f t="shared" si="76"/>
        <v>5.747126436781609</v>
      </c>
      <c r="I149" s="457"/>
      <c r="J149" s="458"/>
      <c r="K149" s="459">
        <f t="shared" si="77"/>
        <v>0</v>
      </c>
      <c r="L149" s="457"/>
      <c r="M149" s="458"/>
      <c r="N149" s="459">
        <f t="shared" si="78"/>
        <v>0</v>
      </c>
      <c r="O149" s="457"/>
      <c r="P149" s="458"/>
      <c r="Q149" s="459">
        <f t="shared" si="66"/>
        <v>0</v>
      </c>
      <c r="R149" s="457"/>
      <c r="S149" s="458"/>
      <c r="T149" s="459">
        <f t="shared" si="67"/>
        <v>0</v>
      </c>
      <c r="U149" s="457"/>
      <c r="V149" s="458"/>
      <c r="W149" s="459">
        <f t="shared" si="57"/>
        <v>0</v>
      </c>
      <c r="X149" s="457"/>
      <c r="Y149" s="458"/>
      <c r="Z149" s="459">
        <f t="shared" si="68"/>
        <v>0</v>
      </c>
      <c r="AA149" s="457"/>
      <c r="AB149" s="458"/>
      <c r="AC149" s="459">
        <f t="shared" si="69"/>
        <v>0</v>
      </c>
      <c r="AD149" s="457"/>
      <c r="AE149" s="458"/>
      <c r="AF149" s="459"/>
      <c r="AG149" s="457"/>
      <c r="AH149" s="458"/>
      <c r="AI149" s="459"/>
      <c r="AJ149" s="457"/>
      <c r="AK149" s="458"/>
      <c r="AL149" s="459"/>
      <c r="AM149" s="457"/>
      <c r="AN149" s="458"/>
      <c r="AO149" s="459"/>
      <c r="AP149" s="457"/>
      <c r="AQ149" s="458"/>
      <c r="AR149" s="459"/>
      <c r="AS149" s="457"/>
      <c r="AT149" s="458"/>
      <c r="AU149" s="459"/>
      <c r="AV149" s="457"/>
      <c r="AW149" s="458"/>
      <c r="AX149" s="459"/>
      <c r="AY149" s="457"/>
      <c r="AZ149" s="458"/>
      <c r="BA149" s="459"/>
      <c r="BB149" s="457"/>
      <c r="BC149" s="458"/>
      <c r="BD149" s="459">
        <f t="shared" si="75"/>
        <v>0</v>
      </c>
    </row>
    <row r="150" spans="1:56" s="465" customFormat="1" ht="20.25" customHeight="1">
      <c r="A150" s="460"/>
      <c r="B150" s="461" t="s">
        <v>426</v>
      </c>
      <c r="C150" s="462">
        <v>1740</v>
      </c>
      <c r="D150" s="463">
        <v>1740</v>
      </c>
      <c r="E150" s="464">
        <f t="shared" si="65"/>
        <v>0</v>
      </c>
      <c r="F150" s="462">
        <v>3600</v>
      </c>
      <c r="G150" s="463">
        <v>3652</v>
      </c>
      <c r="H150" s="464">
        <f t="shared" si="76"/>
        <v>1.4444444444444444</v>
      </c>
      <c r="I150" s="462"/>
      <c r="J150" s="463"/>
      <c r="K150" s="464">
        <f t="shared" si="77"/>
        <v>0</v>
      </c>
      <c r="L150" s="462"/>
      <c r="M150" s="463"/>
      <c r="N150" s="464">
        <f t="shared" si="78"/>
        <v>0</v>
      </c>
      <c r="O150" s="462"/>
      <c r="P150" s="463"/>
      <c r="Q150" s="464">
        <f t="shared" si="66"/>
        <v>0</v>
      </c>
      <c r="R150" s="462"/>
      <c r="S150" s="463"/>
      <c r="T150" s="464">
        <f t="shared" si="67"/>
        <v>0</v>
      </c>
      <c r="U150" s="462"/>
      <c r="V150" s="463"/>
      <c r="W150" s="464">
        <f t="shared" si="57"/>
        <v>0</v>
      </c>
      <c r="X150" s="462"/>
      <c r="Y150" s="463"/>
      <c r="Z150" s="464">
        <f t="shared" si="68"/>
        <v>0</v>
      </c>
      <c r="AA150" s="462"/>
      <c r="AB150" s="463"/>
      <c r="AC150" s="464">
        <f t="shared" si="69"/>
        <v>0</v>
      </c>
      <c r="AD150" s="462"/>
      <c r="AE150" s="463"/>
      <c r="AF150" s="464"/>
      <c r="AG150" s="462"/>
      <c r="AH150" s="463"/>
      <c r="AI150" s="464"/>
      <c r="AJ150" s="462"/>
      <c r="AK150" s="463"/>
      <c r="AL150" s="464"/>
      <c r="AM150" s="462"/>
      <c r="AN150" s="463"/>
      <c r="AO150" s="464"/>
      <c r="AP150" s="462"/>
      <c r="AQ150" s="463"/>
      <c r="AR150" s="464"/>
      <c r="AS150" s="462"/>
      <c r="AT150" s="463"/>
      <c r="AU150" s="464"/>
      <c r="AV150" s="462"/>
      <c r="AW150" s="463"/>
      <c r="AX150" s="464"/>
      <c r="AY150" s="462"/>
      <c r="AZ150" s="463"/>
      <c r="BA150" s="464"/>
      <c r="BB150" s="462"/>
      <c r="BC150" s="463"/>
      <c r="BD150" s="464">
        <f t="shared" si="75"/>
        <v>0</v>
      </c>
    </row>
    <row r="151" spans="1:56" ht="12.75">
      <c r="A151" s="160"/>
      <c r="B151" s="219" t="s">
        <v>779</v>
      </c>
      <c r="C151" s="457"/>
      <c r="D151" s="458"/>
      <c r="E151" s="459">
        <f t="shared" si="65"/>
        <v>0</v>
      </c>
      <c r="F151" s="457"/>
      <c r="G151" s="458"/>
      <c r="H151" s="459">
        <f t="shared" si="76"/>
        <v>0</v>
      </c>
      <c r="I151" s="457"/>
      <c r="J151" s="458"/>
      <c r="K151" s="459">
        <f t="shared" si="77"/>
        <v>0</v>
      </c>
      <c r="L151" s="457"/>
      <c r="M151" s="458"/>
      <c r="N151" s="459">
        <f t="shared" si="78"/>
        <v>0</v>
      </c>
      <c r="O151" s="457"/>
      <c r="P151" s="458"/>
      <c r="Q151" s="459">
        <f t="shared" si="66"/>
        <v>0</v>
      </c>
      <c r="R151" s="457"/>
      <c r="S151" s="458"/>
      <c r="T151" s="459">
        <f t="shared" si="67"/>
        <v>0</v>
      </c>
      <c r="U151" s="457"/>
      <c r="V151" s="458"/>
      <c r="W151" s="459">
        <f t="shared" si="57"/>
        <v>0</v>
      </c>
      <c r="X151" s="457"/>
      <c r="Y151" s="458"/>
      <c r="Z151" s="459">
        <f t="shared" si="68"/>
        <v>0</v>
      </c>
      <c r="AA151" s="457"/>
      <c r="AB151" s="458"/>
      <c r="AC151" s="459">
        <f t="shared" si="69"/>
        <v>0</v>
      </c>
      <c r="AD151" s="457"/>
      <c r="AE151" s="458"/>
      <c r="AF151" s="459">
        <f>IF(AD151&gt;0,(((AE151-AD151)/AD151)*100),0)</f>
        <v>0</v>
      </c>
      <c r="AG151" s="457"/>
      <c r="AH151" s="458"/>
      <c r="AI151" s="459">
        <f>IF(AG151&gt;0,(((AH151-AG151)/AG151)*100),0)</f>
        <v>0</v>
      </c>
      <c r="AJ151" s="457"/>
      <c r="AK151" s="458"/>
      <c r="AL151" s="459">
        <f>IF(AJ151&gt;0,(((AK151-AJ151)/AJ151)*100),0)</f>
        <v>0</v>
      </c>
      <c r="AM151" s="457"/>
      <c r="AN151" s="458"/>
      <c r="AO151" s="459">
        <f t="shared" si="73"/>
        <v>0</v>
      </c>
      <c r="AP151" s="457"/>
      <c r="AQ151" s="458"/>
      <c r="AR151" s="459">
        <f t="shared" si="74"/>
        <v>0</v>
      </c>
      <c r="AS151" s="457"/>
      <c r="AT151" s="458"/>
      <c r="AU151" s="459">
        <f>IF(AS151&gt;0,(((AT151-AS151)/AS151)*100),0)</f>
        <v>0</v>
      </c>
      <c r="AV151" s="457"/>
      <c r="AW151" s="458"/>
      <c r="AX151" s="459">
        <f>IF(AV151&gt;0,(((AW151-AV151)/AV151)*100),0)</f>
        <v>0</v>
      </c>
      <c r="AY151" s="457"/>
      <c r="AZ151" s="458"/>
      <c r="BA151" s="459">
        <f>IF(AY151&gt;0,(((AZ151-AY151)/AY151)*100),0)</f>
        <v>0</v>
      </c>
      <c r="BB151" s="457"/>
      <c r="BC151" s="458"/>
      <c r="BD151" s="459">
        <f t="shared" si="75"/>
        <v>0</v>
      </c>
    </row>
    <row r="152" spans="1:56" ht="12.75">
      <c r="A152" s="160"/>
      <c r="B152" s="219" t="s">
        <v>1015</v>
      </c>
      <c r="C152" s="457"/>
      <c r="D152" s="458"/>
      <c r="E152" s="459">
        <f t="shared" si="65"/>
        <v>0</v>
      </c>
      <c r="F152" s="457"/>
      <c r="G152" s="458"/>
      <c r="H152" s="459">
        <f t="shared" si="76"/>
        <v>0</v>
      </c>
      <c r="I152" s="457"/>
      <c r="J152" s="458"/>
      <c r="K152" s="459">
        <f t="shared" si="77"/>
        <v>0</v>
      </c>
      <c r="L152" s="457"/>
      <c r="M152" s="458"/>
      <c r="N152" s="459">
        <f t="shared" si="78"/>
        <v>0</v>
      </c>
      <c r="O152" s="457"/>
      <c r="P152" s="458"/>
      <c r="Q152" s="459">
        <f t="shared" si="66"/>
        <v>0</v>
      </c>
      <c r="R152" s="457"/>
      <c r="S152" s="458"/>
      <c r="T152" s="459">
        <f t="shared" si="67"/>
        <v>0</v>
      </c>
      <c r="U152" s="457"/>
      <c r="V152" s="458"/>
      <c r="W152" s="459">
        <f t="shared" si="57"/>
        <v>0</v>
      </c>
      <c r="X152" s="457"/>
      <c r="Y152" s="458"/>
      <c r="Z152" s="459">
        <f t="shared" si="68"/>
        <v>0</v>
      </c>
      <c r="AA152" s="457"/>
      <c r="AB152" s="458"/>
      <c r="AC152" s="459">
        <f t="shared" si="69"/>
        <v>0</v>
      </c>
      <c r="AD152" s="457"/>
      <c r="AE152" s="458"/>
      <c r="AF152" s="459">
        <f>IF(AD152&gt;0,(((AE152-AD152)/AD152)*100),0)</f>
        <v>0</v>
      </c>
      <c r="AG152" s="457"/>
      <c r="AH152" s="458"/>
      <c r="AI152" s="459">
        <f>IF(AG152&gt;0,(((AH152-AG152)/AG152)*100),0)</f>
        <v>0</v>
      </c>
      <c r="AJ152" s="457"/>
      <c r="AK152" s="458"/>
      <c r="AL152" s="459">
        <f>IF(AJ152&gt;0,(((AK152-AJ152)/AJ152)*100),0)</f>
        <v>0</v>
      </c>
      <c r="AM152" s="457"/>
      <c r="AN152" s="458"/>
      <c r="AO152" s="459">
        <f t="shared" si="73"/>
        <v>0</v>
      </c>
      <c r="AP152" s="457"/>
      <c r="AQ152" s="458"/>
      <c r="AR152" s="459">
        <f t="shared" si="74"/>
        <v>0</v>
      </c>
      <c r="AS152" s="457"/>
      <c r="AT152" s="458"/>
      <c r="AU152" s="459">
        <f>IF(AS152&gt;0,(((AT152-AS152)/AS152)*100),0)</f>
        <v>0</v>
      </c>
      <c r="AV152" s="457"/>
      <c r="AW152" s="458"/>
      <c r="AX152" s="459">
        <f>IF(AV152&gt;0,(((AW152-AV152)/AV152)*100),0)</f>
        <v>0</v>
      </c>
      <c r="AY152" s="457"/>
      <c r="AZ152" s="458"/>
      <c r="BA152" s="459">
        <f>IF(AY152&gt;0,(((AZ152-AY152)/AY152)*100),0)</f>
        <v>0</v>
      </c>
      <c r="BB152" s="457"/>
      <c r="BC152" s="458"/>
      <c r="BD152" s="459">
        <f t="shared" si="75"/>
        <v>0</v>
      </c>
    </row>
    <row r="153" spans="1:56" ht="12.75">
      <c r="A153" s="160"/>
      <c r="B153" s="219" t="s">
        <v>1016</v>
      </c>
      <c r="C153" s="457"/>
      <c r="D153" s="458"/>
      <c r="E153" s="459">
        <f t="shared" si="65"/>
        <v>0</v>
      </c>
      <c r="F153" s="457"/>
      <c r="G153" s="458"/>
      <c r="H153" s="459">
        <f t="shared" si="76"/>
        <v>0</v>
      </c>
      <c r="I153" s="457"/>
      <c r="J153" s="458"/>
      <c r="K153" s="459">
        <f t="shared" si="77"/>
        <v>0</v>
      </c>
      <c r="L153" s="457"/>
      <c r="M153" s="458"/>
      <c r="N153" s="459">
        <f t="shared" si="78"/>
        <v>0</v>
      </c>
      <c r="O153" s="457"/>
      <c r="P153" s="458"/>
      <c r="Q153" s="459">
        <f t="shared" si="66"/>
        <v>0</v>
      </c>
      <c r="R153" s="457"/>
      <c r="S153" s="458"/>
      <c r="T153" s="459">
        <f t="shared" si="67"/>
        <v>0</v>
      </c>
      <c r="U153" s="457"/>
      <c r="V153" s="458"/>
      <c r="W153" s="459">
        <f t="shared" si="57"/>
        <v>0</v>
      </c>
      <c r="X153" s="457"/>
      <c r="Y153" s="458"/>
      <c r="Z153" s="459">
        <f t="shared" si="68"/>
        <v>0</v>
      </c>
      <c r="AA153" s="457"/>
      <c r="AB153" s="458"/>
      <c r="AC153" s="459">
        <f t="shared" si="69"/>
        <v>0</v>
      </c>
      <c r="AD153" s="457"/>
      <c r="AE153" s="458"/>
      <c r="AF153" s="459">
        <f>IF(AD153&gt;0,(((AE153-AD153)/AD153)*100),0)</f>
        <v>0</v>
      </c>
      <c r="AG153" s="457"/>
      <c r="AH153" s="458"/>
      <c r="AI153" s="459">
        <f>IF(AG153&gt;0,(((AH153-AG153)/AG153)*100),0)</f>
        <v>0</v>
      </c>
      <c r="AJ153" s="457"/>
      <c r="AK153" s="458"/>
      <c r="AL153" s="459">
        <f>IF(AJ153&gt;0,(((AK153-AJ153)/AJ153)*100),0)</f>
        <v>0</v>
      </c>
      <c r="AM153" s="457"/>
      <c r="AN153" s="458"/>
      <c r="AO153" s="459">
        <f t="shared" si="73"/>
        <v>0</v>
      </c>
      <c r="AP153" s="457"/>
      <c r="AQ153" s="458"/>
      <c r="AR153" s="459">
        <f t="shared" si="74"/>
        <v>0</v>
      </c>
      <c r="AS153" s="457"/>
      <c r="AT153" s="458"/>
      <c r="AU153" s="459">
        <f>IF(AS153&gt;0,(((AT153-AS153)/AS153)*100),0)</f>
        <v>0</v>
      </c>
      <c r="AV153" s="457"/>
      <c r="AW153" s="458"/>
      <c r="AX153" s="459">
        <f>IF(AV153&gt;0,(((AW153-AV153)/AV153)*100),0)</f>
        <v>0</v>
      </c>
      <c r="AY153" s="457"/>
      <c r="AZ153" s="458"/>
      <c r="BA153" s="459">
        <f>IF(AY153&gt;0,(((AZ153-AY153)/AY153)*100),0)</f>
        <v>0</v>
      </c>
      <c r="BB153" s="457"/>
      <c r="BC153" s="458"/>
      <c r="BD153" s="459">
        <f t="shared" si="75"/>
        <v>0</v>
      </c>
    </row>
    <row r="154" spans="1:56" s="465" customFormat="1" ht="21.75" customHeight="1">
      <c r="A154" s="460"/>
      <c r="B154" s="461" t="s">
        <v>978</v>
      </c>
      <c r="C154" s="462"/>
      <c r="D154" s="463"/>
      <c r="E154" s="464">
        <f t="shared" si="65"/>
        <v>0</v>
      </c>
      <c r="F154" s="462"/>
      <c r="G154" s="463"/>
      <c r="H154" s="464">
        <f t="shared" si="76"/>
        <v>0</v>
      </c>
      <c r="I154" s="462"/>
      <c r="J154" s="463"/>
      <c r="K154" s="464">
        <f t="shared" si="77"/>
        <v>0</v>
      </c>
      <c r="L154" s="462"/>
      <c r="M154" s="463"/>
      <c r="N154" s="464">
        <f t="shared" si="78"/>
        <v>0</v>
      </c>
      <c r="O154" s="462"/>
      <c r="P154" s="463"/>
      <c r="Q154" s="464">
        <f t="shared" si="66"/>
        <v>0</v>
      </c>
      <c r="R154" s="462"/>
      <c r="S154" s="463"/>
      <c r="T154" s="464">
        <f t="shared" si="67"/>
        <v>0</v>
      </c>
      <c r="U154" s="462"/>
      <c r="V154" s="463"/>
      <c r="W154" s="464">
        <f t="shared" si="57"/>
        <v>0</v>
      </c>
      <c r="X154" s="462"/>
      <c r="Y154" s="463"/>
      <c r="Z154" s="464">
        <f t="shared" si="68"/>
        <v>0</v>
      </c>
      <c r="AA154" s="462"/>
      <c r="AB154" s="463"/>
      <c r="AC154" s="464">
        <f t="shared" si="69"/>
        <v>0</v>
      </c>
      <c r="AD154" s="462"/>
      <c r="AE154" s="463"/>
      <c r="AF154" s="464">
        <f>IF(AD154&gt;0,(((AE154-AD154)/AD154)*100),0)</f>
        <v>0</v>
      </c>
      <c r="AG154" s="462"/>
      <c r="AH154" s="463"/>
      <c r="AI154" s="464">
        <f>IF(AG154&gt;0,(((AH154-AG154)/AG154)*100),0)</f>
        <v>0</v>
      </c>
      <c r="AJ154" s="462"/>
      <c r="AK154" s="463"/>
      <c r="AL154" s="464">
        <f>IF(AJ154&gt;0,(((AK154-AJ154)/AJ154)*100),0)</f>
        <v>0</v>
      </c>
      <c r="AM154" s="462"/>
      <c r="AN154" s="463"/>
      <c r="AO154" s="464">
        <f t="shared" si="73"/>
        <v>0</v>
      </c>
      <c r="AP154" s="462"/>
      <c r="AQ154" s="463"/>
      <c r="AR154" s="464">
        <f t="shared" si="74"/>
        <v>0</v>
      </c>
      <c r="AS154" s="462"/>
      <c r="AT154" s="463"/>
      <c r="AU154" s="464">
        <f>IF(AS154&gt;0,(((AT154-AS154)/AS154)*100),0)</f>
        <v>0</v>
      </c>
      <c r="AV154" s="462"/>
      <c r="AW154" s="463"/>
      <c r="AX154" s="464">
        <f>IF(AV154&gt;0,(((AW154-AV154)/AV154)*100),0)</f>
        <v>0</v>
      </c>
      <c r="AY154" s="462"/>
      <c r="AZ154" s="463"/>
      <c r="BA154" s="464">
        <f>IF(AY154&gt;0,(((AZ154-AY154)/AY154)*100),0)</f>
        <v>0</v>
      </c>
      <c r="BB154" s="462"/>
      <c r="BC154" s="463"/>
      <c r="BD154" s="464">
        <f t="shared" si="75"/>
        <v>0</v>
      </c>
    </row>
    <row r="155" spans="1:56" ht="12.75">
      <c r="A155" s="466"/>
      <c r="B155" s="467" t="s">
        <v>781</v>
      </c>
      <c r="C155" s="468"/>
      <c r="D155" s="469"/>
      <c r="E155" s="471">
        <f t="shared" si="65"/>
        <v>0</v>
      </c>
      <c r="F155" s="468"/>
      <c r="G155" s="469"/>
      <c r="H155" s="471">
        <f t="shared" si="76"/>
        <v>0</v>
      </c>
      <c r="I155" s="468"/>
      <c r="J155" s="469"/>
      <c r="K155" s="471">
        <f t="shared" si="77"/>
        <v>0</v>
      </c>
      <c r="L155" s="468"/>
      <c r="M155" s="469"/>
      <c r="N155" s="471">
        <f t="shared" si="78"/>
        <v>0</v>
      </c>
      <c r="O155" s="468">
        <v>8300</v>
      </c>
      <c r="P155" s="469">
        <v>8930</v>
      </c>
      <c r="Q155" s="471">
        <f t="shared" si="66"/>
        <v>7.590361445783132</v>
      </c>
      <c r="R155" s="468">
        <v>16180</v>
      </c>
      <c r="S155" s="469">
        <v>18550</v>
      </c>
      <c r="T155" s="471">
        <f t="shared" si="67"/>
        <v>14.647713226205191</v>
      </c>
      <c r="U155" s="468">
        <v>8649</v>
      </c>
      <c r="V155" s="469">
        <v>9649</v>
      </c>
      <c r="W155" s="471">
        <f t="shared" si="57"/>
        <v>11.562030292519367</v>
      </c>
      <c r="X155" s="468">
        <v>16661</v>
      </c>
      <c r="Y155" s="469">
        <v>18661</v>
      </c>
      <c r="Z155" s="471">
        <f t="shared" si="68"/>
        <v>12.004081387671809</v>
      </c>
      <c r="AA155" s="468">
        <v>8030</v>
      </c>
      <c r="AB155" s="469">
        <v>9030</v>
      </c>
      <c r="AC155" s="471">
        <f t="shared" si="69"/>
        <v>12.453300124533001</v>
      </c>
      <c r="AD155" s="468">
        <v>16711</v>
      </c>
      <c r="AE155" s="469">
        <v>18711</v>
      </c>
      <c r="AF155" s="471">
        <f>IF(AD155&gt;0,(((AE155-AD155)/AD155)*100),0)</f>
        <v>11.968164681946023</v>
      </c>
      <c r="AG155" s="468">
        <v>7738</v>
      </c>
      <c r="AH155" s="469">
        <v>8548</v>
      </c>
      <c r="AI155" s="471">
        <f>IF(AG155&gt;0,(((AH155-AG155)/AG155)*100),0)</f>
        <v>10.46782114241406</v>
      </c>
      <c r="AJ155" s="468">
        <v>14774</v>
      </c>
      <c r="AK155" s="469">
        <v>17098</v>
      </c>
      <c r="AL155" s="471">
        <f>IF(AJ155&gt;0,(((AK155-AJ155)/AJ155)*100),0)</f>
        <v>15.730337078651685</v>
      </c>
      <c r="AM155" s="468"/>
      <c r="AN155" s="469"/>
      <c r="AO155" s="471">
        <f t="shared" si="73"/>
        <v>0</v>
      </c>
      <c r="AP155" s="468"/>
      <c r="AQ155" s="469"/>
      <c r="AR155" s="471">
        <f t="shared" si="74"/>
        <v>0</v>
      </c>
      <c r="AS155" s="468"/>
      <c r="AT155" s="469"/>
      <c r="AU155" s="471">
        <f>IF(AS155&gt;0,(((AT155-AS155)/AS155)*100),0)</f>
        <v>0</v>
      </c>
      <c r="AV155" s="468"/>
      <c r="AW155" s="469"/>
      <c r="AX155" s="471">
        <f>IF(AV155&gt;0,(((AW155-AV155)/AV155)*100),0)</f>
        <v>0</v>
      </c>
      <c r="AY155" s="468">
        <v>11928</v>
      </c>
      <c r="AZ155" s="469">
        <v>12968</v>
      </c>
      <c r="BA155" s="471">
        <f>IF(AY155&gt;0,(((AZ155-AY155)/AY155)*100),0)</f>
        <v>8.718980549966465</v>
      </c>
      <c r="BB155" s="468">
        <v>30670</v>
      </c>
      <c r="BC155" s="469">
        <v>32750</v>
      </c>
      <c r="BD155" s="471">
        <f t="shared" si="75"/>
        <v>6.781871535702641</v>
      </c>
    </row>
    <row r="156" spans="1:56" ht="12.75">
      <c r="A156" s="158" t="s">
        <v>531</v>
      </c>
      <c r="B156" s="219" t="s">
        <v>89</v>
      </c>
      <c r="C156" s="457">
        <v>4908</v>
      </c>
      <c r="D156" s="458">
        <v>5228.5</v>
      </c>
      <c r="E156" s="459">
        <f t="shared" si="65"/>
        <v>6.530154849225754</v>
      </c>
      <c r="F156" s="457">
        <v>18331</v>
      </c>
      <c r="G156" s="458">
        <v>19151.5</v>
      </c>
      <c r="H156" s="459">
        <f t="shared" si="76"/>
        <v>4.476024221264525</v>
      </c>
      <c r="I156" s="457">
        <v>5491</v>
      </c>
      <c r="J156" s="458">
        <v>5936</v>
      </c>
      <c r="K156" s="459">
        <f t="shared" si="77"/>
        <v>8.104170460753961</v>
      </c>
      <c r="L156" s="457">
        <v>18514</v>
      </c>
      <c r="M156" s="458">
        <v>18959</v>
      </c>
      <c r="N156" s="459">
        <f t="shared" si="78"/>
        <v>2.403586475099924</v>
      </c>
      <c r="O156" s="457"/>
      <c r="P156" s="458"/>
      <c r="Q156" s="459"/>
      <c r="R156" s="457"/>
      <c r="S156" s="458"/>
      <c r="T156" s="459"/>
      <c r="U156" s="457"/>
      <c r="V156" s="458"/>
      <c r="W156" s="459"/>
      <c r="X156" s="457"/>
      <c r="Y156" s="458"/>
      <c r="Z156" s="459"/>
      <c r="AA156" s="457"/>
      <c r="AB156" s="458"/>
      <c r="AC156" s="459">
        <f t="shared" si="69"/>
        <v>0</v>
      </c>
      <c r="AD156" s="457"/>
      <c r="AE156" s="458"/>
      <c r="AF156" s="459"/>
      <c r="AG156" s="457"/>
      <c r="AH156" s="458"/>
      <c r="AI156" s="459"/>
      <c r="AJ156" s="457"/>
      <c r="AK156" s="458"/>
      <c r="AL156" s="459"/>
      <c r="AM156" s="457"/>
      <c r="AN156" s="458"/>
      <c r="AO156" s="459"/>
      <c r="AP156" s="457"/>
      <c r="AQ156" s="458"/>
      <c r="AR156" s="459"/>
      <c r="AS156" s="457"/>
      <c r="AT156" s="458"/>
      <c r="AU156" s="459"/>
      <c r="AV156" s="457"/>
      <c r="AW156" s="458"/>
      <c r="AX156" s="459"/>
      <c r="AY156" s="457"/>
      <c r="AZ156" s="458"/>
      <c r="BA156" s="459">
        <f aca="true" t="shared" si="79" ref="BA156:BA172">IF(AY156&gt;0,(((AZ156-AY156)/AY156)*100),0)</f>
        <v>0</v>
      </c>
      <c r="BB156" s="457"/>
      <c r="BC156" s="458"/>
      <c r="BD156" s="459"/>
    </row>
    <row r="157" spans="1:56" ht="12.75">
      <c r="A157" s="160"/>
      <c r="B157" s="219" t="s">
        <v>90</v>
      </c>
      <c r="C157" s="457">
        <v>3854</v>
      </c>
      <c r="D157" s="458">
        <v>4091</v>
      </c>
      <c r="E157" s="459">
        <f t="shared" si="65"/>
        <v>6.149455111572393</v>
      </c>
      <c r="F157" s="457">
        <v>14694</v>
      </c>
      <c r="G157" s="458">
        <v>14931</v>
      </c>
      <c r="H157" s="459">
        <f t="shared" si="76"/>
        <v>1.6129032258064515</v>
      </c>
      <c r="I157" s="457">
        <v>4233.5</v>
      </c>
      <c r="J157" s="458">
        <v>4480</v>
      </c>
      <c r="K157" s="459">
        <f t="shared" si="77"/>
        <v>5.822605409235857</v>
      </c>
      <c r="L157" s="457">
        <v>14862</v>
      </c>
      <c r="M157" s="458">
        <v>15108.5</v>
      </c>
      <c r="N157" s="459">
        <f t="shared" si="78"/>
        <v>1.658592383259319</v>
      </c>
      <c r="O157" s="457"/>
      <c r="P157" s="458"/>
      <c r="Q157" s="459"/>
      <c r="R157" s="457"/>
      <c r="S157" s="458"/>
      <c r="T157" s="459"/>
      <c r="U157" s="457"/>
      <c r="V157" s="458"/>
      <c r="W157" s="459"/>
      <c r="X157" s="457"/>
      <c r="Y157" s="458"/>
      <c r="Z157" s="459"/>
      <c r="AA157" s="457"/>
      <c r="AB157" s="458"/>
      <c r="AC157" s="459">
        <f t="shared" si="69"/>
        <v>0</v>
      </c>
      <c r="AD157" s="457"/>
      <c r="AE157" s="458"/>
      <c r="AF157" s="459"/>
      <c r="AG157" s="457"/>
      <c r="AH157" s="458"/>
      <c r="AI157" s="459"/>
      <c r="AJ157" s="457"/>
      <c r="AK157" s="458"/>
      <c r="AL157" s="459"/>
      <c r="AM157" s="457"/>
      <c r="AN157" s="458"/>
      <c r="AO157" s="459"/>
      <c r="AP157" s="457"/>
      <c r="AQ157" s="458"/>
      <c r="AR157" s="459"/>
      <c r="AS157" s="457"/>
      <c r="AT157" s="458"/>
      <c r="AU157" s="459"/>
      <c r="AV157" s="457"/>
      <c r="AW157" s="458"/>
      <c r="AX157" s="459"/>
      <c r="AY157" s="457"/>
      <c r="AZ157" s="458"/>
      <c r="BA157" s="459">
        <f t="shared" si="79"/>
        <v>0</v>
      </c>
      <c r="BB157" s="457"/>
      <c r="BC157" s="458"/>
      <c r="BD157" s="459"/>
    </row>
    <row r="158" spans="1:56" ht="12.75">
      <c r="A158" s="160"/>
      <c r="B158" s="219" t="s">
        <v>91</v>
      </c>
      <c r="C158" s="457">
        <v>3867</v>
      </c>
      <c r="D158" s="458">
        <v>4151</v>
      </c>
      <c r="E158" s="459">
        <f t="shared" si="65"/>
        <v>7.344194465994311</v>
      </c>
      <c r="F158" s="457">
        <v>13539.5</v>
      </c>
      <c r="G158" s="458">
        <v>13813.5</v>
      </c>
      <c r="H158" s="459">
        <f t="shared" si="76"/>
        <v>2.023708408730012</v>
      </c>
      <c r="I158" s="457">
        <v>4212.5</v>
      </c>
      <c r="J158" s="458">
        <v>4495</v>
      </c>
      <c r="K158" s="459">
        <f t="shared" si="77"/>
        <v>6.706231454005934</v>
      </c>
      <c r="L158" s="457">
        <v>13796.5</v>
      </c>
      <c r="M158" s="458">
        <v>14079</v>
      </c>
      <c r="N158" s="459">
        <f t="shared" si="78"/>
        <v>2.047620773384554</v>
      </c>
      <c r="O158" s="457"/>
      <c r="P158" s="458"/>
      <c r="Q158" s="459"/>
      <c r="R158" s="457"/>
      <c r="S158" s="458"/>
      <c r="T158" s="459"/>
      <c r="U158" s="457"/>
      <c r="V158" s="458"/>
      <c r="W158" s="459"/>
      <c r="X158" s="457"/>
      <c r="Y158" s="458"/>
      <c r="Z158" s="459"/>
      <c r="AA158" s="457"/>
      <c r="AB158" s="458"/>
      <c r="AC158" s="459">
        <f t="shared" si="69"/>
        <v>0</v>
      </c>
      <c r="AD158" s="457"/>
      <c r="AE158" s="458"/>
      <c r="AF158" s="459"/>
      <c r="AG158" s="457"/>
      <c r="AH158" s="458"/>
      <c r="AI158" s="459"/>
      <c r="AJ158" s="457"/>
      <c r="AK158" s="458"/>
      <c r="AL158" s="459"/>
      <c r="AM158" s="457"/>
      <c r="AN158" s="458"/>
      <c r="AO158" s="459"/>
      <c r="AP158" s="457"/>
      <c r="AQ158" s="458"/>
      <c r="AR158" s="459"/>
      <c r="AS158" s="457"/>
      <c r="AT158" s="458"/>
      <c r="AU158" s="459"/>
      <c r="AV158" s="457"/>
      <c r="AW158" s="458"/>
      <c r="AX158" s="459"/>
      <c r="AY158" s="457"/>
      <c r="AZ158" s="458"/>
      <c r="BA158" s="459">
        <f t="shared" si="79"/>
        <v>0</v>
      </c>
      <c r="BB158" s="457"/>
      <c r="BC158" s="458"/>
      <c r="BD158" s="459"/>
    </row>
    <row r="159" spans="1:56" ht="12.75">
      <c r="A159" s="160"/>
      <c r="B159" s="219" t="s">
        <v>92</v>
      </c>
      <c r="C159" s="457">
        <v>2867</v>
      </c>
      <c r="D159" s="458">
        <v>3044</v>
      </c>
      <c r="E159" s="459">
        <f t="shared" si="65"/>
        <v>6.173700732472969</v>
      </c>
      <c r="F159" s="457">
        <v>12603</v>
      </c>
      <c r="G159" s="458">
        <v>13226</v>
      </c>
      <c r="H159" s="459">
        <f t="shared" si="76"/>
        <v>4.943267475997779</v>
      </c>
      <c r="I159" s="457">
        <v>3239</v>
      </c>
      <c r="J159" s="458">
        <v>3336</v>
      </c>
      <c r="K159" s="459">
        <f t="shared" si="77"/>
        <v>2.9947514665020067</v>
      </c>
      <c r="L159" s="457">
        <v>12829</v>
      </c>
      <c r="M159" s="458">
        <v>12926</v>
      </c>
      <c r="N159" s="459">
        <f t="shared" si="78"/>
        <v>0.7560994621560526</v>
      </c>
      <c r="O159" s="457"/>
      <c r="P159" s="458"/>
      <c r="Q159" s="459"/>
      <c r="R159" s="457"/>
      <c r="S159" s="458"/>
      <c r="T159" s="459"/>
      <c r="U159" s="457"/>
      <c r="V159" s="458"/>
      <c r="W159" s="459"/>
      <c r="X159" s="457"/>
      <c r="Y159" s="458"/>
      <c r="Z159" s="459"/>
      <c r="AA159" s="457"/>
      <c r="AB159" s="458"/>
      <c r="AC159" s="459">
        <f t="shared" si="69"/>
        <v>0</v>
      </c>
      <c r="AD159" s="457"/>
      <c r="AE159" s="458"/>
      <c r="AF159" s="459"/>
      <c r="AG159" s="457"/>
      <c r="AH159" s="458"/>
      <c r="AI159" s="459"/>
      <c r="AJ159" s="457"/>
      <c r="AK159" s="458"/>
      <c r="AL159" s="459"/>
      <c r="AM159" s="457"/>
      <c r="AN159" s="458"/>
      <c r="AO159" s="459"/>
      <c r="AP159" s="457"/>
      <c r="AQ159" s="458"/>
      <c r="AR159" s="459"/>
      <c r="AS159" s="457"/>
      <c r="AT159" s="458"/>
      <c r="AU159" s="459"/>
      <c r="AV159" s="457"/>
      <c r="AW159" s="458"/>
      <c r="AX159" s="459"/>
      <c r="AY159" s="457"/>
      <c r="AZ159" s="458"/>
      <c r="BA159" s="459">
        <f t="shared" si="79"/>
        <v>0</v>
      </c>
      <c r="BB159" s="457"/>
      <c r="BC159" s="458"/>
      <c r="BD159" s="459"/>
    </row>
    <row r="160" spans="1:56" ht="12.75">
      <c r="A160" s="160"/>
      <c r="B160" s="219" t="s">
        <v>93</v>
      </c>
      <c r="C160" s="457">
        <v>3215</v>
      </c>
      <c r="D160" s="458">
        <v>3403.5</v>
      </c>
      <c r="E160" s="459">
        <f t="shared" si="65"/>
        <v>5.863141524105754</v>
      </c>
      <c r="F160" s="457">
        <v>12165</v>
      </c>
      <c r="G160" s="458">
        <v>12353.5</v>
      </c>
      <c r="H160" s="459">
        <f t="shared" si="76"/>
        <v>1.5495273325113028</v>
      </c>
      <c r="I160" s="457">
        <v>3249</v>
      </c>
      <c r="J160" s="458">
        <v>3424.5</v>
      </c>
      <c r="K160" s="459">
        <f t="shared" si="77"/>
        <v>5.401662049861495</v>
      </c>
      <c r="L160" s="457">
        <v>12199</v>
      </c>
      <c r="M160" s="458">
        <v>12374.5</v>
      </c>
      <c r="N160" s="459">
        <f t="shared" si="78"/>
        <v>1.4386425116812853</v>
      </c>
      <c r="O160" s="457"/>
      <c r="P160" s="458"/>
      <c r="Q160" s="459"/>
      <c r="R160" s="457"/>
      <c r="S160" s="458"/>
      <c r="T160" s="459"/>
      <c r="U160" s="457"/>
      <c r="V160" s="458"/>
      <c r="W160" s="459"/>
      <c r="X160" s="457"/>
      <c r="Y160" s="458"/>
      <c r="Z160" s="459"/>
      <c r="AA160" s="457"/>
      <c r="AB160" s="458"/>
      <c r="AC160" s="459">
        <f t="shared" si="69"/>
        <v>0</v>
      </c>
      <c r="AD160" s="457"/>
      <c r="AE160" s="458"/>
      <c r="AF160" s="459"/>
      <c r="AG160" s="457"/>
      <c r="AH160" s="458"/>
      <c r="AI160" s="459"/>
      <c r="AJ160" s="457"/>
      <c r="AK160" s="458"/>
      <c r="AL160" s="459"/>
      <c r="AM160" s="457"/>
      <c r="AN160" s="458"/>
      <c r="AO160" s="459"/>
      <c r="AP160" s="457"/>
      <c r="AQ160" s="458"/>
      <c r="AR160" s="459"/>
      <c r="AS160" s="457"/>
      <c r="AT160" s="458"/>
      <c r="AU160" s="459"/>
      <c r="AV160" s="457"/>
      <c r="AW160" s="458"/>
      <c r="AX160" s="459"/>
      <c r="AY160" s="457"/>
      <c r="AZ160" s="458"/>
      <c r="BA160" s="459">
        <f t="shared" si="79"/>
        <v>0</v>
      </c>
      <c r="BB160" s="457"/>
      <c r="BC160" s="458"/>
      <c r="BD160" s="459"/>
    </row>
    <row r="161" spans="1:56" ht="12.75">
      <c r="A161" s="160"/>
      <c r="B161" s="219" t="s">
        <v>94</v>
      </c>
      <c r="C161" s="457">
        <v>3288</v>
      </c>
      <c r="D161" s="458">
        <v>3471.5</v>
      </c>
      <c r="E161" s="459">
        <f t="shared" si="65"/>
        <v>5.580900243309003</v>
      </c>
      <c r="F161" s="457">
        <v>12520</v>
      </c>
      <c r="G161" s="458">
        <v>13407</v>
      </c>
      <c r="H161" s="459">
        <f t="shared" si="76"/>
        <v>7.084664536741214</v>
      </c>
      <c r="I161" s="457">
        <v>3496.5</v>
      </c>
      <c r="J161" s="458">
        <v>3702</v>
      </c>
      <c r="K161" s="459">
        <f t="shared" si="77"/>
        <v>5.8773058773058775</v>
      </c>
      <c r="L161" s="457">
        <v>12712.5</v>
      </c>
      <c r="M161" s="458">
        <v>13656.5</v>
      </c>
      <c r="N161" s="459">
        <f t="shared" si="78"/>
        <v>7.425762045231071</v>
      </c>
      <c r="O161" s="457"/>
      <c r="P161" s="458"/>
      <c r="Q161" s="459"/>
      <c r="R161" s="457"/>
      <c r="S161" s="458"/>
      <c r="T161" s="459"/>
      <c r="U161" s="457"/>
      <c r="V161" s="458"/>
      <c r="W161" s="459"/>
      <c r="X161" s="457"/>
      <c r="Y161" s="458"/>
      <c r="Z161" s="459"/>
      <c r="AA161" s="457"/>
      <c r="AB161" s="458"/>
      <c r="AC161" s="459">
        <f t="shared" si="69"/>
        <v>0</v>
      </c>
      <c r="AD161" s="457"/>
      <c r="AE161" s="458"/>
      <c r="AF161" s="459"/>
      <c r="AG161" s="457"/>
      <c r="AH161" s="458"/>
      <c r="AI161" s="459"/>
      <c r="AJ161" s="457"/>
      <c r="AK161" s="458"/>
      <c r="AL161" s="459"/>
      <c r="AM161" s="457"/>
      <c r="AN161" s="458"/>
      <c r="AO161" s="459"/>
      <c r="AP161" s="457"/>
      <c r="AQ161" s="458"/>
      <c r="AR161" s="459"/>
      <c r="AS161" s="457"/>
      <c r="AT161" s="458"/>
      <c r="AU161" s="459"/>
      <c r="AV161" s="457"/>
      <c r="AW161" s="458"/>
      <c r="AX161" s="459"/>
      <c r="AY161" s="457"/>
      <c r="AZ161" s="458"/>
      <c r="BA161" s="459">
        <f t="shared" si="79"/>
        <v>0</v>
      </c>
      <c r="BB161" s="457"/>
      <c r="BC161" s="458"/>
      <c r="BD161" s="459"/>
    </row>
    <row r="162" spans="1:56" s="465" customFormat="1" ht="19.5" customHeight="1">
      <c r="A162" s="460"/>
      <c r="B162" s="461" t="s">
        <v>821</v>
      </c>
      <c r="C162" s="462">
        <v>3811</v>
      </c>
      <c r="D162" s="463">
        <v>4045</v>
      </c>
      <c r="E162" s="464">
        <f t="shared" si="65"/>
        <v>6.1401207032275</v>
      </c>
      <c r="F162" s="462">
        <v>13765</v>
      </c>
      <c r="G162" s="463">
        <v>13983</v>
      </c>
      <c r="H162" s="464">
        <f t="shared" si="76"/>
        <v>1.5837268434435163</v>
      </c>
      <c r="I162" s="462">
        <v>4169</v>
      </c>
      <c r="J162" s="463">
        <v>4413</v>
      </c>
      <c r="K162" s="464">
        <f t="shared" si="77"/>
        <v>5.852722475413769</v>
      </c>
      <c r="L162" s="462">
        <v>14008</v>
      </c>
      <c r="M162" s="463">
        <v>14226</v>
      </c>
      <c r="N162" s="464">
        <f t="shared" si="78"/>
        <v>1.5562535693889206</v>
      </c>
      <c r="O162" s="462"/>
      <c r="P162" s="463"/>
      <c r="Q162" s="464"/>
      <c r="R162" s="462"/>
      <c r="S162" s="463"/>
      <c r="T162" s="464"/>
      <c r="U162" s="462"/>
      <c r="V162" s="463"/>
      <c r="W162" s="464"/>
      <c r="X162" s="462"/>
      <c r="Y162" s="463"/>
      <c r="Z162" s="464"/>
      <c r="AA162" s="462"/>
      <c r="AB162" s="463"/>
      <c r="AC162" s="464">
        <f t="shared" si="69"/>
        <v>0</v>
      </c>
      <c r="AD162" s="462"/>
      <c r="AE162" s="463"/>
      <c r="AF162" s="464"/>
      <c r="AG162" s="462"/>
      <c r="AH162" s="463"/>
      <c r="AI162" s="464"/>
      <c r="AJ162" s="462"/>
      <c r="AK162" s="463"/>
      <c r="AL162" s="464"/>
      <c r="AM162" s="462"/>
      <c r="AN162" s="463"/>
      <c r="AO162" s="464"/>
      <c r="AP162" s="462"/>
      <c r="AQ162" s="463"/>
      <c r="AR162" s="464"/>
      <c r="AS162" s="462"/>
      <c r="AT162" s="463"/>
      <c r="AU162" s="464"/>
      <c r="AV162" s="462"/>
      <c r="AW162" s="463"/>
      <c r="AX162" s="464"/>
      <c r="AY162" s="462"/>
      <c r="AZ162" s="463"/>
      <c r="BA162" s="464">
        <f t="shared" si="79"/>
        <v>0</v>
      </c>
      <c r="BB162" s="462"/>
      <c r="BC162" s="463"/>
      <c r="BD162" s="464"/>
    </row>
    <row r="163" spans="1:56" ht="12.75">
      <c r="A163" s="160"/>
      <c r="B163" s="219" t="s">
        <v>95</v>
      </c>
      <c r="C163" s="457"/>
      <c r="D163" s="458"/>
      <c r="E163" s="459">
        <f t="shared" si="65"/>
        <v>0</v>
      </c>
      <c r="F163" s="457"/>
      <c r="G163" s="458"/>
      <c r="H163" s="459">
        <f t="shared" si="76"/>
        <v>0</v>
      </c>
      <c r="I163" s="457"/>
      <c r="J163" s="458"/>
      <c r="K163" s="459">
        <f t="shared" si="77"/>
        <v>0</v>
      </c>
      <c r="L163" s="457"/>
      <c r="M163" s="458"/>
      <c r="N163" s="459">
        <f t="shared" si="78"/>
        <v>0</v>
      </c>
      <c r="O163" s="457"/>
      <c r="P163" s="458"/>
      <c r="Q163" s="459">
        <f t="shared" si="66"/>
        <v>0</v>
      </c>
      <c r="R163" s="457"/>
      <c r="S163" s="458"/>
      <c r="T163" s="459">
        <f t="shared" si="67"/>
        <v>0</v>
      </c>
      <c r="U163" s="457"/>
      <c r="V163" s="458"/>
      <c r="W163" s="459">
        <f t="shared" si="57"/>
        <v>0</v>
      </c>
      <c r="X163" s="457"/>
      <c r="Y163" s="458"/>
      <c r="Z163" s="459">
        <f t="shared" si="68"/>
        <v>0</v>
      </c>
      <c r="AA163" s="457"/>
      <c r="AB163" s="458"/>
      <c r="AC163" s="459">
        <f t="shared" si="69"/>
        <v>0</v>
      </c>
      <c r="AD163" s="457"/>
      <c r="AE163" s="458"/>
      <c r="AF163" s="459"/>
      <c r="AG163" s="457"/>
      <c r="AH163" s="458"/>
      <c r="AI163" s="459"/>
      <c r="AJ163" s="457"/>
      <c r="AK163" s="458"/>
      <c r="AL163" s="459"/>
      <c r="AM163" s="457"/>
      <c r="AN163" s="458"/>
      <c r="AO163" s="459"/>
      <c r="AP163" s="457"/>
      <c r="AQ163" s="458"/>
      <c r="AR163" s="459"/>
      <c r="AS163" s="457"/>
      <c r="AT163" s="458"/>
      <c r="AU163" s="459"/>
      <c r="AV163" s="457"/>
      <c r="AW163" s="458"/>
      <c r="AX163" s="459"/>
      <c r="AY163" s="457"/>
      <c r="AZ163" s="458"/>
      <c r="BA163" s="459">
        <f t="shared" si="79"/>
        <v>0</v>
      </c>
      <c r="BB163" s="457"/>
      <c r="BC163" s="458"/>
      <c r="BD163" s="459"/>
    </row>
    <row r="164" spans="1:56" ht="12.75">
      <c r="A164" s="160"/>
      <c r="B164" s="219" t="s">
        <v>96</v>
      </c>
      <c r="C164" s="457">
        <v>1326.5</v>
      </c>
      <c r="D164" s="458">
        <v>1410</v>
      </c>
      <c r="E164" s="459">
        <f t="shared" si="65"/>
        <v>6.2947606483226535</v>
      </c>
      <c r="F164" s="457">
        <v>7086.5</v>
      </c>
      <c r="G164" s="458">
        <v>7532</v>
      </c>
      <c r="H164" s="459">
        <f t="shared" si="76"/>
        <v>6.2866012841318</v>
      </c>
      <c r="I164" s="457"/>
      <c r="J164" s="458"/>
      <c r="K164" s="459">
        <f t="shared" si="77"/>
        <v>0</v>
      </c>
      <c r="L164" s="457"/>
      <c r="M164" s="458"/>
      <c r="N164" s="459">
        <f t="shared" si="78"/>
        <v>0</v>
      </c>
      <c r="O164" s="457"/>
      <c r="P164" s="458"/>
      <c r="Q164" s="459">
        <f t="shared" si="66"/>
        <v>0</v>
      </c>
      <c r="R164" s="457"/>
      <c r="S164" s="458"/>
      <c r="T164" s="459">
        <f t="shared" si="67"/>
        <v>0</v>
      </c>
      <c r="U164" s="457"/>
      <c r="V164" s="458"/>
      <c r="W164" s="459">
        <f t="shared" si="57"/>
        <v>0</v>
      </c>
      <c r="X164" s="457"/>
      <c r="Y164" s="458"/>
      <c r="Z164" s="459">
        <f t="shared" si="68"/>
        <v>0</v>
      </c>
      <c r="AA164" s="457"/>
      <c r="AB164" s="458"/>
      <c r="AC164" s="459">
        <f t="shared" si="69"/>
        <v>0</v>
      </c>
      <c r="AD164" s="457"/>
      <c r="AE164" s="458"/>
      <c r="AF164" s="459"/>
      <c r="AG164" s="457"/>
      <c r="AH164" s="458"/>
      <c r="AI164" s="459"/>
      <c r="AJ164" s="457"/>
      <c r="AK164" s="458"/>
      <c r="AL164" s="459"/>
      <c r="AM164" s="457"/>
      <c r="AN164" s="458"/>
      <c r="AO164" s="459"/>
      <c r="AP164" s="457"/>
      <c r="AQ164" s="458"/>
      <c r="AR164" s="459"/>
      <c r="AS164" s="457"/>
      <c r="AT164" s="458"/>
      <c r="AU164" s="459"/>
      <c r="AV164" s="457"/>
      <c r="AW164" s="458"/>
      <c r="AX164" s="459"/>
      <c r="AY164" s="457"/>
      <c r="AZ164" s="458"/>
      <c r="BA164" s="459">
        <f t="shared" si="79"/>
        <v>0</v>
      </c>
      <c r="BB164" s="457"/>
      <c r="BC164" s="458"/>
      <c r="BD164" s="459">
        <f aca="true" t="shared" si="80" ref="BD164:BD172">IF(BB164&gt;0,(((BC164-BB164)/BB164)*100),0)</f>
        <v>0</v>
      </c>
    </row>
    <row r="165" spans="1:56" ht="12.75">
      <c r="A165" s="160"/>
      <c r="B165" s="219" t="s">
        <v>97</v>
      </c>
      <c r="C165" s="457">
        <v>1324</v>
      </c>
      <c r="D165" s="458">
        <v>1408</v>
      </c>
      <c r="E165" s="459">
        <f t="shared" si="65"/>
        <v>6.3444108761329305</v>
      </c>
      <c r="F165" s="457">
        <v>7084</v>
      </c>
      <c r="G165" s="458">
        <v>7530</v>
      </c>
      <c r="H165" s="459">
        <f t="shared" si="76"/>
        <v>6.29587803500847</v>
      </c>
      <c r="I165" s="457"/>
      <c r="J165" s="458"/>
      <c r="K165" s="459">
        <f t="shared" si="77"/>
        <v>0</v>
      </c>
      <c r="L165" s="457"/>
      <c r="M165" s="458"/>
      <c r="N165" s="459">
        <f t="shared" si="78"/>
        <v>0</v>
      </c>
      <c r="O165" s="457"/>
      <c r="P165" s="458"/>
      <c r="Q165" s="459">
        <f t="shared" si="66"/>
        <v>0</v>
      </c>
      <c r="R165" s="457"/>
      <c r="S165" s="458"/>
      <c r="T165" s="459">
        <f t="shared" si="67"/>
        <v>0</v>
      </c>
      <c r="U165" s="457"/>
      <c r="V165" s="458"/>
      <c r="W165" s="459">
        <f aca="true" t="shared" si="81" ref="W165:W223">IF(U165&gt;0,(((V165-U165)/U165)*100),0)</f>
        <v>0</v>
      </c>
      <c r="X165" s="457"/>
      <c r="Y165" s="458"/>
      <c r="Z165" s="459">
        <f t="shared" si="68"/>
        <v>0</v>
      </c>
      <c r="AA165" s="457"/>
      <c r="AB165" s="458"/>
      <c r="AC165" s="459">
        <f t="shared" si="69"/>
        <v>0</v>
      </c>
      <c r="AD165" s="457"/>
      <c r="AE165" s="458"/>
      <c r="AF165" s="459">
        <f aca="true" t="shared" si="82" ref="AF165:AF172">IF(AD165&gt;0,(((AE165-AD165)/AD165)*100),0)</f>
        <v>0</v>
      </c>
      <c r="AG165" s="457"/>
      <c r="AH165" s="458"/>
      <c r="AI165" s="459">
        <f aca="true" t="shared" si="83" ref="AI165:AI172">IF(AG165&gt;0,(((AH165-AG165)/AG165)*100),0)</f>
        <v>0</v>
      </c>
      <c r="AJ165" s="457"/>
      <c r="AK165" s="458"/>
      <c r="AL165" s="459">
        <f aca="true" t="shared" si="84" ref="AL165:AL172">IF(AJ165&gt;0,(((AK165-AJ165)/AJ165)*100),0)</f>
        <v>0</v>
      </c>
      <c r="AM165" s="457"/>
      <c r="AN165" s="458"/>
      <c r="AO165" s="459">
        <f t="shared" si="73"/>
        <v>0</v>
      </c>
      <c r="AP165" s="457"/>
      <c r="AQ165" s="458"/>
      <c r="AR165" s="459">
        <f t="shared" si="74"/>
        <v>0</v>
      </c>
      <c r="AS165" s="457"/>
      <c r="AT165" s="458"/>
      <c r="AU165" s="459">
        <f aca="true" t="shared" si="85" ref="AU165:AU172">IF(AS165&gt;0,(((AT165-AS165)/AS165)*100),0)</f>
        <v>0</v>
      </c>
      <c r="AV165" s="457"/>
      <c r="AW165" s="458"/>
      <c r="AX165" s="459">
        <f aca="true" t="shared" si="86" ref="AX165:AX172">IF(AV165&gt;0,(((AW165-AV165)/AV165)*100),0)</f>
        <v>0</v>
      </c>
      <c r="AY165" s="457"/>
      <c r="AZ165" s="458"/>
      <c r="BA165" s="459">
        <f t="shared" si="79"/>
        <v>0</v>
      </c>
      <c r="BB165" s="457"/>
      <c r="BC165" s="458"/>
      <c r="BD165" s="459">
        <f t="shared" si="80"/>
        <v>0</v>
      </c>
    </row>
    <row r="166" spans="1:56" ht="12.75">
      <c r="A166" s="160"/>
      <c r="B166" s="219" t="s">
        <v>778</v>
      </c>
      <c r="C166" s="457">
        <v>1324</v>
      </c>
      <c r="D166" s="458">
        <v>1410</v>
      </c>
      <c r="E166" s="459">
        <f t="shared" si="65"/>
        <v>6.495468277945619</v>
      </c>
      <c r="F166" s="457">
        <v>7084</v>
      </c>
      <c r="G166" s="458">
        <v>7532</v>
      </c>
      <c r="H166" s="459">
        <f t="shared" si="76"/>
        <v>6.324110671936759</v>
      </c>
      <c r="I166" s="457"/>
      <c r="J166" s="458"/>
      <c r="K166" s="459">
        <f t="shared" si="77"/>
        <v>0</v>
      </c>
      <c r="L166" s="457"/>
      <c r="M166" s="458"/>
      <c r="N166" s="459">
        <f t="shared" si="78"/>
        <v>0</v>
      </c>
      <c r="O166" s="457"/>
      <c r="P166" s="458"/>
      <c r="Q166" s="459">
        <f t="shared" si="66"/>
        <v>0</v>
      </c>
      <c r="R166" s="457"/>
      <c r="S166" s="458"/>
      <c r="T166" s="459">
        <f t="shared" si="67"/>
        <v>0</v>
      </c>
      <c r="U166" s="457"/>
      <c r="V166" s="458"/>
      <c r="W166" s="459">
        <f t="shared" si="81"/>
        <v>0</v>
      </c>
      <c r="X166" s="457"/>
      <c r="Y166" s="458"/>
      <c r="Z166" s="459">
        <f t="shared" si="68"/>
        <v>0</v>
      </c>
      <c r="AA166" s="457"/>
      <c r="AB166" s="458"/>
      <c r="AC166" s="459">
        <f t="shared" si="69"/>
        <v>0</v>
      </c>
      <c r="AD166" s="457"/>
      <c r="AE166" s="458"/>
      <c r="AF166" s="459">
        <f t="shared" si="82"/>
        <v>0</v>
      </c>
      <c r="AG166" s="457"/>
      <c r="AH166" s="458"/>
      <c r="AI166" s="459">
        <f t="shared" si="83"/>
        <v>0</v>
      </c>
      <c r="AJ166" s="457"/>
      <c r="AK166" s="458"/>
      <c r="AL166" s="459">
        <f t="shared" si="84"/>
        <v>0</v>
      </c>
      <c r="AM166" s="457"/>
      <c r="AN166" s="458"/>
      <c r="AO166" s="459">
        <f t="shared" si="73"/>
        <v>0</v>
      </c>
      <c r="AP166" s="457"/>
      <c r="AQ166" s="458"/>
      <c r="AR166" s="459">
        <f t="shared" si="74"/>
        <v>0</v>
      </c>
      <c r="AS166" s="457"/>
      <c r="AT166" s="458"/>
      <c r="AU166" s="459">
        <f t="shared" si="85"/>
        <v>0</v>
      </c>
      <c r="AV166" s="457"/>
      <c r="AW166" s="458"/>
      <c r="AX166" s="459">
        <f t="shared" si="86"/>
        <v>0</v>
      </c>
      <c r="AY166" s="457"/>
      <c r="AZ166" s="458"/>
      <c r="BA166" s="459">
        <f t="shared" si="79"/>
        <v>0</v>
      </c>
      <c r="BB166" s="457"/>
      <c r="BC166" s="458"/>
      <c r="BD166" s="459">
        <f t="shared" si="80"/>
        <v>0</v>
      </c>
    </row>
    <row r="167" spans="1:56" s="465" customFormat="1" ht="20.25" customHeight="1">
      <c r="A167" s="460"/>
      <c r="B167" s="461" t="s">
        <v>426</v>
      </c>
      <c r="C167" s="462">
        <v>1324</v>
      </c>
      <c r="D167" s="463">
        <v>1409</v>
      </c>
      <c r="E167" s="464">
        <f t="shared" si="65"/>
        <v>6.419939577039275</v>
      </c>
      <c r="F167" s="462">
        <v>7084</v>
      </c>
      <c r="G167" s="463">
        <v>7531</v>
      </c>
      <c r="H167" s="464">
        <f t="shared" si="76"/>
        <v>6.309994353472614</v>
      </c>
      <c r="I167" s="462"/>
      <c r="J167" s="463"/>
      <c r="K167" s="464">
        <f t="shared" si="77"/>
        <v>0</v>
      </c>
      <c r="L167" s="462"/>
      <c r="M167" s="463"/>
      <c r="N167" s="464">
        <f t="shared" si="78"/>
        <v>0</v>
      </c>
      <c r="O167" s="462"/>
      <c r="P167" s="463"/>
      <c r="Q167" s="464">
        <f t="shared" si="66"/>
        <v>0</v>
      </c>
      <c r="R167" s="462"/>
      <c r="S167" s="463"/>
      <c r="T167" s="464">
        <f t="shared" si="67"/>
        <v>0</v>
      </c>
      <c r="U167" s="462"/>
      <c r="V167" s="463"/>
      <c r="W167" s="464">
        <f t="shared" si="81"/>
        <v>0</v>
      </c>
      <c r="X167" s="462"/>
      <c r="Y167" s="463"/>
      <c r="Z167" s="464">
        <f t="shared" si="68"/>
        <v>0</v>
      </c>
      <c r="AA167" s="462"/>
      <c r="AB167" s="463"/>
      <c r="AC167" s="464">
        <f t="shared" si="69"/>
        <v>0</v>
      </c>
      <c r="AD167" s="462"/>
      <c r="AE167" s="463"/>
      <c r="AF167" s="464">
        <f t="shared" si="82"/>
        <v>0</v>
      </c>
      <c r="AG167" s="462"/>
      <c r="AH167" s="463"/>
      <c r="AI167" s="464">
        <f t="shared" si="83"/>
        <v>0</v>
      </c>
      <c r="AJ167" s="462"/>
      <c r="AK167" s="463"/>
      <c r="AL167" s="464">
        <f t="shared" si="84"/>
        <v>0</v>
      </c>
      <c r="AM167" s="462"/>
      <c r="AN167" s="463"/>
      <c r="AO167" s="464">
        <f t="shared" si="73"/>
        <v>0</v>
      </c>
      <c r="AP167" s="462"/>
      <c r="AQ167" s="463"/>
      <c r="AR167" s="464">
        <f t="shared" si="74"/>
        <v>0</v>
      </c>
      <c r="AS167" s="462"/>
      <c r="AT167" s="463"/>
      <c r="AU167" s="464">
        <f t="shared" si="85"/>
        <v>0</v>
      </c>
      <c r="AV167" s="462"/>
      <c r="AW167" s="463"/>
      <c r="AX167" s="464">
        <f t="shared" si="86"/>
        <v>0</v>
      </c>
      <c r="AY167" s="462"/>
      <c r="AZ167" s="463"/>
      <c r="BA167" s="464">
        <f t="shared" si="79"/>
        <v>0</v>
      </c>
      <c r="BB167" s="462"/>
      <c r="BC167" s="463"/>
      <c r="BD167" s="464">
        <f t="shared" si="80"/>
        <v>0</v>
      </c>
    </row>
    <row r="168" spans="1:56" ht="12.75">
      <c r="A168" s="160"/>
      <c r="B168" s="219" t="s">
        <v>779</v>
      </c>
      <c r="C168" s="457"/>
      <c r="D168" s="458"/>
      <c r="E168" s="459">
        <f t="shared" si="65"/>
        <v>0</v>
      </c>
      <c r="F168" s="457"/>
      <c r="G168" s="458"/>
      <c r="H168" s="459">
        <f t="shared" si="76"/>
        <v>0</v>
      </c>
      <c r="I168" s="457"/>
      <c r="J168" s="458"/>
      <c r="K168" s="459">
        <f t="shared" si="77"/>
        <v>0</v>
      </c>
      <c r="L168" s="457"/>
      <c r="M168" s="458"/>
      <c r="N168" s="459">
        <f t="shared" si="78"/>
        <v>0</v>
      </c>
      <c r="O168" s="457"/>
      <c r="P168" s="458"/>
      <c r="Q168" s="459">
        <f t="shared" si="66"/>
        <v>0</v>
      </c>
      <c r="R168" s="457"/>
      <c r="S168" s="458"/>
      <c r="T168" s="459">
        <f t="shared" si="67"/>
        <v>0</v>
      </c>
      <c r="U168" s="457"/>
      <c r="V168" s="458"/>
      <c r="W168" s="459">
        <f t="shared" si="81"/>
        <v>0</v>
      </c>
      <c r="X168" s="457"/>
      <c r="Y168" s="458"/>
      <c r="Z168" s="459">
        <f t="shared" si="68"/>
        <v>0</v>
      </c>
      <c r="AA168" s="457"/>
      <c r="AB168" s="458"/>
      <c r="AC168" s="459">
        <f t="shared" si="69"/>
        <v>0</v>
      </c>
      <c r="AD168" s="457"/>
      <c r="AE168" s="458"/>
      <c r="AF168" s="459">
        <f t="shared" si="82"/>
        <v>0</v>
      </c>
      <c r="AG168" s="457"/>
      <c r="AH168" s="458"/>
      <c r="AI168" s="459">
        <f t="shared" si="83"/>
        <v>0</v>
      </c>
      <c r="AJ168" s="457"/>
      <c r="AK168" s="458"/>
      <c r="AL168" s="459">
        <f t="shared" si="84"/>
        <v>0</v>
      </c>
      <c r="AM168" s="457"/>
      <c r="AN168" s="458"/>
      <c r="AO168" s="459">
        <f t="shared" si="73"/>
        <v>0</v>
      </c>
      <c r="AP168" s="457"/>
      <c r="AQ168" s="458"/>
      <c r="AR168" s="459">
        <f t="shared" si="74"/>
        <v>0</v>
      </c>
      <c r="AS168" s="457"/>
      <c r="AT168" s="458"/>
      <c r="AU168" s="459">
        <f t="shared" si="85"/>
        <v>0</v>
      </c>
      <c r="AV168" s="457"/>
      <c r="AW168" s="458"/>
      <c r="AX168" s="459">
        <f t="shared" si="86"/>
        <v>0</v>
      </c>
      <c r="AY168" s="457"/>
      <c r="AZ168" s="458"/>
      <c r="BA168" s="459">
        <f t="shared" si="79"/>
        <v>0</v>
      </c>
      <c r="BB168" s="457"/>
      <c r="BC168" s="458"/>
      <c r="BD168" s="459">
        <f t="shared" si="80"/>
        <v>0</v>
      </c>
    </row>
    <row r="169" spans="1:56" ht="12.75">
      <c r="A169" s="160"/>
      <c r="B169" s="219" t="s">
        <v>1015</v>
      </c>
      <c r="C169" s="457"/>
      <c r="D169" s="458"/>
      <c r="E169" s="459">
        <f t="shared" si="65"/>
        <v>0</v>
      </c>
      <c r="F169" s="457"/>
      <c r="G169" s="458"/>
      <c r="H169" s="459">
        <f t="shared" si="76"/>
        <v>0</v>
      </c>
      <c r="I169" s="457"/>
      <c r="J169" s="458"/>
      <c r="K169" s="459">
        <f t="shared" si="77"/>
        <v>0</v>
      </c>
      <c r="L169" s="457"/>
      <c r="M169" s="458"/>
      <c r="N169" s="459">
        <f t="shared" si="78"/>
        <v>0</v>
      </c>
      <c r="O169" s="457"/>
      <c r="P169" s="458"/>
      <c r="Q169" s="459">
        <f t="shared" si="66"/>
        <v>0</v>
      </c>
      <c r="R169" s="457"/>
      <c r="S169" s="458"/>
      <c r="T169" s="459">
        <f t="shared" si="67"/>
        <v>0</v>
      </c>
      <c r="U169" s="457"/>
      <c r="V169" s="458"/>
      <c r="W169" s="459">
        <f t="shared" si="81"/>
        <v>0</v>
      </c>
      <c r="X169" s="457"/>
      <c r="Y169" s="458"/>
      <c r="Z169" s="459">
        <f t="shared" si="68"/>
        <v>0</v>
      </c>
      <c r="AA169" s="457"/>
      <c r="AB169" s="458"/>
      <c r="AC169" s="459">
        <f t="shared" si="69"/>
        <v>0</v>
      </c>
      <c r="AD169" s="457"/>
      <c r="AE169" s="458"/>
      <c r="AF169" s="459">
        <f t="shared" si="82"/>
        <v>0</v>
      </c>
      <c r="AG169" s="457"/>
      <c r="AH169" s="458"/>
      <c r="AI169" s="459">
        <f t="shared" si="83"/>
        <v>0</v>
      </c>
      <c r="AJ169" s="457"/>
      <c r="AK169" s="458"/>
      <c r="AL169" s="459">
        <f t="shared" si="84"/>
        <v>0</v>
      </c>
      <c r="AM169" s="457"/>
      <c r="AN169" s="458"/>
      <c r="AO169" s="459">
        <f t="shared" si="73"/>
        <v>0</v>
      </c>
      <c r="AP169" s="457"/>
      <c r="AQ169" s="458"/>
      <c r="AR169" s="459">
        <f t="shared" si="74"/>
        <v>0</v>
      </c>
      <c r="AS169" s="457"/>
      <c r="AT169" s="458"/>
      <c r="AU169" s="459">
        <f t="shared" si="85"/>
        <v>0</v>
      </c>
      <c r="AV169" s="457"/>
      <c r="AW169" s="458"/>
      <c r="AX169" s="459">
        <f t="shared" si="86"/>
        <v>0</v>
      </c>
      <c r="AY169" s="457"/>
      <c r="AZ169" s="458"/>
      <c r="BA169" s="459">
        <f t="shared" si="79"/>
        <v>0</v>
      </c>
      <c r="BB169" s="457"/>
      <c r="BC169" s="458"/>
      <c r="BD169" s="459">
        <f t="shared" si="80"/>
        <v>0</v>
      </c>
    </row>
    <row r="170" spans="1:56" ht="12.75">
      <c r="A170" s="160"/>
      <c r="B170" s="219" t="s">
        <v>1016</v>
      </c>
      <c r="C170" s="457"/>
      <c r="D170" s="458"/>
      <c r="E170" s="459">
        <f t="shared" si="65"/>
        <v>0</v>
      </c>
      <c r="F170" s="457"/>
      <c r="G170" s="458"/>
      <c r="H170" s="459">
        <f t="shared" si="76"/>
        <v>0</v>
      </c>
      <c r="I170" s="457"/>
      <c r="J170" s="458"/>
      <c r="K170" s="459">
        <f t="shared" si="77"/>
        <v>0</v>
      </c>
      <c r="L170" s="457"/>
      <c r="M170" s="458"/>
      <c r="N170" s="459">
        <f t="shared" si="78"/>
        <v>0</v>
      </c>
      <c r="O170" s="457"/>
      <c r="P170" s="458"/>
      <c r="Q170" s="459">
        <f t="shared" si="66"/>
        <v>0</v>
      </c>
      <c r="R170" s="457"/>
      <c r="S170" s="458"/>
      <c r="T170" s="459">
        <f t="shared" si="67"/>
        <v>0</v>
      </c>
      <c r="U170" s="457"/>
      <c r="V170" s="458"/>
      <c r="W170" s="459">
        <f t="shared" si="81"/>
        <v>0</v>
      </c>
      <c r="X170" s="457"/>
      <c r="Y170" s="458"/>
      <c r="Z170" s="459">
        <f t="shared" si="68"/>
        <v>0</v>
      </c>
      <c r="AA170" s="457"/>
      <c r="AB170" s="458"/>
      <c r="AC170" s="459">
        <f t="shared" si="69"/>
        <v>0</v>
      </c>
      <c r="AD170" s="457"/>
      <c r="AE170" s="458"/>
      <c r="AF170" s="459">
        <f t="shared" si="82"/>
        <v>0</v>
      </c>
      <c r="AG170" s="457"/>
      <c r="AH170" s="458"/>
      <c r="AI170" s="459">
        <f t="shared" si="83"/>
        <v>0</v>
      </c>
      <c r="AJ170" s="457"/>
      <c r="AK170" s="458"/>
      <c r="AL170" s="459">
        <f t="shared" si="84"/>
        <v>0</v>
      </c>
      <c r="AM170" s="457"/>
      <c r="AN170" s="458"/>
      <c r="AO170" s="459">
        <f t="shared" si="73"/>
        <v>0</v>
      </c>
      <c r="AP170" s="457"/>
      <c r="AQ170" s="458"/>
      <c r="AR170" s="459">
        <f t="shared" si="74"/>
        <v>0</v>
      </c>
      <c r="AS170" s="457"/>
      <c r="AT170" s="458"/>
      <c r="AU170" s="459">
        <f t="shared" si="85"/>
        <v>0</v>
      </c>
      <c r="AV170" s="457"/>
      <c r="AW170" s="458"/>
      <c r="AX170" s="459">
        <f t="shared" si="86"/>
        <v>0</v>
      </c>
      <c r="AY170" s="457"/>
      <c r="AZ170" s="458"/>
      <c r="BA170" s="459">
        <f t="shared" si="79"/>
        <v>0</v>
      </c>
      <c r="BB170" s="457"/>
      <c r="BC170" s="458"/>
      <c r="BD170" s="459">
        <f t="shared" si="80"/>
        <v>0</v>
      </c>
    </row>
    <row r="171" spans="1:56" s="465" customFormat="1" ht="21.75" customHeight="1">
      <c r="A171" s="460"/>
      <c r="B171" s="461" t="s">
        <v>978</v>
      </c>
      <c r="C171" s="462"/>
      <c r="D171" s="463"/>
      <c r="E171" s="464">
        <f t="shared" si="65"/>
        <v>0</v>
      </c>
      <c r="F171" s="462"/>
      <c r="G171" s="463"/>
      <c r="H171" s="464">
        <f t="shared" si="76"/>
        <v>0</v>
      </c>
      <c r="I171" s="462"/>
      <c r="J171" s="463"/>
      <c r="K171" s="464">
        <f t="shared" si="77"/>
        <v>0</v>
      </c>
      <c r="L171" s="462"/>
      <c r="M171" s="463"/>
      <c r="N171" s="464">
        <f t="shared" si="78"/>
        <v>0</v>
      </c>
      <c r="O171" s="462"/>
      <c r="P171" s="463"/>
      <c r="Q171" s="464">
        <f t="shared" si="66"/>
        <v>0</v>
      </c>
      <c r="R171" s="462"/>
      <c r="S171" s="463"/>
      <c r="T171" s="464">
        <f t="shared" si="67"/>
        <v>0</v>
      </c>
      <c r="U171" s="462"/>
      <c r="V171" s="463"/>
      <c r="W171" s="464">
        <f t="shared" si="81"/>
        <v>0</v>
      </c>
      <c r="X171" s="462"/>
      <c r="Y171" s="463"/>
      <c r="Z171" s="464">
        <f t="shared" si="68"/>
        <v>0</v>
      </c>
      <c r="AA171" s="462"/>
      <c r="AB171" s="463"/>
      <c r="AC171" s="464">
        <f t="shared" si="69"/>
        <v>0</v>
      </c>
      <c r="AD171" s="462"/>
      <c r="AE171" s="463"/>
      <c r="AF171" s="464">
        <f t="shared" si="82"/>
        <v>0</v>
      </c>
      <c r="AG171" s="462"/>
      <c r="AH171" s="463"/>
      <c r="AI171" s="464">
        <f t="shared" si="83"/>
        <v>0</v>
      </c>
      <c r="AJ171" s="462"/>
      <c r="AK171" s="463"/>
      <c r="AL171" s="464">
        <f t="shared" si="84"/>
        <v>0</v>
      </c>
      <c r="AM171" s="462"/>
      <c r="AN171" s="463"/>
      <c r="AO171" s="464">
        <f t="shared" si="73"/>
        <v>0</v>
      </c>
      <c r="AP171" s="462"/>
      <c r="AQ171" s="463"/>
      <c r="AR171" s="464">
        <f t="shared" si="74"/>
        <v>0</v>
      </c>
      <c r="AS171" s="462"/>
      <c r="AT171" s="463"/>
      <c r="AU171" s="464">
        <f t="shared" si="85"/>
        <v>0</v>
      </c>
      <c r="AV171" s="462"/>
      <c r="AW171" s="463"/>
      <c r="AX171" s="464">
        <f t="shared" si="86"/>
        <v>0</v>
      </c>
      <c r="AY171" s="462"/>
      <c r="AZ171" s="463"/>
      <c r="BA171" s="464">
        <f t="shared" si="79"/>
        <v>0</v>
      </c>
      <c r="BB171" s="462"/>
      <c r="BC171" s="463"/>
      <c r="BD171" s="464">
        <f t="shared" si="80"/>
        <v>0</v>
      </c>
    </row>
    <row r="172" spans="1:56" ht="12.75">
      <c r="A172" s="466"/>
      <c r="B172" s="467" t="s">
        <v>781</v>
      </c>
      <c r="C172" s="468"/>
      <c r="D172" s="469"/>
      <c r="E172" s="471">
        <f t="shared" si="65"/>
        <v>0</v>
      </c>
      <c r="F172" s="468"/>
      <c r="G172" s="469"/>
      <c r="H172" s="471">
        <f t="shared" si="76"/>
        <v>0</v>
      </c>
      <c r="I172" s="468"/>
      <c r="J172" s="469"/>
      <c r="K172" s="471">
        <f t="shared" si="77"/>
        <v>0</v>
      </c>
      <c r="L172" s="468"/>
      <c r="M172" s="469"/>
      <c r="N172" s="471">
        <f t="shared" si="78"/>
        <v>0</v>
      </c>
      <c r="O172" s="468">
        <v>8505</v>
      </c>
      <c r="P172" s="469">
        <v>9068.5</v>
      </c>
      <c r="Q172" s="471">
        <f t="shared" si="66"/>
        <v>6.625514403292181</v>
      </c>
      <c r="R172" s="468">
        <v>20644</v>
      </c>
      <c r="S172" s="469">
        <v>21207.5</v>
      </c>
      <c r="T172" s="471">
        <f t="shared" si="67"/>
        <v>2.7296066653749276</v>
      </c>
      <c r="U172" s="468">
        <v>10108.5</v>
      </c>
      <c r="V172" s="469">
        <v>10492.5</v>
      </c>
      <c r="W172" s="471">
        <f t="shared" si="81"/>
        <v>3.7987832022555277</v>
      </c>
      <c r="X172" s="468">
        <v>34436.5</v>
      </c>
      <c r="Y172" s="469">
        <v>34880</v>
      </c>
      <c r="Z172" s="471">
        <f t="shared" si="68"/>
        <v>1.2878776879183425</v>
      </c>
      <c r="AA172" s="468">
        <v>14461</v>
      </c>
      <c r="AB172" s="469">
        <v>14517</v>
      </c>
      <c r="AC172" s="471">
        <f t="shared" si="69"/>
        <v>0.38724846137888114</v>
      </c>
      <c r="AD172" s="468">
        <v>29943</v>
      </c>
      <c r="AE172" s="469">
        <v>29999</v>
      </c>
      <c r="AF172" s="471">
        <f t="shared" si="82"/>
        <v>0.18702200848278394</v>
      </c>
      <c r="AG172" s="468">
        <v>11449</v>
      </c>
      <c r="AH172" s="469">
        <v>13006</v>
      </c>
      <c r="AI172" s="471">
        <f t="shared" si="83"/>
        <v>13.599440999213904</v>
      </c>
      <c r="AJ172" s="468">
        <v>27384</v>
      </c>
      <c r="AK172" s="469">
        <v>28977</v>
      </c>
      <c r="AL172" s="471">
        <f t="shared" si="84"/>
        <v>5.81726555652936</v>
      </c>
      <c r="AM172" s="468"/>
      <c r="AN172" s="469"/>
      <c r="AO172" s="471">
        <f t="shared" si="73"/>
        <v>0</v>
      </c>
      <c r="AP172" s="468"/>
      <c r="AQ172" s="469"/>
      <c r="AR172" s="471">
        <f t="shared" si="74"/>
        <v>0</v>
      </c>
      <c r="AS172" s="468"/>
      <c r="AT172" s="469"/>
      <c r="AU172" s="471">
        <f t="shared" si="85"/>
        <v>0</v>
      </c>
      <c r="AV172" s="468"/>
      <c r="AW172" s="469"/>
      <c r="AX172" s="471">
        <f t="shared" si="86"/>
        <v>0</v>
      </c>
      <c r="AY172" s="468">
        <v>10246</v>
      </c>
      <c r="AZ172" s="469">
        <v>10580</v>
      </c>
      <c r="BA172" s="471">
        <f t="shared" si="79"/>
        <v>3.259808705836424</v>
      </c>
      <c r="BB172" s="468">
        <v>33009</v>
      </c>
      <c r="BC172" s="469">
        <v>33343</v>
      </c>
      <c r="BD172" s="471">
        <f t="shared" si="80"/>
        <v>1.0118452543245782</v>
      </c>
    </row>
    <row r="173" spans="1:56" ht="12.75">
      <c r="A173" s="158" t="s">
        <v>814</v>
      </c>
      <c r="B173" s="219" t="s">
        <v>89</v>
      </c>
      <c r="C173" s="457">
        <v>5053.2</v>
      </c>
      <c r="D173" s="458">
        <v>5549.1</v>
      </c>
      <c r="E173" s="459">
        <f t="shared" si="65"/>
        <v>9.813583471859427</v>
      </c>
      <c r="F173" s="457">
        <v>13483.95</v>
      </c>
      <c r="G173" s="458">
        <v>14818.35</v>
      </c>
      <c r="H173" s="459">
        <f t="shared" si="76"/>
        <v>9.896209938482414</v>
      </c>
      <c r="I173" s="457">
        <v>4726.44</v>
      </c>
      <c r="J173" s="458">
        <v>5856.93</v>
      </c>
      <c r="K173" s="459">
        <f t="shared" si="77"/>
        <v>23.91842486099476</v>
      </c>
      <c r="L173" s="457">
        <v>13250.04</v>
      </c>
      <c r="M173" s="458">
        <v>14556.24</v>
      </c>
      <c r="N173" s="459">
        <f t="shared" si="78"/>
        <v>9.858083447295245</v>
      </c>
      <c r="O173" s="457"/>
      <c r="P173" s="458"/>
      <c r="Q173" s="459"/>
      <c r="R173" s="457"/>
      <c r="S173" s="458"/>
      <c r="T173" s="459"/>
      <c r="U173" s="457"/>
      <c r="V173" s="458"/>
      <c r="W173" s="459"/>
      <c r="X173" s="457"/>
      <c r="Y173" s="458"/>
      <c r="Z173" s="459"/>
      <c r="AA173" s="457"/>
      <c r="AB173" s="458"/>
      <c r="AC173" s="459">
        <f t="shared" si="69"/>
        <v>0</v>
      </c>
      <c r="AD173" s="457"/>
      <c r="AE173" s="458"/>
      <c r="AF173" s="459"/>
      <c r="AG173" s="457"/>
      <c r="AH173" s="458"/>
      <c r="AI173" s="459"/>
      <c r="AJ173" s="457"/>
      <c r="AK173" s="458"/>
      <c r="AL173" s="459"/>
      <c r="AM173" s="457"/>
      <c r="AN173" s="458"/>
      <c r="AO173" s="459"/>
      <c r="AP173" s="457"/>
      <c r="AQ173" s="458"/>
      <c r="AR173" s="459"/>
      <c r="AS173" s="457"/>
      <c r="AT173" s="458"/>
      <c r="AU173" s="459"/>
      <c r="AV173" s="457"/>
      <c r="AW173" s="458"/>
      <c r="AX173" s="459"/>
      <c r="AY173" s="457"/>
      <c r="AZ173" s="458"/>
      <c r="BA173" s="459">
        <f aca="true" t="shared" si="87" ref="BA173:BA189">IF(AY173&gt;0,(((AZ173-AY173)/AY173)*100),0)</f>
        <v>0</v>
      </c>
      <c r="BB173" s="457"/>
      <c r="BC173" s="458"/>
      <c r="BD173" s="459"/>
    </row>
    <row r="174" spans="1:56" ht="12.75">
      <c r="A174" s="160"/>
      <c r="B174" s="219" t="s">
        <v>90</v>
      </c>
      <c r="C174" s="457"/>
      <c r="D174" s="458"/>
      <c r="E174" s="459">
        <f t="shared" si="65"/>
        <v>0</v>
      </c>
      <c r="F174" s="457"/>
      <c r="G174" s="458"/>
      <c r="H174" s="459">
        <f t="shared" si="76"/>
        <v>0</v>
      </c>
      <c r="I174" s="457"/>
      <c r="J174" s="458"/>
      <c r="K174" s="459">
        <f t="shared" si="77"/>
        <v>0</v>
      </c>
      <c r="L174" s="457"/>
      <c r="M174" s="458"/>
      <c r="N174" s="459">
        <f t="shared" si="78"/>
        <v>0</v>
      </c>
      <c r="O174" s="457"/>
      <c r="P174" s="458"/>
      <c r="Q174" s="459"/>
      <c r="R174" s="457"/>
      <c r="S174" s="458"/>
      <c r="T174" s="459"/>
      <c r="U174" s="457"/>
      <c r="V174" s="458"/>
      <c r="W174" s="459"/>
      <c r="X174" s="457"/>
      <c r="Y174" s="458"/>
      <c r="Z174" s="459"/>
      <c r="AA174" s="457"/>
      <c r="AB174" s="458"/>
      <c r="AC174" s="459">
        <f t="shared" si="69"/>
        <v>0</v>
      </c>
      <c r="AD174" s="457"/>
      <c r="AE174" s="458"/>
      <c r="AF174" s="459"/>
      <c r="AG174" s="457"/>
      <c r="AH174" s="458"/>
      <c r="AI174" s="459"/>
      <c r="AJ174" s="457"/>
      <c r="AK174" s="458"/>
      <c r="AL174" s="459"/>
      <c r="AM174" s="457"/>
      <c r="AN174" s="458"/>
      <c r="AO174" s="459"/>
      <c r="AP174" s="457"/>
      <c r="AQ174" s="458"/>
      <c r="AR174" s="459"/>
      <c r="AS174" s="457"/>
      <c r="AT174" s="458"/>
      <c r="AU174" s="459"/>
      <c r="AV174" s="457"/>
      <c r="AW174" s="458"/>
      <c r="AX174" s="459"/>
      <c r="AY174" s="457"/>
      <c r="AZ174" s="458"/>
      <c r="BA174" s="459">
        <f t="shared" si="87"/>
        <v>0</v>
      </c>
      <c r="BB174" s="457"/>
      <c r="BC174" s="458"/>
      <c r="BD174" s="459"/>
    </row>
    <row r="175" spans="1:56" ht="12.75">
      <c r="A175" s="160"/>
      <c r="B175" s="219" t="s">
        <v>91</v>
      </c>
      <c r="C175" s="457">
        <v>3513.75</v>
      </c>
      <c r="D175" s="458">
        <v>3827.25</v>
      </c>
      <c r="E175" s="459">
        <f t="shared" si="65"/>
        <v>8.922091782283886</v>
      </c>
      <c r="F175" s="457">
        <v>8756.25</v>
      </c>
      <c r="G175" s="458">
        <v>9523.5</v>
      </c>
      <c r="H175" s="459">
        <f t="shared" si="76"/>
        <v>8.762312633832977</v>
      </c>
      <c r="I175" s="457">
        <v>3520.2</v>
      </c>
      <c r="J175" s="458">
        <v>3833.4</v>
      </c>
      <c r="K175" s="459">
        <f t="shared" si="77"/>
        <v>8.897221748764284</v>
      </c>
      <c r="L175" s="457">
        <v>8618.4</v>
      </c>
      <c r="M175" s="458">
        <v>10322.1</v>
      </c>
      <c r="N175" s="459">
        <f t="shared" si="78"/>
        <v>19.768170426065172</v>
      </c>
      <c r="O175" s="457"/>
      <c r="P175" s="458"/>
      <c r="Q175" s="459"/>
      <c r="R175" s="457"/>
      <c r="S175" s="458"/>
      <c r="T175" s="459"/>
      <c r="U175" s="457"/>
      <c r="V175" s="458"/>
      <c r="W175" s="459"/>
      <c r="X175" s="457"/>
      <c r="Y175" s="458"/>
      <c r="Z175" s="459"/>
      <c r="AA175" s="457"/>
      <c r="AB175" s="458"/>
      <c r="AC175" s="459">
        <f t="shared" si="69"/>
        <v>0</v>
      </c>
      <c r="AD175" s="457"/>
      <c r="AE175" s="458"/>
      <c r="AF175" s="459"/>
      <c r="AG175" s="457"/>
      <c r="AH175" s="458"/>
      <c r="AI175" s="459"/>
      <c r="AJ175" s="457"/>
      <c r="AK175" s="458"/>
      <c r="AL175" s="459"/>
      <c r="AM175" s="457"/>
      <c r="AN175" s="458"/>
      <c r="AO175" s="459"/>
      <c r="AP175" s="457"/>
      <c r="AQ175" s="458"/>
      <c r="AR175" s="459"/>
      <c r="AS175" s="457"/>
      <c r="AT175" s="458"/>
      <c r="AU175" s="459"/>
      <c r="AV175" s="457"/>
      <c r="AW175" s="458"/>
      <c r="AX175" s="459"/>
      <c r="AY175" s="457"/>
      <c r="AZ175" s="458"/>
      <c r="BA175" s="459">
        <f t="shared" si="87"/>
        <v>0</v>
      </c>
      <c r="BB175" s="457"/>
      <c r="BC175" s="458"/>
      <c r="BD175" s="459"/>
    </row>
    <row r="176" spans="1:56" ht="12.75">
      <c r="A176" s="160"/>
      <c r="B176" s="219" t="s">
        <v>92</v>
      </c>
      <c r="C176" s="457"/>
      <c r="D176" s="458"/>
      <c r="E176" s="459">
        <f t="shared" si="65"/>
        <v>0</v>
      </c>
      <c r="F176" s="457"/>
      <c r="G176" s="458"/>
      <c r="H176" s="459">
        <f t="shared" si="76"/>
        <v>0</v>
      </c>
      <c r="I176" s="457"/>
      <c r="J176" s="458"/>
      <c r="K176" s="459">
        <f t="shared" si="77"/>
        <v>0</v>
      </c>
      <c r="L176" s="457"/>
      <c r="M176" s="458"/>
      <c r="N176" s="459">
        <f t="shared" si="78"/>
        <v>0</v>
      </c>
      <c r="O176" s="457"/>
      <c r="P176" s="458"/>
      <c r="Q176" s="459"/>
      <c r="R176" s="457"/>
      <c r="S176" s="458"/>
      <c r="T176" s="459"/>
      <c r="U176" s="457"/>
      <c r="V176" s="458"/>
      <c r="W176" s="459"/>
      <c r="X176" s="457"/>
      <c r="Y176" s="458"/>
      <c r="Z176" s="459"/>
      <c r="AA176" s="457"/>
      <c r="AB176" s="458"/>
      <c r="AC176" s="459">
        <f t="shared" si="69"/>
        <v>0</v>
      </c>
      <c r="AD176" s="457"/>
      <c r="AE176" s="458"/>
      <c r="AF176" s="459"/>
      <c r="AG176" s="457"/>
      <c r="AH176" s="458"/>
      <c r="AI176" s="459"/>
      <c r="AJ176" s="457"/>
      <c r="AK176" s="458"/>
      <c r="AL176" s="459"/>
      <c r="AM176" s="457"/>
      <c r="AN176" s="458"/>
      <c r="AO176" s="459"/>
      <c r="AP176" s="457"/>
      <c r="AQ176" s="458"/>
      <c r="AR176" s="459"/>
      <c r="AS176" s="457"/>
      <c r="AT176" s="458"/>
      <c r="AU176" s="459"/>
      <c r="AV176" s="457"/>
      <c r="AW176" s="458"/>
      <c r="AX176" s="459"/>
      <c r="AY176" s="457"/>
      <c r="AZ176" s="458"/>
      <c r="BA176" s="459">
        <f t="shared" si="87"/>
        <v>0</v>
      </c>
      <c r="BB176" s="457"/>
      <c r="BC176" s="458"/>
      <c r="BD176" s="459"/>
    </row>
    <row r="177" spans="1:56" ht="12.75">
      <c r="A177" s="160"/>
      <c r="B177" s="219" t="s">
        <v>93</v>
      </c>
      <c r="C177" s="457">
        <v>3450</v>
      </c>
      <c r="D177" s="458">
        <v>3753</v>
      </c>
      <c r="E177" s="459">
        <f t="shared" si="65"/>
        <v>8.782608695652174</v>
      </c>
      <c r="F177" s="457">
        <v>8393.25</v>
      </c>
      <c r="G177" s="458">
        <v>9202.5</v>
      </c>
      <c r="H177" s="459">
        <f t="shared" si="76"/>
        <v>9.641676347064605</v>
      </c>
      <c r="I177" s="457">
        <v>3360</v>
      </c>
      <c r="J177" s="458">
        <v>3632.4</v>
      </c>
      <c r="K177" s="459">
        <f t="shared" si="77"/>
        <v>8.10714285714286</v>
      </c>
      <c r="L177" s="457">
        <v>8069.76</v>
      </c>
      <c r="M177" s="458">
        <v>8850</v>
      </c>
      <c r="N177" s="459">
        <f t="shared" si="78"/>
        <v>9.66868903164406</v>
      </c>
      <c r="O177" s="457"/>
      <c r="P177" s="458"/>
      <c r="Q177" s="459"/>
      <c r="R177" s="457"/>
      <c r="S177" s="458"/>
      <c r="T177" s="459"/>
      <c r="U177" s="457"/>
      <c r="V177" s="458"/>
      <c r="W177" s="459"/>
      <c r="X177" s="457"/>
      <c r="Y177" s="458"/>
      <c r="Z177" s="459"/>
      <c r="AA177" s="457"/>
      <c r="AB177" s="458"/>
      <c r="AC177" s="459">
        <f t="shared" si="69"/>
        <v>0</v>
      </c>
      <c r="AD177" s="457"/>
      <c r="AE177" s="458"/>
      <c r="AF177" s="459"/>
      <c r="AG177" s="457"/>
      <c r="AH177" s="458"/>
      <c r="AI177" s="459"/>
      <c r="AJ177" s="457"/>
      <c r="AK177" s="458"/>
      <c r="AL177" s="459"/>
      <c r="AM177" s="457"/>
      <c r="AN177" s="458"/>
      <c r="AO177" s="459"/>
      <c r="AP177" s="457"/>
      <c r="AQ177" s="458"/>
      <c r="AR177" s="459"/>
      <c r="AS177" s="457"/>
      <c r="AT177" s="458"/>
      <c r="AU177" s="459"/>
      <c r="AV177" s="457"/>
      <c r="AW177" s="458"/>
      <c r="AX177" s="459"/>
      <c r="AY177" s="457"/>
      <c r="AZ177" s="458"/>
      <c r="BA177" s="459">
        <f t="shared" si="87"/>
        <v>0</v>
      </c>
      <c r="BB177" s="457"/>
      <c r="BC177" s="458"/>
      <c r="BD177" s="459"/>
    </row>
    <row r="178" spans="1:56" ht="12.75">
      <c r="A178" s="160"/>
      <c r="B178" s="219" t="s">
        <v>94</v>
      </c>
      <c r="C178" s="457">
        <v>3540</v>
      </c>
      <c r="D178" s="458">
        <v>3892.5</v>
      </c>
      <c r="E178" s="459">
        <f t="shared" si="65"/>
        <v>9.957627118644067</v>
      </c>
      <c r="F178" s="457">
        <v>8100</v>
      </c>
      <c r="G178" s="458">
        <v>8856.6</v>
      </c>
      <c r="H178" s="459">
        <f t="shared" si="76"/>
        <v>9.340740740740745</v>
      </c>
      <c r="I178" s="457"/>
      <c r="J178" s="458"/>
      <c r="K178" s="459">
        <f t="shared" si="77"/>
        <v>0</v>
      </c>
      <c r="L178" s="457"/>
      <c r="M178" s="458"/>
      <c r="N178" s="459">
        <f t="shared" si="78"/>
        <v>0</v>
      </c>
      <c r="O178" s="457"/>
      <c r="P178" s="458"/>
      <c r="Q178" s="459"/>
      <c r="R178" s="457"/>
      <c r="S178" s="458"/>
      <c r="T178" s="459"/>
      <c r="U178" s="457"/>
      <c r="V178" s="458"/>
      <c r="W178" s="459"/>
      <c r="X178" s="457"/>
      <c r="Y178" s="458"/>
      <c r="Z178" s="459"/>
      <c r="AA178" s="457"/>
      <c r="AB178" s="458"/>
      <c r="AC178" s="459">
        <f t="shared" si="69"/>
        <v>0</v>
      </c>
      <c r="AD178" s="457"/>
      <c r="AE178" s="458"/>
      <c r="AF178" s="459"/>
      <c r="AG178" s="457"/>
      <c r="AH178" s="458"/>
      <c r="AI178" s="459"/>
      <c r="AJ178" s="457"/>
      <c r="AK178" s="458"/>
      <c r="AL178" s="459"/>
      <c r="AM178" s="457"/>
      <c r="AN178" s="458"/>
      <c r="AO178" s="459"/>
      <c r="AP178" s="457"/>
      <c r="AQ178" s="458"/>
      <c r="AR178" s="459"/>
      <c r="AS178" s="457"/>
      <c r="AT178" s="458"/>
      <c r="AU178" s="459"/>
      <c r="AV178" s="457"/>
      <c r="AW178" s="458"/>
      <c r="AX178" s="459"/>
      <c r="AY178" s="457"/>
      <c r="AZ178" s="458"/>
      <c r="BA178" s="459">
        <f t="shared" si="87"/>
        <v>0</v>
      </c>
      <c r="BB178" s="457"/>
      <c r="BC178" s="458"/>
      <c r="BD178" s="459"/>
    </row>
    <row r="179" spans="1:56" s="465" customFormat="1" ht="19.5" customHeight="1">
      <c r="A179" s="460"/>
      <c r="B179" s="461" t="s">
        <v>821</v>
      </c>
      <c r="C179" s="462">
        <v>3496.5</v>
      </c>
      <c r="D179" s="463">
        <v>3841.2</v>
      </c>
      <c r="E179" s="464">
        <f t="shared" si="65"/>
        <v>9.858429858429853</v>
      </c>
      <c r="F179" s="462">
        <v>8550</v>
      </c>
      <c r="G179" s="463">
        <v>9314.1</v>
      </c>
      <c r="H179" s="464">
        <f t="shared" si="76"/>
        <v>8.936842105263162</v>
      </c>
      <c r="I179" s="462">
        <v>3408.36</v>
      </c>
      <c r="J179" s="463">
        <v>3727.56</v>
      </c>
      <c r="K179" s="464">
        <f t="shared" si="77"/>
        <v>9.365207900573877</v>
      </c>
      <c r="L179" s="462">
        <v>8235.6</v>
      </c>
      <c r="M179" s="463">
        <v>9231.12</v>
      </c>
      <c r="N179" s="464">
        <f t="shared" si="78"/>
        <v>12.088008159696932</v>
      </c>
      <c r="O179" s="462"/>
      <c r="P179" s="463"/>
      <c r="Q179" s="464"/>
      <c r="R179" s="462"/>
      <c r="S179" s="463"/>
      <c r="T179" s="464"/>
      <c r="U179" s="462"/>
      <c r="V179" s="463"/>
      <c r="W179" s="464"/>
      <c r="X179" s="462"/>
      <c r="Y179" s="463"/>
      <c r="Z179" s="464"/>
      <c r="AA179" s="462"/>
      <c r="AB179" s="463"/>
      <c r="AC179" s="464">
        <f t="shared" si="69"/>
        <v>0</v>
      </c>
      <c r="AD179" s="462"/>
      <c r="AE179" s="463"/>
      <c r="AF179" s="464"/>
      <c r="AG179" s="462"/>
      <c r="AH179" s="463"/>
      <c r="AI179" s="464"/>
      <c r="AJ179" s="462"/>
      <c r="AK179" s="463"/>
      <c r="AL179" s="464"/>
      <c r="AM179" s="462"/>
      <c r="AN179" s="463"/>
      <c r="AO179" s="464"/>
      <c r="AP179" s="462"/>
      <c r="AQ179" s="463"/>
      <c r="AR179" s="464"/>
      <c r="AS179" s="462"/>
      <c r="AT179" s="463"/>
      <c r="AU179" s="464"/>
      <c r="AV179" s="462"/>
      <c r="AW179" s="463"/>
      <c r="AX179" s="464"/>
      <c r="AY179" s="462"/>
      <c r="AZ179" s="463"/>
      <c r="BA179" s="464">
        <f t="shared" si="87"/>
        <v>0</v>
      </c>
      <c r="BB179" s="462"/>
      <c r="BC179" s="463"/>
      <c r="BD179" s="464"/>
    </row>
    <row r="180" spans="1:56" ht="12.75">
      <c r="A180" s="160"/>
      <c r="B180" s="219" t="s">
        <v>95</v>
      </c>
      <c r="C180" s="457"/>
      <c r="D180" s="458"/>
      <c r="E180" s="459">
        <f t="shared" si="65"/>
        <v>0</v>
      </c>
      <c r="F180" s="457"/>
      <c r="G180" s="458"/>
      <c r="H180" s="459">
        <f t="shared" si="76"/>
        <v>0</v>
      </c>
      <c r="I180" s="457"/>
      <c r="J180" s="458"/>
      <c r="K180" s="459">
        <f t="shared" si="77"/>
        <v>0</v>
      </c>
      <c r="L180" s="457"/>
      <c r="M180" s="458"/>
      <c r="N180" s="459">
        <f t="shared" si="78"/>
        <v>0</v>
      </c>
      <c r="O180" s="457"/>
      <c r="P180" s="458"/>
      <c r="Q180" s="459"/>
      <c r="R180" s="457"/>
      <c r="S180" s="458"/>
      <c r="T180" s="459"/>
      <c r="U180" s="457"/>
      <c r="V180" s="458"/>
      <c r="W180" s="459"/>
      <c r="X180" s="457"/>
      <c r="Y180" s="458"/>
      <c r="Z180" s="459"/>
      <c r="AA180" s="457"/>
      <c r="AB180" s="458"/>
      <c r="AC180" s="459">
        <f t="shared" si="69"/>
        <v>0</v>
      </c>
      <c r="AD180" s="457"/>
      <c r="AE180" s="458"/>
      <c r="AF180" s="459"/>
      <c r="AG180" s="457"/>
      <c r="AH180" s="458"/>
      <c r="AI180" s="459"/>
      <c r="AJ180" s="457"/>
      <c r="AK180" s="458"/>
      <c r="AL180" s="459"/>
      <c r="AM180" s="457"/>
      <c r="AN180" s="458"/>
      <c r="AO180" s="459"/>
      <c r="AP180" s="457"/>
      <c r="AQ180" s="458"/>
      <c r="AR180" s="459"/>
      <c r="AS180" s="457"/>
      <c r="AT180" s="458"/>
      <c r="AU180" s="459"/>
      <c r="AV180" s="457"/>
      <c r="AW180" s="458"/>
      <c r="AX180" s="459"/>
      <c r="AY180" s="457"/>
      <c r="AZ180" s="458"/>
      <c r="BA180" s="459">
        <f t="shared" si="87"/>
        <v>0</v>
      </c>
      <c r="BB180" s="457"/>
      <c r="BC180" s="458"/>
      <c r="BD180" s="459"/>
    </row>
    <row r="181" spans="1:56" ht="12.75">
      <c r="A181" s="160"/>
      <c r="B181" s="219" t="s">
        <v>96</v>
      </c>
      <c r="C181" s="457">
        <v>2283.45</v>
      </c>
      <c r="D181" s="458">
        <v>2453.7</v>
      </c>
      <c r="E181" s="459">
        <f t="shared" si="65"/>
        <v>7.455823425080471</v>
      </c>
      <c r="F181" s="457">
        <v>6102.45</v>
      </c>
      <c r="G181" s="458">
        <v>6559.95</v>
      </c>
      <c r="H181" s="459">
        <f t="shared" si="76"/>
        <v>7.496988914288524</v>
      </c>
      <c r="I181" s="457"/>
      <c r="J181" s="458"/>
      <c r="K181" s="459">
        <f t="shared" si="77"/>
        <v>0</v>
      </c>
      <c r="L181" s="457"/>
      <c r="M181" s="458"/>
      <c r="N181" s="459">
        <f t="shared" si="78"/>
        <v>0</v>
      </c>
      <c r="O181" s="457"/>
      <c r="P181" s="458"/>
      <c r="Q181" s="459">
        <f t="shared" si="66"/>
        <v>0</v>
      </c>
      <c r="R181" s="457"/>
      <c r="S181" s="458"/>
      <c r="T181" s="459">
        <f t="shared" si="67"/>
        <v>0</v>
      </c>
      <c r="U181" s="457"/>
      <c r="V181" s="458"/>
      <c r="W181" s="459">
        <f t="shared" si="81"/>
        <v>0</v>
      </c>
      <c r="X181" s="457"/>
      <c r="Y181" s="458"/>
      <c r="Z181" s="459">
        <f t="shared" si="68"/>
        <v>0</v>
      </c>
      <c r="AA181" s="457"/>
      <c r="AB181" s="458"/>
      <c r="AC181" s="459">
        <f t="shared" si="69"/>
        <v>0</v>
      </c>
      <c r="AD181" s="457"/>
      <c r="AE181" s="458"/>
      <c r="AF181" s="459">
        <f aca="true" t="shared" si="88" ref="AF181:AF189">IF(AD181&gt;0,(((AE181-AD181)/AD181)*100),0)</f>
        <v>0</v>
      </c>
      <c r="AG181" s="457"/>
      <c r="AH181" s="458"/>
      <c r="AI181" s="459">
        <f aca="true" t="shared" si="89" ref="AI181:AI189">IF(AG181&gt;0,(((AH181-AG181)/AG181)*100),0)</f>
        <v>0</v>
      </c>
      <c r="AJ181" s="457"/>
      <c r="AK181" s="458"/>
      <c r="AL181" s="459">
        <f aca="true" t="shared" si="90" ref="AL181:AL189">IF(AJ181&gt;0,(((AK181-AJ181)/AJ181)*100),0)</f>
        <v>0</v>
      </c>
      <c r="AM181" s="457"/>
      <c r="AN181" s="458"/>
      <c r="AO181" s="459">
        <f t="shared" si="73"/>
        <v>0</v>
      </c>
      <c r="AP181" s="457"/>
      <c r="AQ181" s="458"/>
      <c r="AR181" s="459">
        <f t="shared" si="74"/>
        <v>0</v>
      </c>
      <c r="AS181" s="457"/>
      <c r="AT181" s="458"/>
      <c r="AU181" s="459">
        <f aca="true" t="shared" si="91" ref="AU181:AU189">IF(AS181&gt;0,(((AT181-AS181)/AS181)*100),0)</f>
        <v>0</v>
      </c>
      <c r="AV181" s="457"/>
      <c r="AW181" s="458"/>
      <c r="AX181" s="459">
        <f aca="true" t="shared" si="92" ref="AX181:AX189">IF(AV181&gt;0,(((AW181-AV181)/AV181)*100),0)</f>
        <v>0</v>
      </c>
      <c r="AY181" s="457"/>
      <c r="AZ181" s="458"/>
      <c r="BA181" s="459">
        <f t="shared" si="87"/>
        <v>0</v>
      </c>
      <c r="BB181" s="457"/>
      <c r="BC181" s="458"/>
      <c r="BD181" s="459">
        <f aca="true" t="shared" si="93" ref="BD181:BD189">IF(BB181&gt;0,(((BC181-BB181)/BB181)*100),0)</f>
        <v>0</v>
      </c>
    </row>
    <row r="182" spans="1:56" ht="12.75">
      <c r="A182" s="160"/>
      <c r="B182" s="219" t="s">
        <v>97</v>
      </c>
      <c r="C182" s="457">
        <v>2351.55</v>
      </c>
      <c r="D182" s="458">
        <v>2672.55</v>
      </c>
      <c r="E182" s="459">
        <f t="shared" si="65"/>
        <v>13.65057090004465</v>
      </c>
      <c r="F182" s="457">
        <v>6313.35</v>
      </c>
      <c r="G182" s="458">
        <v>7136.55</v>
      </c>
      <c r="H182" s="459">
        <f t="shared" si="76"/>
        <v>13.039036327781602</v>
      </c>
      <c r="I182" s="457"/>
      <c r="J182" s="458"/>
      <c r="K182" s="459">
        <f t="shared" si="77"/>
        <v>0</v>
      </c>
      <c r="L182" s="457"/>
      <c r="M182" s="458"/>
      <c r="N182" s="459">
        <f t="shared" si="78"/>
        <v>0</v>
      </c>
      <c r="O182" s="457"/>
      <c r="P182" s="458"/>
      <c r="Q182" s="459">
        <f t="shared" si="66"/>
        <v>0</v>
      </c>
      <c r="R182" s="457"/>
      <c r="S182" s="458"/>
      <c r="T182" s="459">
        <f t="shared" si="67"/>
        <v>0</v>
      </c>
      <c r="U182" s="457"/>
      <c r="V182" s="458"/>
      <c r="W182" s="459">
        <f t="shared" si="81"/>
        <v>0</v>
      </c>
      <c r="X182" s="457"/>
      <c r="Y182" s="458"/>
      <c r="Z182" s="459">
        <f t="shared" si="68"/>
        <v>0</v>
      </c>
      <c r="AA182" s="457"/>
      <c r="AB182" s="458"/>
      <c r="AC182" s="459">
        <f t="shared" si="69"/>
        <v>0</v>
      </c>
      <c r="AD182" s="457"/>
      <c r="AE182" s="458"/>
      <c r="AF182" s="459">
        <f t="shared" si="88"/>
        <v>0</v>
      </c>
      <c r="AG182" s="457"/>
      <c r="AH182" s="458"/>
      <c r="AI182" s="459">
        <f t="shared" si="89"/>
        <v>0</v>
      </c>
      <c r="AJ182" s="457"/>
      <c r="AK182" s="458"/>
      <c r="AL182" s="459">
        <f t="shared" si="90"/>
        <v>0</v>
      </c>
      <c r="AM182" s="457"/>
      <c r="AN182" s="458"/>
      <c r="AO182" s="459">
        <f t="shared" si="73"/>
        <v>0</v>
      </c>
      <c r="AP182" s="457"/>
      <c r="AQ182" s="458"/>
      <c r="AR182" s="459">
        <f t="shared" si="74"/>
        <v>0</v>
      </c>
      <c r="AS182" s="457"/>
      <c r="AT182" s="458"/>
      <c r="AU182" s="459">
        <f t="shared" si="91"/>
        <v>0</v>
      </c>
      <c r="AV182" s="457"/>
      <c r="AW182" s="458"/>
      <c r="AX182" s="459">
        <f t="shared" si="92"/>
        <v>0</v>
      </c>
      <c r="AY182" s="457"/>
      <c r="AZ182" s="458"/>
      <c r="BA182" s="459">
        <f t="shared" si="87"/>
        <v>0</v>
      </c>
      <c r="BB182" s="457"/>
      <c r="BC182" s="458"/>
      <c r="BD182" s="459">
        <f t="shared" si="93"/>
        <v>0</v>
      </c>
    </row>
    <row r="183" spans="1:56" ht="12.75">
      <c r="A183" s="160"/>
      <c r="B183" s="219" t="s">
        <v>778</v>
      </c>
      <c r="C183" s="457">
        <v>2322</v>
      </c>
      <c r="D183" s="458">
        <v>2525.25</v>
      </c>
      <c r="E183" s="459">
        <f t="shared" si="65"/>
        <v>8.753229974160206</v>
      </c>
      <c r="F183" s="457">
        <v>5406.45</v>
      </c>
      <c r="G183" s="458">
        <v>5765.7</v>
      </c>
      <c r="H183" s="459">
        <f t="shared" si="76"/>
        <v>6.64484088449907</v>
      </c>
      <c r="I183" s="457"/>
      <c r="J183" s="458"/>
      <c r="K183" s="459">
        <f t="shared" si="77"/>
        <v>0</v>
      </c>
      <c r="L183" s="457"/>
      <c r="M183" s="458"/>
      <c r="N183" s="459">
        <f t="shared" si="78"/>
        <v>0</v>
      </c>
      <c r="O183" s="457"/>
      <c r="P183" s="458"/>
      <c r="Q183" s="459">
        <f t="shared" si="66"/>
        <v>0</v>
      </c>
      <c r="R183" s="457"/>
      <c r="S183" s="458"/>
      <c r="T183" s="459">
        <f t="shared" si="67"/>
        <v>0</v>
      </c>
      <c r="U183" s="457"/>
      <c r="V183" s="458"/>
      <c r="W183" s="459">
        <f t="shared" si="81"/>
        <v>0</v>
      </c>
      <c r="X183" s="457"/>
      <c r="Y183" s="458"/>
      <c r="Z183" s="459">
        <f t="shared" si="68"/>
        <v>0</v>
      </c>
      <c r="AA183" s="457"/>
      <c r="AB183" s="458"/>
      <c r="AC183" s="459">
        <f t="shared" si="69"/>
        <v>0</v>
      </c>
      <c r="AD183" s="457"/>
      <c r="AE183" s="458"/>
      <c r="AF183" s="459">
        <f t="shared" si="88"/>
        <v>0</v>
      </c>
      <c r="AG183" s="457"/>
      <c r="AH183" s="458"/>
      <c r="AI183" s="459">
        <f t="shared" si="89"/>
        <v>0</v>
      </c>
      <c r="AJ183" s="457"/>
      <c r="AK183" s="458"/>
      <c r="AL183" s="459">
        <f t="shared" si="90"/>
        <v>0</v>
      </c>
      <c r="AM183" s="457"/>
      <c r="AN183" s="458"/>
      <c r="AO183" s="459">
        <f t="shared" si="73"/>
        <v>0</v>
      </c>
      <c r="AP183" s="457"/>
      <c r="AQ183" s="458"/>
      <c r="AR183" s="459">
        <f t="shared" si="74"/>
        <v>0</v>
      </c>
      <c r="AS183" s="457"/>
      <c r="AT183" s="458"/>
      <c r="AU183" s="459">
        <f t="shared" si="91"/>
        <v>0</v>
      </c>
      <c r="AV183" s="457"/>
      <c r="AW183" s="458"/>
      <c r="AX183" s="459">
        <f t="shared" si="92"/>
        <v>0</v>
      </c>
      <c r="AY183" s="457"/>
      <c r="AZ183" s="458"/>
      <c r="BA183" s="459">
        <f t="shared" si="87"/>
        <v>0</v>
      </c>
      <c r="BB183" s="457"/>
      <c r="BC183" s="458"/>
      <c r="BD183" s="459">
        <f t="shared" si="93"/>
        <v>0</v>
      </c>
    </row>
    <row r="184" spans="1:56" s="465" customFormat="1" ht="20.25" customHeight="1">
      <c r="A184" s="460"/>
      <c r="B184" s="461" t="s">
        <v>426</v>
      </c>
      <c r="C184" s="462">
        <v>2318.7</v>
      </c>
      <c r="D184" s="463">
        <v>2518.95</v>
      </c>
      <c r="E184" s="464">
        <f t="shared" si="65"/>
        <v>8.636304825980076</v>
      </c>
      <c r="F184" s="462">
        <v>5571.3</v>
      </c>
      <c r="G184" s="463">
        <v>6086.55</v>
      </c>
      <c r="H184" s="464">
        <f t="shared" si="76"/>
        <v>9.248290345161811</v>
      </c>
      <c r="I184" s="462"/>
      <c r="J184" s="463"/>
      <c r="K184" s="464">
        <f t="shared" si="77"/>
        <v>0</v>
      </c>
      <c r="L184" s="462"/>
      <c r="M184" s="463"/>
      <c r="N184" s="464">
        <f t="shared" si="78"/>
        <v>0</v>
      </c>
      <c r="O184" s="462"/>
      <c r="P184" s="463"/>
      <c r="Q184" s="464">
        <f t="shared" si="66"/>
        <v>0</v>
      </c>
      <c r="R184" s="462"/>
      <c r="S184" s="463"/>
      <c r="T184" s="464">
        <f t="shared" si="67"/>
        <v>0</v>
      </c>
      <c r="U184" s="462"/>
      <c r="V184" s="463"/>
      <c r="W184" s="464">
        <f t="shared" si="81"/>
        <v>0</v>
      </c>
      <c r="X184" s="462"/>
      <c r="Y184" s="463"/>
      <c r="Z184" s="464">
        <f t="shared" si="68"/>
        <v>0</v>
      </c>
      <c r="AA184" s="462"/>
      <c r="AB184" s="463"/>
      <c r="AC184" s="464">
        <f t="shared" si="69"/>
        <v>0</v>
      </c>
      <c r="AD184" s="462"/>
      <c r="AE184" s="463"/>
      <c r="AF184" s="464">
        <f t="shared" si="88"/>
        <v>0</v>
      </c>
      <c r="AG184" s="462"/>
      <c r="AH184" s="463"/>
      <c r="AI184" s="464">
        <f t="shared" si="89"/>
        <v>0</v>
      </c>
      <c r="AJ184" s="462"/>
      <c r="AK184" s="463"/>
      <c r="AL184" s="464">
        <f t="shared" si="90"/>
        <v>0</v>
      </c>
      <c r="AM184" s="462"/>
      <c r="AN184" s="463"/>
      <c r="AO184" s="464">
        <f t="shared" si="73"/>
        <v>0</v>
      </c>
      <c r="AP184" s="462"/>
      <c r="AQ184" s="463"/>
      <c r="AR184" s="464">
        <f t="shared" si="74"/>
        <v>0</v>
      </c>
      <c r="AS184" s="462"/>
      <c r="AT184" s="463"/>
      <c r="AU184" s="464">
        <f t="shared" si="91"/>
        <v>0</v>
      </c>
      <c r="AV184" s="462"/>
      <c r="AW184" s="463"/>
      <c r="AX184" s="464">
        <f t="shared" si="92"/>
        <v>0</v>
      </c>
      <c r="AY184" s="462"/>
      <c r="AZ184" s="463"/>
      <c r="BA184" s="464">
        <f t="shared" si="87"/>
        <v>0</v>
      </c>
      <c r="BB184" s="462"/>
      <c r="BC184" s="463"/>
      <c r="BD184" s="464">
        <f t="shared" si="93"/>
        <v>0</v>
      </c>
    </row>
    <row r="185" spans="1:56" ht="12.75">
      <c r="A185" s="160"/>
      <c r="B185" s="219" t="s">
        <v>779</v>
      </c>
      <c r="C185" s="457">
        <v>1210.5</v>
      </c>
      <c r="D185" s="458">
        <v>1125</v>
      </c>
      <c r="E185" s="459">
        <f t="shared" si="65"/>
        <v>-7.063197026022305</v>
      </c>
      <c r="F185" s="457">
        <v>3546</v>
      </c>
      <c r="G185" s="458">
        <v>2700</v>
      </c>
      <c r="H185" s="459">
        <f t="shared" si="76"/>
        <v>-23.85786802030457</v>
      </c>
      <c r="I185" s="457"/>
      <c r="J185" s="458"/>
      <c r="K185" s="459">
        <f t="shared" si="77"/>
        <v>0</v>
      </c>
      <c r="L185" s="457"/>
      <c r="M185" s="458"/>
      <c r="N185" s="459">
        <f t="shared" si="78"/>
        <v>0</v>
      </c>
      <c r="O185" s="457"/>
      <c r="P185" s="458"/>
      <c r="Q185" s="459">
        <f t="shared" si="66"/>
        <v>0</v>
      </c>
      <c r="R185" s="457"/>
      <c r="S185" s="458"/>
      <c r="T185" s="459">
        <f t="shared" si="67"/>
        <v>0</v>
      </c>
      <c r="U185" s="457"/>
      <c r="V185" s="458"/>
      <c r="W185" s="459">
        <f t="shared" si="81"/>
        <v>0</v>
      </c>
      <c r="X185" s="457"/>
      <c r="Y185" s="458"/>
      <c r="Z185" s="459">
        <f t="shared" si="68"/>
        <v>0</v>
      </c>
      <c r="AA185" s="457"/>
      <c r="AB185" s="458"/>
      <c r="AC185" s="459">
        <f t="shared" si="69"/>
        <v>0</v>
      </c>
      <c r="AD185" s="457"/>
      <c r="AE185" s="458"/>
      <c r="AF185" s="459">
        <f t="shared" si="88"/>
        <v>0</v>
      </c>
      <c r="AG185" s="457"/>
      <c r="AH185" s="458"/>
      <c r="AI185" s="459">
        <f t="shared" si="89"/>
        <v>0</v>
      </c>
      <c r="AJ185" s="457"/>
      <c r="AK185" s="458"/>
      <c r="AL185" s="459">
        <f t="shared" si="90"/>
        <v>0</v>
      </c>
      <c r="AM185" s="457"/>
      <c r="AN185" s="458"/>
      <c r="AO185" s="459">
        <f t="shared" si="73"/>
        <v>0</v>
      </c>
      <c r="AP185" s="457"/>
      <c r="AQ185" s="458"/>
      <c r="AR185" s="459">
        <f t="shared" si="74"/>
        <v>0</v>
      </c>
      <c r="AS185" s="457"/>
      <c r="AT185" s="458"/>
      <c r="AU185" s="459">
        <f t="shared" si="91"/>
        <v>0</v>
      </c>
      <c r="AV185" s="457"/>
      <c r="AW185" s="458"/>
      <c r="AX185" s="459">
        <f t="shared" si="92"/>
        <v>0</v>
      </c>
      <c r="AY185" s="457"/>
      <c r="AZ185" s="458"/>
      <c r="BA185" s="459">
        <f t="shared" si="87"/>
        <v>0</v>
      </c>
      <c r="BB185" s="457"/>
      <c r="BC185" s="458"/>
      <c r="BD185" s="459">
        <f t="shared" si="93"/>
        <v>0</v>
      </c>
    </row>
    <row r="186" spans="1:56" ht="12.75">
      <c r="A186" s="160"/>
      <c r="B186" s="219" t="s">
        <v>1015</v>
      </c>
      <c r="C186" s="457">
        <v>1125</v>
      </c>
      <c r="D186" s="458">
        <v>1137.5</v>
      </c>
      <c r="E186" s="459">
        <f t="shared" si="65"/>
        <v>1.1111111111111112</v>
      </c>
      <c r="F186" s="457">
        <v>2250</v>
      </c>
      <c r="G186" s="458">
        <v>2520</v>
      </c>
      <c r="H186" s="459">
        <f t="shared" si="76"/>
        <v>12</v>
      </c>
      <c r="I186" s="457"/>
      <c r="J186" s="458"/>
      <c r="K186" s="459">
        <f t="shared" si="77"/>
        <v>0</v>
      </c>
      <c r="L186" s="457"/>
      <c r="M186" s="458"/>
      <c r="N186" s="459">
        <f t="shared" si="78"/>
        <v>0</v>
      </c>
      <c r="O186" s="457"/>
      <c r="P186" s="458"/>
      <c r="Q186" s="459">
        <f t="shared" si="66"/>
        <v>0</v>
      </c>
      <c r="R186" s="457"/>
      <c r="S186" s="458"/>
      <c r="T186" s="459">
        <f t="shared" si="67"/>
        <v>0</v>
      </c>
      <c r="U186" s="457"/>
      <c r="V186" s="458"/>
      <c r="W186" s="459">
        <f t="shared" si="81"/>
        <v>0</v>
      </c>
      <c r="X186" s="457"/>
      <c r="Y186" s="458"/>
      <c r="Z186" s="459">
        <f t="shared" si="68"/>
        <v>0</v>
      </c>
      <c r="AA186" s="457"/>
      <c r="AB186" s="458"/>
      <c r="AC186" s="459">
        <f t="shared" si="69"/>
        <v>0</v>
      </c>
      <c r="AD186" s="457"/>
      <c r="AE186" s="458"/>
      <c r="AF186" s="459">
        <f t="shared" si="88"/>
        <v>0</v>
      </c>
      <c r="AG186" s="457"/>
      <c r="AH186" s="458"/>
      <c r="AI186" s="459">
        <f t="shared" si="89"/>
        <v>0</v>
      </c>
      <c r="AJ186" s="457"/>
      <c r="AK186" s="458"/>
      <c r="AL186" s="459">
        <f t="shared" si="90"/>
        <v>0</v>
      </c>
      <c r="AM186" s="457"/>
      <c r="AN186" s="458"/>
      <c r="AO186" s="459">
        <f t="shared" si="73"/>
        <v>0</v>
      </c>
      <c r="AP186" s="457"/>
      <c r="AQ186" s="458"/>
      <c r="AR186" s="459">
        <f t="shared" si="74"/>
        <v>0</v>
      </c>
      <c r="AS186" s="457"/>
      <c r="AT186" s="458"/>
      <c r="AU186" s="459">
        <f t="shared" si="91"/>
        <v>0</v>
      </c>
      <c r="AV186" s="457"/>
      <c r="AW186" s="458"/>
      <c r="AX186" s="459">
        <f t="shared" si="92"/>
        <v>0</v>
      </c>
      <c r="AY186" s="457"/>
      <c r="AZ186" s="458"/>
      <c r="BA186" s="459">
        <f t="shared" si="87"/>
        <v>0</v>
      </c>
      <c r="BB186" s="457"/>
      <c r="BC186" s="458"/>
      <c r="BD186" s="459">
        <f t="shared" si="93"/>
        <v>0</v>
      </c>
    </row>
    <row r="187" spans="1:56" ht="12.75">
      <c r="A187" s="160"/>
      <c r="B187" s="219" t="s">
        <v>1016</v>
      </c>
      <c r="C187" s="457"/>
      <c r="D187" s="458"/>
      <c r="E187" s="459">
        <f t="shared" si="65"/>
        <v>0</v>
      </c>
      <c r="F187" s="457"/>
      <c r="G187" s="458"/>
      <c r="H187" s="459">
        <f t="shared" si="76"/>
        <v>0</v>
      </c>
      <c r="I187" s="457"/>
      <c r="J187" s="458"/>
      <c r="K187" s="459">
        <f t="shared" si="77"/>
        <v>0</v>
      </c>
      <c r="L187" s="457"/>
      <c r="M187" s="458"/>
      <c r="N187" s="459">
        <f t="shared" si="78"/>
        <v>0</v>
      </c>
      <c r="O187" s="457"/>
      <c r="P187" s="458"/>
      <c r="Q187" s="459">
        <f t="shared" si="66"/>
        <v>0</v>
      </c>
      <c r="R187" s="457"/>
      <c r="S187" s="458"/>
      <c r="T187" s="459">
        <f t="shared" si="67"/>
        <v>0</v>
      </c>
      <c r="U187" s="457"/>
      <c r="V187" s="458"/>
      <c r="W187" s="459">
        <f t="shared" si="81"/>
        <v>0</v>
      </c>
      <c r="X187" s="457"/>
      <c r="Y187" s="458"/>
      <c r="Z187" s="459">
        <f t="shared" si="68"/>
        <v>0</v>
      </c>
      <c r="AA187" s="457"/>
      <c r="AB187" s="458"/>
      <c r="AC187" s="459">
        <f t="shared" si="69"/>
        <v>0</v>
      </c>
      <c r="AD187" s="457"/>
      <c r="AE187" s="458"/>
      <c r="AF187" s="459">
        <f t="shared" si="88"/>
        <v>0</v>
      </c>
      <c r="AG187" s="457"/>
      <c r="AH187" s="458"/>
      <c r="AI187" s="459">
        <f t="shared" si="89"/>
        <v>0</v>
      </c>
      <c r="AJ187" s="457"/>
      <c r="AK187" s="458"/>
      <c r="AL187" s="459">
        <f t="shared" si="90"/>
        <v>0</v>
      </c>
      <c r="AM187" s="457"/>
      <c r="AN187" s="458"/>
      <c r="AO187" s="459">
        <f t="shared" si="73"/>
        <v>0</v>
      </c>
      <c r="AP187" s="457"/>
      <c r="AQ187" s="458"/>
      <c r="AR187" s="459">
        <f t="shared" si="74"/>
        <v>0</v>
      </c>
      <c r="AS187" s="457"/>
      <c r="AT187" s="458"/>
      <c r="AU187" s="459">
        <f t="shared" si="91"/>
        <v>0</v>
      </c>
      <c r="AV187" s="457"/>
      <c r="AW187" s="458"/>
      <c r="AX187" s="459">
        <f t="shared" si="92"/>
        <v>0</v>
      </c>
      <c r="AY187" s="457"/>
      <c r="AZ187" s="458"/>
      <c r="BA187" s="459">
        <f t="shared" si="87"/>
        <v>0</v>
      </c>
      <c r="BB187" s="457"/>
      <c r="BC187" s="458"/>
      <c r="BD187" s="459">
        <f t="shared" si="93"/>
        <v>0</v>
      </c>
    </row>
    <row r="188" spans="1:56" s="465" customFormat="1" ht="21.75" customHeight="1">
      <c r="A188" s="460"/>
      <c r="B188" s="461" t="s">
        <v>978</v>
      </c>
      <c r="C188" s="462">
        <v>1125</v>
      </c>
      <c r="D188" s="463">
        <v>1125</v>
      </c>
      <c r="E188" s="464">
        <f t="shared" si="65"/>
        <v>0</v>
      </c>
      <c r="F188" s="462">
        <v>2250</v>
      </c>
      <c r="G188" s="463">
        <v>2610</v>
      </c>
      <c r="H188" s="464">
        <f t="shared" si="76"/>
        <v>16</v>
      </c>
      <c r="I188" s="462"/>
      <c r="J188" s="463"/>
      <c r="K188" s="464">
        <f t="shared" si="77"/>
        <v>0</v>
      </c>
      <c r="L188" s="462"/>
      <c r="M188" s="463"/>
      <c r="N188" s="464">
        <f t="shared" si="78"/>
        <v>0</v>
      </c>
      <c r="O188" s="462"/>
      <c r="P188" s="463"/>
      <c r="Q188" s="464">
        <f t="shared" si="66"/>
        <v>0</v>
      </c>
      <c r="R188" s="462"/>
      <c r="S188" s="463"/>
      <c r="T188" s="464">
        <f t="shared" si="67"/>
        <v>0</v>
      </c>
      <c r="U188" s="462"/>
      <c r="V188" s="463"/>
      <c r="W188" s="464">
        <f t="shared" si="81"/>
        <v>0</v>
      </c>
      <c r="X188" s="462"/>
      <c r="Y188" s="463"/>
      <c r="Z188" s="464">
        <f t="shared" si="68"/>
        <v>0</v>
      </c>
      <c r="AA188" s="462"/>
      <c r="AB188" s="463"/>
      <c r="AC188" s="464">
        <f t="shared" si="69"/>
        <v>0</v>
      </c>
      <c r="AD188" s="462"/>
      <c r="AE188" s="463"/>
      <c r="AF188" s="464">
        <f t="shared" si="88"/>
        <v>0</v>
      </c>
      <c r="AG188" s="462"/>
      <c r="AH188" s="463"/>
      <c r="AI188" s="464">
        <f t="shared" si="89"/>
        <v>0</v>
      </c>
      <c r="AJ188" s="462"/>
      <c r="AK188" s="463"/>
      <c r="AL188" s="464">
        <f t="shared" si="90"/>
        <v>0</v>
      </c>
      <c r="AM188" s="462"/>
      <c r="AN188" s="463"/>
      <c r="AO188" s="464">
        <f t="shared" si="73"/>
        <v>0</v>
      </c>
      <c r="AP188" s="462"/>
      <c r="AQ188" s="463"/>
      <c r="AR188" s="464">
        <f t="shared" si="74"/>
        <v>0</v>
      </c>
      <c r="AS188" s="462"/>
      <c r="AT188" s="463"/>
      <c r="AU188" s="464">
        <f t="shared" si="91"/>
        <v>0</v>
      </c>
      <c r="AV188" s="462"/>
      <c r="AW188" s="463"/>
      <c r="AX188" s="464">
        <f t="shared" si="92"/>
        <v>0</v>
      </c>
      <c r="AY188" s="462"/>
      <c r="AZ188" s="463"/>
      <c r="BA188" s="464">
        <f t="shared" si="87"/>
        <v>0</v>
      </c>
      <c r="BB188" s="462"/>
      <c r="BC188" s="463"/>
      <c r="BD188" s="464">
        <f t="shared" si="93"/>
        <v>0</v>
      </c>
    </row>
    <row r="189" spans="1:56" ht="12.75">
      <c r="A189" s="466"/>
      <c r="B189" s="467" t="s">
        <v>781</v>
      </c>
      <c r="C189" s="468"/>
      <c r="D189" s="469"/>
      <c r="E189" s="471">
        <f t="shared" si="65"/>
        <v>0</v>
      </c>
      <c r="F189" s="468"/>
      <c r="G189" s="469"/>
      <c r="H189" s="471">
        <f t="shared" si="76"/>
        <v>0</v>
      </c>
      <c r="I189" s="468"/>
      <c r="J189" s="469"/>
      <c r="K189" s="471">
        <f t="shared" si="77"/>
        <v>0</v>
      </c>
      <c r="L189" s="468"/>
      <c r="M189" s="469"/>
      <c r="N189" s="471">
        <f t="shared" si="78"/>
        <v>0</v>
      </c>
      <c r="O189" s="468">
        <v>12964.5</v>
      </c>
      <c r="P189" s="469">
        <v>14125</v>
      </c>
      <c r="Q189" s="471">
        <f t="shared" si="66"/>
        <v>8.951367195032589</v>
      </c>
      <c r="R189" s="468">
        <v>22893</v>
      </c>
      <c r="S189" s="469">
        <v>24053</v>
      </c>
      <c r="T189" s="471">
        <f t="shared" si="67"/>
        <v>5.067051063643908</v>
      </c>
      <c r="U189" s="468">
        <v>17677</v>
      </c>
      <c r="V189" s="469">
        <v>18906</v>
      </c>
      <c r="W189" s="471">
        <f t="shared" si="81"/>
        <v>6.9525371952254345</v>
      </c>
      <c r="X189" s="468">
        <v>40207</v>
      </c>
      <c r="Y189" s="469">
        <v>41876</v>
      </c>
      <c r="Z189" s="471">
        <f t="shared" si="68"/>
        <v>4.151018479369264</v>
      </c>
      <c r="AA189" s="468">
        <v>15275</v>
      </c>
      <c r="AB189" s="469">
        <v>16738</v>
      </c>
      <c r="AC189" s="471">
        <f t="shared" si="69"/>
        <v>9.577741407528642</v>
      </c>
      <c r="AD189" s="468">
        <v>35695</v>
      </c>
      <c r="AE189" s="469">
        <v>37518</v>
      </c>
      <c r="AF189" s="471">
        <f t="shared" si="88"/>
        <v>5.107157865247233</v>
      </c>
      <c r="AG189" s="468">
        <v>10005.7</v>
      </c>
      <c r="AH189" s="469">
        <v>10625</v>
      </c>
      <c r="AI189" s="471">
        <f t="shared" si="89"/>
        <v>6.189472000959445</v>
      </c>
      <c r="AJ189" s="468">
        <v>21088.5</v>
      </c>
      <c r="AK189" s="469">
        <v>22917.7</v>
      </c>
      <c r="AL189" s="471">
        <f t="shared" si="90"/>
        <v>8.673921805723502</v>
      </c>
      <c r="AM189" s="468">
        <v>11406.4</v>
      </c>
      <c r="AN189" s="469">
        <v>12342.82</v>
      </c>
      <c r="AO189" s="471">
        <f t="shared" si="73"/>
        <v>8.209601627156685</v>
      </c>
      <c r="AP189" s="468">
        <v>23156.4</v>
      </c>
      <c r="AQ189" s="469">
        <v>24092.8</v>
      </c>
      <c r="AR189" s="471">
        <f t="shared" si="74"/>
        <v>4.043806463871749</v>
      </c>
      <c r="AS189" s="468">
        <v>16488</v>
      </c>
      <c r="AT189" s="469">
        <v>17700</v>
      </c>
      <c r="AU189" s="471">
        <f t="shared" si="91"/>
        <v>7.3508005822416305</v>
      </c>
      <c r="AV189" s="468">
        <v>31708</v>
      </c>
      <c r="AW189" s="469">
        <v>34061</v>
      </c>
      <c r="AX189" s="471">
        <f t="shared" si="92"/>
        <v>7.420840166519491</v>
      </c>
      <c r="AY189" s="468">
        <v>12072.23</v>
      </c>
      <c r="AZ189" s="469">
        <v>13128.88</v>
      </c>
      <c r="BA189" s="471">
        <f t="shared" si="87"/>
        <v>8.752732510894838</v>
      </c>
      <c r="BB189" s="468">
        <v>29347.53</v>
      </c>
      <c r="BC189" s="469">
        <v>30404.18</v>
      </c>
      <c r="BD189" s="471">
        <f t="shared" si="93"/>
        <v>3.6004733618127367</v>
      </c>
    </row>
    <row r="190" spans="1:56" ht="12.75">
      <c r="A190" s="158" t="s">
        <v>537</v>
      </c>
      <c r="B190" s="219" t="s">
        <v>89</v>
      </c>
      <c r="C190" s="457">
        <v>8604</v>
      </c>
      <c r="D190" s="458">
        <v>9108</v>
      </c>
      <c r="E190" s="459">
        <f t="shared" si="65"/>
        <v>5.857740585774058</v>
      </c>
      <c r="F190" s="457">
        <v>20030</v>
      </c>
      <c r="G190" s="458">
        <v>21716</v>
      </c>
      <c r="H190" s="459">
        <f t="shared" si="76"/>
        <v>8.417373939091362</v>
      </c>
      <c r="I190" s="457">
        <v>8987</v>
      </c>
      <c r="J190" s="458">
        <v>8036</v>
      </c>
      <c r="K190" s="459">
        <f t="shared" si="77"/>
        <v>-10.5819517080227</v>
      </c>
      <c r="L190" s="457">
        <v>18413</v>
      </c>
      <c r="M190" s="458">
        <v>16577</v>
      </c>
      <c r="N190" s="459">
        <f t="shared" si="78"/>
        <v>-9.971215988703634</v>
      </c>
      <c r="O190" s="457"/>
      <c r="P190" s="458"/>
      <c r="Q190" s="459"/>
      <c r="R190" s="457"/>
      <c r="S190" s="458"/>
      <c r="T190" s="459"/>
      <c r="U190" s="457"/>
      <c r="V190" s="458"/>
      <c r="W190" s="459"/>
      <c r="X190" s="457"/>
      <c r="Y190" s="458"/>
      <c r="Z190" s="459"/>
      <c r="AA190" s="457"/>
      <c r="AB190" s="458"/>
      <c r="AC190" s="459">
        <f t="shared" si="69"/>
        <v>0</v>
      </c>
      <c r="AD190" s="457"/>
      <c r="AE190" s="458"/>
      <c r="AF190" s="459"/>
      <c r="AG190" s="457"/>
      <c r="AH190" s="458"/>
      <c r="AI190" s="459"/>
      <c r="AJ190" s="457"/>
      <c r="AK190" s="458"/>
      <c r="AL190" s="459"/>
      <c r="AM190" s="457"/>
      <c r="AN190" s="458"/>
      <c r="AO190" s="459">
        <f t="shared" si="73"/>
        <v>0</v>
      </c>
      <c r="AP190" s="457"/>
      <c r="AQ190" s="458"/>
      <c r="AR190" s="459">
        <f t="shared" si="74"/>
        <v>0</v>
      </c>
      <c r="AS190" s="457"/>
      <c r="AT190" s="458"/>
      <c r="AU190" s="459">
        <f aca="true" t="shared" si="94" ref="AU190:AU206">IF(AS190&gt;0,(((AT190-AS190)/AS190)*100),0)</f>
        <v>0</v>
      </c>
      <c r="AV190" s="457"/>
      <c r="AW190" s="458"/>
      <c r="AX190" s="459">
        <f aca="true" t="shared" si="95" ref="AX190:AX206">IF(AV190&gt;0,(((AW190-AV190)/AV190)*100),0)</f>
        <v>0</v>
      </c>
      <c r="AY190" s="457"/>
      <c r="AZ190" s="458"/>
      <c r="BA190" s="459">
        <f aca="true" t="shared" si="96" ref="BA190:BA206">IF(AY190&gt;0,(((AZ190-AY190)/AY190)*100),0)</f>
        <v>0</v>
      </c>
      <c r="BB190" s="457"/>
      <c r="BC190" s="458"/>
      <c r="BD190" s="459">
        <f aca="true" t="shared" si="97" ref="BD190:BD206">IF(BB190&gt;0,(((BC190-BB190)/BB190)*100),0)</f>
        <v>0</v>
      </c>
    </row>
    <row r="191" spans="1:56" ht="12.75">
      <c r="A191" s="160"/>
      <c r="B191" s="219" t="s">
        <v>90</v>
      </c>
      <c r="C191" s="457"/>
      <c r="D191" s="458"/>
      <c r="E191" s="459">
        <f t="shared" si="65"/>
        <v>0</v>
      </c>
      <c r="F191" s="457"/>
      <c r="G191" s="458"/>
      <c r="H191" s="459">
        <f t="shared" si="76"/>
        <v>0</v>
      </c>
      <c r="I191" s="457"/>
      <c r="J191" s="458"/>
      <c r="K191" s="459">
        <f t="shared" si="77"/>
        <v>0</v>
      </c>
      <c r="L191" s="457"/>
      <c r="M191" s="458"/>
      <c r="N191" s="459">
        <f t="shared" si="78"/>
        <v>0</v>
      </c>
      <c r="O191" s="457"/>
      <c r="P191" s="458"/>
      <c r="Q191" s="459"/>
      <c r="R191" s="457"/>
      <c r="S191" s="458"/>
      <c r="T191" s="459"/>
      <c r="U191" s="457"/>
      <c r="V191" s="458"/>
      <c r="W191" s="459"/>
      <c r="X191" s="457"/>
      <c r="Y191" s="458"/>
      <c r="Z191" s="459"/>
      <c r="AA191" s="457"/>
      <c r="AB191" s="458"/>
      <c r="AC191" s="459">
        <f t="shared" si="69"/>
        <v>0</v>
      </c>
      <c r="AD191" s="457"/>
      <c r="AE191" s="458"/>
      <c r="AF191" s="459"/>
      <c r="AG191" s="457"/>
      <c r="AH191" s="458"/>
      <c r="AI191" s="459"/>
      <c r="AJ191" s="457"/>
      <c r="AK191" s="458"/>
      <c r="AL191" s="459"/>
      <c r="AM191" s="457"/>
      <c r="AN191" s="458"/>
      <c r="AO191" s="459">
        <f t="shared" si="73"/>
        <v>0</v>
      </c>
      <c r="AP191" s="457"/>
      <c r="AQ191" s="458"/>
      <c r="AR191" s="459">
        <f t="shared" si="74"/>
        <v>0</v>
      </c>
      <c r="AS191" s="457"/>
      <c r="AT191" s="458"/>
      <c r="AU191" s="459">
        <f t="shared" si="94"/>
        <v>0</v>
      </c>
      <c r="AV191" s="457"/>
      <c r="AW191" s="458"/>
      <c r="AX191" s="459">
        <f t="shared" si="95"/>
        <v>0</v>
      </c>
      <c r="AY191" s="457"/>
      <c r="AZ191" s="458"/>
      <c r="BA191" s="459">
        <f t="shared" si="96"/>
        <v>0</v>
      </c>
      <c r="BB191" s="457"/>
      <c r="BC191" s="458"/>
      <c r="BD191" s="459">
        <f t="shared" si="97"/>
        <v>0</v>
      </c>
    </row>
    <row r="192" spans="1:56" ht="12.75">
      <c r="A192" s="160"/>
      <c r="B192" s="219" t="s">
        <v>91</v>
      </c>
      <c r="C192" s="457">
        <v>8367</v>
      </c>
      <c r="D192" s="458">
        <v>8994</v>
      </c>
      <c r="E192" s="459">
        <f t="shared" si="65"/>
        <v>7.493725349587665</v>
      </c>
      <c r="F192" s="457">
        <v>17182</v>
      </c>
      <c r="G192" s="458">
        <v>18883</v>
      </c>
      <c r="H192" s="459">
        <f t="shared" si="76"/>
        <v>9.899895239203818</v>
      </c>
      <c r="I192" s="457">
        <v>8191</v>
      </c>
      <c r="J192" s="458">
        <v>8806</v>
      </c>
      <c r="K192" s="459">
        <f t="shared" si="77"/>
        <v>7.5082407520449275</v>
      </c>
      <c r="L192" s="457">
        <v>16832</v>
      </c>
      <c r="M192" s="458">
        <v>18506</v>
      </c>
      <c r="N192" s="459">
        <f t="shared" si="78"/>
        <v>9.945342205323193</v>
      </c>
      <c r="O192" s="457"/>
      <c r="P192" s="458"/>
      <c r="Q192" s="459"/>
      <c r="R192" s="457"/>
      <c r="S192" s="458"/>
      <c r="T192" s="459"/>
      <c r="U192" s="457"/>
      <c r="V192" s="458"/>
      <c r="W192" s="459"/>
      <c r="X192" s="457"/>
      <c r="Y192" s="458"/>
      <c r="Z192" s="459"/>
      <c r="AA192" s="457"/>
      <c r="AB192" s="458"/>
      <c r="AC192" s="459">
        <f t="shared" si="69"/>
        <v>0</v>
      </c>
      <c r="AD192" s="457"/>
      <c r="AE192" s="458"/>
      <c r="AF192" s="459"/>
      <c r="AG192" s="457"/>
      <c r="AH192" s="458"/>
      <c r="AI192" s="459"/>
      <c r="AJ192" s="457"/>
      <c r="AK192" s="458"/>
      <c r="AL192" s="459"/>
      <c r="AM192" s="457"/>
      <c r="AN192" s="458"/>
      <c r="AO192" s="459">
        <f t="shared" si="73"/>
        <v>0</v>
      </c>
      <c r="AP192" s="457"/>
      <c r="AQ192" s="458"/>
      <c r="AR192" s="459">
        <f t="shared" si="74"/>
        <v>0</v>
      </c>
      <c r="AS192" s="457"/>
      <c r="AT192" s="458"/>
      <c r="AU192" s="459">
        <f t="shared" si="94"/>
        <v>0</v>
      </c>
      <c r="AV192" s="457"/>
      <c r="AW192" s="458"/>
      <c r="AX192" s="459">
        <f t="shared" si="95"/>
        <v>0</v>
      </c>
      <c r="AY192" s="457"/>
      <c r="AZ192" s="458"/>
      <c r="BA192" s="459">
        <f t="shared" si="96"/>
        <v>0</v>
      </c>
      <c r="BB192" s="457"/>
      <c r="BC192" s="458"/>
      <c r="BD192" s="459">
        <f t="shared" si="97"/>
        <v>0</v>
      </c>
    </row>
    <row r="193" spans="1:56" ht="12.75">
      <c r="A193" s="160"/>
      <c r="B193" s="219" t="s">
        <v>92</v>
      </c>
      <c r="C193" s="457">
        <v>7168</v>
      </c>
      <c r="D193" s="458">
        <v>7735</v>
      </c>
      <c r="E193" s="459">
        <f t="shared" si="65"/>
        <v>7.91015625</v>
      </c>
      <c r="F193" s="457">
        <v>17487</v>
      </c>
      <c r="G193" s="458">
        <v>19291</v>
      </c>
      <c r="H193" s="459">
        <f t="shared" si="76"/>
        <v>10.316234917367186</v>
      </c>
      <c r="I193" s="457">
        <v>6231</v>
      </c>
      <c r="J193" s="458">
        <v>6735</v>
      </c>
      <c r="K193" s="459">
        <f t="shared" si="77"/>
        <v>8.088589311506981</v>
      </c>
      <c r="L193" s="457">
        <v>11601</v>
      </c>
      <c r="M193" s="458">
        <v>12159</v>
      </c>
      <c r="N193" s="459">
        <f t="shared" si="78"/>
        <v>4.809930178432894</v>
      </c>
      <c r="O193" s="457"/>
      <c r="P193" s="458"/>
      <c r="Q193" s="459"/>
      <c r="R193" s="457"/>
      <c r="S193" s="458"/>
      <c r="T193" s="459"/>
      <c r="U193" s="457"/>
      <c r="V193" s="458"/>
      <c r="W193" s="459"/>
      <c r="X193" s="457"/>
      <c r="Y193" s="458"/>
      <c r="Z193" s="459"/>
      <c r="AA193" s="457"/>
      <c r="AB193" s="458"/>
      <c r="AC193" s="459">
        <f t="shared" si="69"/>
        <v>0</v>
      </c>
      <c r="AD193" s="457"/>
      <c r="AE193" s="458"/>
      <c r="AF193" s="459"/>
      <c r="AG193" s="457"/>
      <c r="AH193" s="458"/>
      <c r="AI193" s="459"/>
      <c r="AJ193" s="457"/>
      <c r="AK193" s="458"/>
      <c r="AL193" s="459"/>
      <c r="AM193" s="457"/>
      <c r="AN193" s="458"/>
      <c r="AO193" s="459">
        <f t="shared" si="73"/>
        <v>0</v>
      </c>
      <c r="AP193" s="457"/>
      <c r="AQ193" s="458"/>
      <c r="AR193" s="459">
        <f t="shared" si="74"/>
        <v>0</v>
      </c>
      <c r="AS193" s="457"/>
      <c r="AT193" s="458"/>
      <c r="AU193" s="459">
        <f t="shared" si="94"/>
        <v>0</v>
      </c>
      <c r="AV193" s="457"/>
      <c r="AW193" s="458"/>
      <c r="AX193" s="459">
        <f t="shared" si="95"/>
        <v>0</v>
      </c>
      <c r="AY193" s="457"/>
      <c r="AZ193" s="458"/>
      <c r="BA193" s="459">
        <f t="shared" si="96"/>
        <v>0</v>
      </c>
      <c r="BB193" s="457"/>
      <c r="BC193" s="458"/>
      <c r="BD193" s="459">
        <f t="shared" si="97"/>
        <v>0</v>
      </c>
    </row>
    <row r="194" spans="1:56" ht="12.75">
      <c r="A194" s="160"/>
      <c r="B194" s="219" t="s">
        <v>93</v>
      </c>
      <c r="C194" s="457">
        <v>7220</v>
      </c>
      <c r="D194" s="458">
        <v>7459</v>
      </c>
      <c r="E194" s="459">
        <f t="shared" si="65"/>
        <v>3.3102493074792245</v>
      </c>
      <c r="F194" s="457">
        <v>13930</v>
      </c>
      <c r="G194" s="458">
        <v>14489</v>
      </c>
      <c r="H194" s="459">
        <f t="shared" si="76"/>
        <v>4.012921751615219</v>
      </c>
      <c r="I194" s="457">
        <v>6995</v>
      </c>
      <c r="J194" s="458">
        <v>7278</v>
      </c>
      <c r="K194" s="459">
        <f t="shared" si="77"/>
        <v>4.045746962115797</v>
      </c>
      <c r="L194" s="457">
        <v>13780.5</v>
      </c>
      <c r="M194" s="458">
        <v>14301.5</v>
      </c>
      <c r="N194" s="459">
        <f t="shared" si="78"/>
        <v>3.78070461884547</v>
      </c>
      <c r="O194" s="457"/>
      <c r="P194" s="458"/>
      <c r="Q194" s="459"/>
      <c r="R194" s="457"/>
      <c r="S194" s="458"/>
      <c r="T194" s="459"/>
      <c r="U194" s="457"/>
      <c r="V194" s="458"/>
      <c r="W194" s="459"/>
      <c r="X194" s="457"/>
      <c r="Y194" s="458"/>
      <c r="Z194" s="459"/>
      <c r="AA194" s="457"/>
      <c r="AB194" s="458"/>
      <c r="AC194" s="459">
        <f t="shared" si="69"/>
        <v>0</v>
      </c>
      <c r="AD194" s="457"/>
      <c r="AE194" s="458"/>
      <c r="AF194" s="459"/>
      <c r="AG194" s="457"/>
      <c r="AH194" s="458"/>
      <c r="AI194" s="459"/>
      <c r="AJ194" s="457"/>
      <c r="AK194" s="458"/>
      <c r="AL194" s="459"/>
      <c r="AM194" s="457"/>
      <c r="AN194" s="458"/>
      <c r="AO194" s="459">
        <f t="shared" si="73"/>
        <v>0</v>
      </c>
      <c r="AP194" s="457"/>
      <c r="AQ194" s="458"/>
      <c r="AR194" s="459">
        <f t="shared" si="74"/>
        <v>0</v>
      </c>
      <c r="AS194" s="457"/>
      <c r="AT194" s="458"/>
      <c r="AU194" s="459">
        <f t="shared" si="94"/>
        <v>0</v>
      </c>
      <c r="AV194" s="457"/>
      <c r="AW194" s="458"/>
      <c r="AX194" s="459">
        <f t="shared" si="95"/>
        <v>0</v>
      </c>
      <c r="AY194" s="457"/>
      <c r="AZ194" s="458"/>
      <c r="BA194" s="459">
        <f t="shared" si="96"/>
        <v>0</v>
      </c>
      <c r="BB194" s="457"/>
      <c r="BC194" s="458"/>
      <c r="BD194" s="459">
        <f t="shared" si="97"/>
        <v>0</v>
      </c>
    </row>
    <row r="195" spans="1:56" ht="12.75">
      <c r="A195" s="160"/>
      <c r="B195" s="219" t="s">
        <v>94</v>
      </c>
      <c r="C195" s="457">
        <v>6944</v>
      </c>
      <c r="D195" s="458">
        <v>7383</v>
      </c>
      <c r="E195" s="459">
        <f aca="true" t="shared" si="98" ref="E195:E258">IF(C195&gt;0,(((D195-C195)/C195)*100),0)</f>
        <v>6.322004608294931</v>
      </c>
      <c r="F195" s="457">
        <v>13953</v>
      </c>
      <c r="G195" s="458">
        <v>14837</v>
      </c>
      <c r="H195" s="459">
        <f t="shared" si="76"/>
        <v>6.335555077761056</v>
      </c>
      <c r="I195" s="457">
        <v>8688</v>
      </c>
      <c r="J195" s="458">
        <v>9288</v>
      </c>
      <c r="K195" s="459">
        <f t="shared" si="77"/>
        <v>6.906077348066299</v>
      </c>
      <c r="L195" s="457">
        <v>18316</v>
      </c>
      <c r="M195" s="458">
        <v>19580</v>
      </c>
      <c r="N195" s="459">
        <f t="shared" si="78"/>
        <v>6.901070102642498</v>
      </c>
      <c r="O195" s="457"/>
      <c r="P195" s="458"/>
      <c r="Q195" s="459"/>
      <c r="R195" s="457"/>
      <c r="S195" s="458"/>
      <c r="T195" s="459"/>
      <c r="U195" s="457"/>
      <c r="V195" s="458"/>
      <c r="W195" s="459"/>
      <c r="X195" s="457"/>
      <c r="Y195" s="458"/>
      <c r="Z195" s="459"/>
      <c r="AA195" s="457"/>
      <c r="AB195" s="458"/>
      <c r="AC195" s="459">
        <f aca="true" t="shared" si="99" ref="AC195:AC258">IF(AA195&gt;0,(((AB195-AA195)/AA195)*100),0)</f>
        <v>0</v>
      </c>
      <c r="AD195" s="457"/>
      <c r="AE195" s="458"/>
      <c r="AF195" s="459"/>
      <c r="AG195" s="457"/>
      <c r="AH195" s="458"/>
      <c r="AI195" s="459"/>
      <c r="AJ195" s="457"/>
      <c r="AK195" s="458"/>
      <c r="AL195" s="459"/>
      <c r="AM195" s="457"/>
      <c r="AN195" s="458"/>
      <c r="AO195" s="459">
        <f aca="true" t="shared" si="100" ref="AO195:AO257">IF(AM195&gt;0,(((AN195-AM195)/AM195)*100),0)</f>
        <v>0</v>
      </c>
      <c r="AP195" s="457"/>
      <c r="AQ195" s="458"/>
      <c r="AR195" s="459">
        <f aca="true" t="shared" si="101" ref="AR195:AR257">IF(AP195&gt;0,(((AQ195-AP195)/AP195)*100),0)</f>
        <v>0</v>
      </c>
      <c r="AS195" s="457"/>
      <c r="AT195" s="458"/>
      <c r="AU195" s="459">
        <f t="shared" si="94"/>
        <v>0</v>
      </c>
      <c r="AV195" s="457"/>
      <c r="AW195" s="458"/>
      <c r="AX195" s="459">
        <f t="shared" si="95"/>
        <v>0</v>
      </c>
      <c r="AY195" s="457"/>
      <c r="AZ195" s="458"/>
      <c r="BA195" s="459">
        <f t="shared" si="96"/>
        <v>0</v>
      </c>
      <c r="BB195" s="457"/>
      <c r="BC195" s="458"/>
      <c r="BD195" s="459">
        <f t="shared" si="97"/>
        <v>0</v>
      </c>
    </row>
    <row r="196" spans="1:56" s="465" customFormat="1" ht="19.5" customHeight="1">
      <c r="A196" s="460"/>
      <c r="B196" s="461" t="s">
        <v>821</v>
      </c>
      <c r="C196" s="462">
        <v>7234</v>
      </c>
      <c r="D196" s="463">
        <v>7735</v>
      </c>
      <c r="E196" s="464">
        <f t="shared" si="98"/>
        <v>6.925628974288084</v>
      </c>
      <c r="F196" s="462">
        <v>16190</v>
      </c>
      <c r="G196" s="463">
        <v>16590</v>
      </c>
      <c r="H196" s="464">
        <f t="shared" si="76"/>
        <v>2.470660901791229</v>
      </c>
      <c r="I196" s="462">
        <v>7834</v>
      </c>
      <c r="J196" s="463">
        <v>7778</v>
      </c>
      <c r="K196" s="464">
        <f t="shared" si="77"/>
        <v>-0.7148327801889202</v>
      </c>
      <c r="L196" s="462">
        <v>16800</v>
      </c>
      <c r="M196" s="463">
        <v>16128</v>
      </c>
      <c r="N196" s="464">
        <f t="shared" si="78"/>
        <v>-4</v>
      </c>
      <c r="O196" s="462"/>
      <c r="P196" s="463"/>
      <c r="Q196" s="464"/>
      <c r="R196" s="462"/>
      <c r="S196" s="463"/>
      <c r="T196" s="464"/>
      <c r="U196" s="462"/>
      <c r="V196" s="463"/>
      <c r="W196" s="464"/>
      <c r="X196" s="462"/>
      <c r="Y196" s="463"/>
      <c r="Z196" s="464"/>
      <c r="AA196" s="462"/>
      <c r="AB196" s="463"/>
      <c r="AC196" s="464">
        <f t="shared" si="99"/>
        <v>0</v>
      </c>
      <c r="AD196" s="462"/>
      <c r="AE196" s="463"/>
      <c r="AF196" s="464"/>
      <c r="AG196" s="462"/>
      <c r="AH196" s="463"/>
      <c r="AI196" s="464"/>
      <c r="AJ196" s="462"/>
      <c r="AK196" s="463"/>
      <c r="AL196" s="464"/>
      <c r="AM196" s="462"/>
      <c r="AN196" s="463"/>
      <c r="AO196" s="464">
        <f t="shared" si="100"/>
        <v>0</v>
      </c>
      <c r="AP196" s="462"/>
      <c r="AQ196" s="463"/>
      <c r="AR196" s="464">
        <f t="shared" si="101"/>
        <v>0</v>
      </c>
      <c r="AS196" s="462"/>
      <c r="AT196" s="463"/>
      <c r="AU196" s="464">
        <f t="shared" si="94"/>
        <v>0</v>
      </c>
      <c r="AV196" s="462"/>
      <c r="AW196" s="463"/>
      <c r="AX196" s="464">
        <f t="shared" si="95"/>
        <v>0</v>
      </c>
      <c r="AY196" s="462"/>
      <c r="AZ196" s="463"/>
      <c r="BA196" s="464">
        <f t="shared" si="96"/>
        <v>0</v>
      </c>
      <c r="BB196" s="462"/>
      <c r="BC196" s="463"/>
      <c r="BD196" s="464">
        <f t="shared" si="97"/>
        <v>0</v>
      </c>
    </row>
    <row r="197" spans="1:56" ht="12.75">
      <c r="A197" s="160"/>
      <c r="B197" s="219" t="s">
        <v>95</v>
      </c>
      <c r="C197" s="457">
        <v>5724</v>
      </c>
      <c r="D197" s="458">
        <v>6250</v>
      </c>
      <c r="E197" s="459">
        <f t="shared" si="98"/>
        <v>9.189378057302585</v>
      </c>
      <c r="F197" s="457">
        <v>12756</v>
      </c>
      <c r="G197" s="458">
        <v>13912</v>
      </c>
      <c r="H197" s="459">
        <f t="shared" si="76"/>
        <v>9.062402006898715</v>
      </c>
      <c r="I197" s="457"/>
      <c r="J197" s="458"/>
      <c r="K197" s="459">
        <f t="shared" si="77"/>
        <v>0</v>
      </c>
      <c r="L197" s="457"/>
      <c r="M197" s="458"/>
      <c r="N197" s="459">
        <f t="shared" si="78"/>
        <v>0</v>
      </c>
      <c r="O197" s="457"/>
      <c r="P197" s="458"/>
      <c r="Q197" s="459"/>
      <c r="R197" s="457"/>
      <c r="S197" s="458"/>
      <c r="T197" s="459"/>
      <c r="U197" s="457"/>
      <c r="V197" s="458"/>
      <c r="W197" s="459"/>
      <c r="X197" s="457"/>
      <c r="Y197" s="458"/>
      <c r="Z197" s="459"/>
      <c r="AA197" s="457"/>
      <c r="AB197" s="458"/>
      <c r="AC197" s="459">
        <f t="shared" si="99"/>
        <v>0</v>
      </c>
      <c r="AD197" s="457"/>
      <c r="AE197" s="458"/>
      <c r="AF197" s="459">
        <f aca="true" t="shared" si="102" ref="AF197:AF257">IF(AD197&gt;0,(((AE197-AD197)/AD197)*100),0)</f>
        <v>0</v>
      </c>
      <c r="AG197" s="457"/>
      <c r="AH197" s="458"/>
      <c r="AI197" s="459">
        <f aca="true" t="shared" si="103" ref="AI197:AI257">IF(AG197&gt;0,(((AH197-AG197)/AG197)*100),0)</f>
        <v>0</v>
      </c>
      <c r="AJ197" s="457"/>
      <c r="AK197" s="458"/>
      <c r="AL197" s="459">
        <f aca="true" t="shared" si="104" ref="AL197:AL257">IF(AJ197&gt;0,(((AK197-AJ197)/AJ197)*100),0)</f>
        <v>0</v>
      </c>
      <c r="AM197" s="457"/>
      <c r="AN197" s="458"/>
      <c r="AO197" s="459">
        <f t="shared" si="100"/>
        <v>0</v>
      </c>
      <c r="AP197" s="457"/>
      <c r="AQ197" s="458"/>
      <c r="AR197" s="459">
        <f t="shared" si="101"/>
        <v>0</v>
      </c>
      <c r="AS197" s="457"/>
      <c r="AT197" s="458"/>
      <c r="AU197" s="459">
        <f t="shared" si="94"/>
        <v>0</v>
      </c>
      <c r="AV197" s="457"/>
      <c r="AW197" s="458"/>
      <c r="AX197" s="459">
        <f t="shared" si="95"/>
        <v>0</v>
      </c>
      <c r="AY197" s="457"/>
      <c r="AZ197" s="458"/>
      <c r="BA197" s="459">
        <f t="shared" si="96"/>
        <v>0</v>
      </c>
      <c r="BB197" s="457"/>
      <c r="BC197" s="458"/>
      <c r="BD197" s="459">
        <f t="shared" si="97"/>
        <v>0</v>
      </c>
    </row>
    <row r="198" spans="1:56" ht="12.75">
      <c r="A198" s="160"/>
      <c r="B198" s="219" t="s">
        <v>96</v>
      </c>
      <c r="C198" s="457">
        <v>3114</v>
      </c>
      <c r="D198" s="458">
        <v>3244</v>
      </c>
      <c r="E198" s="459">
        <f t="shared" si="98"/>
        <v>4.174694926140013</v>
      </c>
      <c r="F198" s="457">
        <v>6490</v>
      </c>
      <c r="G198" s="458">
        <v>6698</v>
      </c>
      <c r="H198" s="459">
        <f t="shared" si="76"/>
        <v>3.204930662557781</v>
      </c>
      <c r="I198" s="457"/>
      <c r="J198" s="458"/>
      <c r="K198" s="459">
        <f t="shared" si="77"/>
        <v>0</v>
      </c>
      <c r="L198" s="457"/>
      <c r="M198" s="458"/>
      <c r="N198" s="459">
        <f t="shared" si="78"/>
        <v>0</v>
      </c>
      <c r="O198" s="457"/>
      <c r="P198" s="458"/>
      <c r="Q198" s="459">
        <f aca="true" t="shared" si="105" ref="Q198:Q206">IF(O198&gt;0,(((P198-O198)/O198)*100),0)</f>
        <v>0</v>
      </c>
      <c r="R198" s="457"/>
      <c r="S198" s="458"/>
      <c r="T198" s="459">
        <f aca="true" t="shared" si="106" ref="T198:T206">IF(R198&gt;0,(((S198-R198)/R198)*100),0)</f>
        <v>0</v>
      </c>
      <c r="U198" s="457"/>
      <c r="V198" s="458"/>
      <c r="W198" s="459">
        <f t="shared" si="81"/>
        <v>0</v>
      </c>
      <c r="X198" s="457"/>
      <c r="Y198" s="458"/>
      <c r="Z198" s="459">
        <f aca="true" t="shared" si="107" ref="Z198:Z257">IF(X198&gt;0,(((Y198-X198)/X198)*100),0)</f>
        <v>0</v>
      </c>
      <c r="AA198" s="457"/>
      <c r="AB198" s="458"/>
      <c r="AC198" s="459">
        <f t="shared" si="99"/>
        <v>0</v>
      </c>
      <c r="AD198" s="457"/>
      <c r="AE198" s="458"/>
      <c r="AF198" s="459">
        <f t="shared" si="102"/>
        <v>0</v>
      </c>
      <c r="AG198" s="457"/>
      <c r="AH198" s="458"/>
      <c r="AI198" s="459">
        <f t="shared" si="103"/>
        <v>0</v>
      </c>
      <c r="AJ198" s="457"/>
      <c r="AK198" s="458"/>
      <c r="AL198" s="459">
        <f t="shared" si="104"/>
        <v>0</v>
      </c>
      <c r="AM198" s="457"/>
      <c r="AN198" s="458"/>
      <c r="AO198" s="459">
        <f t="shared" si="100"/>
        <v>0</v>
      </c>
      <c r="AP198" s="457"/>
      <c r="AQ198" s="458"/>
      <c r="AR198" s="459">
        <f t="shared" si="101"/>
        <v>0</v>
      </c>
      <c r="AS198" s="457"/>
      <c r="AT198" s="458"/>
      <c r="AU198" s="459">
        <f t="shared" si="94"/>
        <v>0</v>
      </c>
      <c r="AV198" s="457"/>
      <c r="AW198" s="458"/>
      <c r="AX198" s="459">
        <f t="shared" si="95"/>
        <v>0</v>
      </c>
      <c r="AY198" s="457"/>
      <c r="AZ198" s="458"/>
      <c r="BA198" s="459">
        <f t="shared" si="96"/>
        <v>0</v>
      </c>
      <c r="BB198" s="457"/>
      <c r="BC198" s="458"/>
      <c r="BD198" s="459">
        <f t="shared" si="97"/>
        <v>0</v>
      </c>
    </row>
    <row r="199" spans="1:56" ht="12.75">
      <c r="A199" s="160"/>
      <c r="B199" s="219" t="s">
        <v>97</v>
      </c>
      <c r="C199" s="457">
        <v>2956</v>
      </c>
      <c r="D199" s="458">
        <v>3124</v>
      </c>
      <c r="E199" s="459">
        <f t="shared" si="98"/>
        <v>5.683355886332882</v>
      </c>
      <c r="F199" s="457">
        <v>5170</v>
      </c>
      <c r="G199" s="458">
        <v>5286</v>
      </c>
      <c r="H199" s="459">
        <f t="shared" si="76"/>
        <v>2.243713733075435</v>
      </c>
      <c r="I199" s="457"/>
      <c r="J199" s="458"/>
      <c r="K199" s="459">
        <f t="shared" si="77"/>
        <v>0</v>
      </c>
      <c r="L199" s="457"/>
      <c r="M199" s="458"/>
      <c r="N199" s="459">
        <f t="shared" si="78"/>
        <v>0</v>
      </c>
      <c r="O199" s="457"/>
      <c r="P199" s="458"/>
      <c r="Q199" s="459">
        <f t="shared" si="105"/>
        <v>0</v>
      </c>
      <c r="R199" s="457"/>
      <c r="S199" s="458"/>
      <c r="T199" s="459">
        <f t="shared" si="106"/>
        <v>0</v>
      </c>
      <c r="U199" s="457"/>
      <c r="V199" s="458"/>
      <c r="W199" s="459">
        <f t="shared" si="81"/>
        <v>0</v>
      </c>
      <c r="X199" s="457"/>
      <c r="Y199" s="458"/>
      <c r="Z199" s="459">
        <f t="shared" si="107"/>
        <v>0</v>
      </c>
      <c r="AA199" s="457"/>
      <c r="AB199" s="458"/>
      <c r="AC199" s="459">
        <f t="shared" si="99"/>
        <v>0</v>
      </c>
      <c r="AD199" s="457"/>
      <c r="AE199" s="458"/>
      <c r="AF199" s="459">
        <f t="shared" si="102"/>
        <v>0</v>
      </c>
      <c r="AG199" s="457"/>
      <c r="AH199" s="458"/>
      <c r="AI199" s="459">
        <f t="shared" si="103"/>
        <v>0</v>
      </c>
      <c r="AJ199" s="457"/>
      <c r="AK199" s="458"/>
      <c r="AL199" s="459">
        <f t="shared" si="104"/>
        <v>0</v>
      </c>
      <c r="AM199" s="457"/>
      <c r="AN199" s="458"/>
      <c r="AO199" s="459">
        <f t="shared" si="100"/>
        <v>0</v>
      </c>
      <c r="AP199" s="457"/>
      <c r="AQ199" s="458"/>
      <c r="AR199" s="459">
        <f t="shared" si="101"/>
        <v>0</v>
      </c>
      <c r="AS199" s="457"/>
      <c r="AT199" s="458"/>
      <c r="AU199" s="459">
        <f t="shared" si="94"/>
        <v>0</v>
      </c>
      <c r="AV199" s="457"/>
      <c r="AW199" s="458"/>
      <c r="AX199" s="459">
        <f t="shared" si="95"/>
        <v>0</v>
      </c>
      <c r="AY199" s="457"/>
      <c r="AZ199" s="458"/>
      <c r="BA199" s="459">
        <f t="shared" si="96"/>
        <v>0</v>
      </c>
      <c r="BB199" s="457"/>
      <c r="BC199" s="458"/>
      <c r="BD199" s="459">
        <f t="shared" si="97"/>
        <v>0</v>
      </c>
    </row>
    <row r="200" spans="1:56" ht="12.75">
      <c r="A200" s="160"/>
      <c r="B200" s="219" t="s">
        <v>778</v>
      </c>
      <c r="C200" s="457">
        <v>3851</v>
      </c>
      <c r="D200" s="458">
        <v>4009</v>
      </c>
      <c r="E200" s="459">
        <f t="shared" si="98"/>
        <v>4.102830433653597</v>
      </c>
      <c r="F200" s="457">
        <v>8530</v>
      </c>
      <c r="G200" s="458">
        <v>9346</v>
      </c>
      <c r="H200" s="459">
        <f t="shared" si="76"/>
        <v>9.566236811254395</v>
      </c>
      <c r="I200" s="457"/>
      <c r="J200" s="458"/>
      <c r="K200" s="459">
        <f t="shared" si="77"/>
        <v>0</v>
      </c>
      <c r="L200" s="457"/>
      <c r="M200" s="458"/>
      <c r="N200" s="459">
        <f t="shared" si="78"/>
        <v>0</v>
      </c>
      <c r="O200" s="457"/>
      <c r="P200" s="458"/>
      <c r="Q200" s="459">
        <f t="shared" si="105"/>
        <v>0</v>
      </c>
      <c r="R200" s="457"/>
      <c r="S200" s="458"/>
      <c r="T200" s="459">
        <f t="shared" si="106"/>
        <v>0</v>
      </c>
      <c r="U200" s="457"/>
      <c r="V200" s="458"/>
      <c r="W200" s="459">
        <f t="shared" si="81"/>
        <v>0</v>
      </c>
      <c r="X200" s="457"/>
      <c r="Y200" s="458"/>
      <c r="Z200" s="459">
        <f t="shared" si="107"/>
        <v>0</v>
      </c>
      <c r="AA200" s="457"/>
      <c r="AB200" s="458"/>
      <c r="AC200" s="459">
        <f t="shared" si="99"/>
        <v>0</v>
      </c>
      <c r="AD200" s="457"/>
      <c r="AE200" s="458"/>
      <c r="AF200" s="459">
        <f t="shared" si="102"/>
        <v>0</v>
      </c>
      <c r="AG200" s="457"/>
      <c r="AH200" s="458"/>
      <c r="AI200" s="459">
        <f t="shared" si="103"/>
        <v>0</v>
      </c>
      <c r="AJ200" s="457"/>
      <c r="AK200" s="458"/>
      <c r="AL200" s="459">
        <f t="shared" si="104"/>
        <v>0</v>
      </c>
      <c r="AM200" s="457"/>
      <c r="AN200" s="458"/>
      <c r="AO200" s="459">
        <f t="shared" si="100"/>
        <v>0</v>
      </c>
      <c r="AP200" s="457"/>
      <c r="AQ200" s="458"/>
      <c r="AR200" s="459">
        <f t="shared" si="101"/>
        <v>0</v>
      </c>
      <c r="AS200" s="457"/>
      <c r="AT200" s="458"/>
      <c r="AU200" s="459">
        <f t="shared" si="94"/>
        <v>0</v>
      </c>
      <c r="AV200" s="457"/>
      <c r="AW200" s="458"/>
      <c r="AX200" s="459">
        <f t="shared" si="95"/>
        <v>0</v>
      </c>
      <c r="AY200" s="457"/>
      <c r="AZ200" s="458"/>
      <c r="BA200" s="459">
        <f t="shared" si="96"/>
        <v>0</v>
      </c>
      <c r="BB200" s="457"/>
      <c r="BC200" s="458"/>
      <c r="BD200" s="459">
        <f t="shared" si="97"/>
        <v>0</v>
      </c>
    </row>
    <row r="201" spans="1:56" s="465" customFormat="1" ht="20.25" customHeight="1">
      <c r="A201" s="460"/>
      <c r="B201" s="461" t="s">
        <v>426</v>
      </c>
      <c r="C201" s="462">
        <v>3094</v>
      </c>
      <c r="D201" s="463">
        <v>3190</v>
      </c>
      <c r="E201" s="464">
        <f t="shared" si="98"/>
        <v>3.1027795733678087</v>
      </c>
      <c r="F201" s="462">
        <v>5988</v>
      </c>
      <c r="G201" s="463">
        <v>6594</v>
      </c>
      <c r="H201" s="464">
        <f t="shared" si="76"/>
        <v>10.120240480961924</v>
      </c>
      <c r="I201" s="462"/>
      <c r="J201" s="463"/>
      <c r="K201" s="464">
        <f t="shared" si="77"/>
        <v>0</v>
      </c>
      <c r="L201" s="462"/>
      <c r="M201" s="463"/>
      <c r="N201" s="464">
        <f t="shared" si="78"/>
        <v>0</v>
      </c>
      <c r="O201" s="462"/>
      <c r="P201" s="463"/>
      <c r="Q201" s="464">
        <f t="shared" si="105"/>
        <v>0</v>
      </c>
      <c r="R201" s="462"/>
      <c r="S201" s="463"/>
      <c r="T201" s="464">
        <f t="shared" si="106"/>
        <v>0</v>
      </c>
      <c r="U201" s="462"/>
      <c r="V201" s="463"/>
      <c r="W201" s="464">
        <f t="shared" si="81"/>
        <v>0</v>
      </c>
      <c r="X201" s="462"/>
      <c r="Y201" s="463"/>
      <c r="Z201" s="464">
        <f t="shared" si="107"/>
        <v>0</v>
      </c>
      <c r="AA201" s="462"/>
      <c r="AB201" s="463"/>
      <c r="AC201" s="464">
        <f t="shared" si="99"/>
        <v>0</v>
      </c>
      <c r="AD201" s="462"/>
      <c r="AE201" s="463"/>
      <c r="AF201" s="464">
        <f t="shared" si="102"/>
        <v>0</v>
      </c>
      <c r="AG201" s="462"/>
      <c r="AH201" s="463"/>
      <c r="AI201" s="464">
        <f t="shared" si="103"/>
        <v>0</v>
      </c>
      <c r="AJ201" s="462"/>
      <c r="AK201" s="463"/>
      <c r="AL201" s="464">
        <f t="shared" si="104"/>
        <v>0</v>
      </c>
      <c r="AM201" s="462"/>
      <c r="AN201" s="463"/>
      <c r="AO201" s="464">
        <f t="shared" si="100"/>
        <v>0</v>
      </c>
      <c r="AP201" s="462"/>
      <c r="AQ201" s="463"/>
      <c r="AR201" s="464">
        <f t="shared" si="101"/>
        <v>0</v>
      </c>
      <c r="AS201" s="462"/>
      <c r="AT201" s="463"/>
      <c r="AU201" s="464">
        <f t="shared" si="94"/>
        <v>0</v>
      </c>
      <c r="AV201" s="462"/>
      <c r="AW201" s="463"/>
      <c r="AX201" s="464">
        <f t="shared" si="95"/>
        <v>0</v>
      </c>
      <c r="AY201" s="462"/>
      <c r="AZ201" s="463"/>
      <c r="BA201" s="464">
        <f t="shared" si="96"/>
        <v>0</v>
      </c>
      <c r="BB201" s="462"/>
      <c r="BC201" s="463"/>
      <c r="BD201" s="464">
        <f t="shared" si="97"/>
        <v>0</v>
      </c>
    </row>
    <row r="202" spans="1:56" ht="12.75">
      <c r="A202" s="160"/>
      <c r="B202" s="219" t="s">
        <v>779</v>
      </c>
      <c r="C202" s="457"/>
      <c r="D202" s="458"/>
      <c r="E202" s="459">
        <f t="shared" si="98"/>
        <v>0</v>
      </c>
      <c r="F202" s="457"/>
      <c r="G202" s="458"/>
      <c r="H202" s="459">
        <f t="shared" si="76"/>
        <v>0</v>
      </c>
      <c r="I202" s="457"/>
      <c r="J202" s="458"/>
      <c r="K202" s="459">
        <f t="shared" si="77"/>
        <v>0</v>
      </c>
      <c r="L202" s="457"/>
      <c r="M202" s="458"/>
      <c r="N202" s="459">
        <f t="shared" si="78"/>
        <v>0</v>
      </c>
      <c r="O202" s="457"/>
      <c r="P202" s="458"/>
      <c r="Q202" s="459">
        <f t="shared" si="105"/>
        <v>0</v>
      </c>
      <c r="R202" s="457"/>
      <c r="S202" s="458"/>
      <c r="T202" s="459">
        <f t="shared" si="106"/>
        <v>0</v>
      </c>
      <c r="U202" s="457"/>
      <c r="V202" s="458"/>
      <c r="W202" s="459">
        <f t="shared" si="81"/>
        <v>0</v>
      </c>
      <c r="X202" s="457"/>
      <c r="Y202" s="458"/>
      <c r="Z202" s="459">
        <f t="shared" si="107"/>
        <v>0</v>
      </c>
      <c r="AA202" s="457"/>
      <c r="AB202" s="458"/>
      <c r="AC202" s="459">
        <f t="shared" si="99"/>
        <v>0</v>
      </c>
      <c r="AD202" s="457"/>
      <c r="AE202" s="458"/>
      <c r="AF202" s="459">
        <f t="shared" si="102"/>
        <v>0</v>
      </c>
      <c r="AG202" s="457"/>
      <c r="AH202" s="458"/>
      <c r="AI202" s="459">
        <f t="shared" si="103"/>
        <v>0</v>
      </c>
      <c r="AJ202" s="457"/>
      <c r="AK202" s="458"/>
      <c r="AL202" s="459">
        <f t="shared" si="104"/>
        <v>0</v>
      </c>
      <c r="AM202" s="457"/>
      <c r="AN202" s="458"/>
      <c r="AO202" s="459">
        <f t="shared" si="100"/>
        <v>0</v>
      </c>
      <c r="AP202" s="457"/>
      <c r="AQ202" s="458"/>
      <c r="AR202" s="459">
        <f t="shared" si="101"/>
        <v>0</v>
      </c>
      <c r="AS202" s="457"/>
      <c r="AT202" s="458"/>
      <c r="AU202" s="459">
        <f t="shared" si="94"/>
        <v>0</v>
      </c>
      <c r="AV202" s="457"/>
      <c r="AW202" s="458"/>
      <c r="AX202" s="459">
        <f t="shared" si="95"/>
        <v>0</v>
      </c>
      <c r="AY202" s="457"/>
      <c r="AZ202" s="458"/>
      <c r="BA202" s="459">
        <f t="shared" si="96"/>
        <v>0</v>
      </c>
      <c r="BB202" s="457"/>
      <c r="BC202" s="458"/>
      <c r="BD202" s="459">
        <f t="shared" si="97"/>
        <v>0</v>
      </c>
    </row>
    <row r="203" spans="1:56" ht="12.75">
      <c r="A203" s="160"/>
      <c r="B203" s="219" t="s">
        <v>1015</v>
      </c>
      <c r="C203" s="457"/>
      <c r="D203" s="458"/>
      <c r="E203" s="459">
        <f t="shared" si="98"/>
        <v>0</v>
      </c>
      <c r="F203" s="457"/>
      <c r="G203" s="458"/>
      <c r="H203" s="459">
        <f t="shared" si="76"/>
        <v>0</v>
      </c>
      <c r="I203" s="457"/>
      <c r="J203" s="458"/>
      <c r="K203" s="459">
        <f t="shared" si="77"/>
        <v>0</v>
      </c>
      <c r="L203" s="457"/>
      <c r="M203" s="458"/>
      <c r="N203" s="459">
        <f t="shared" si="78"/>
        <v>0</v>
      </c>
      <c r="O203" s="457"/>
      <c r="P203" s="458"/>
      <c r="Q203" s="459">
        <f t="shared" si="105"/>
        <v>0</v>
      </c>
      <c r="R203" s="457"/>
      <c r="S203" s="458"/>
      <c r="T203" s="459">
        <f t="shared" si="106"/>
        <v>0</v>
      </c>
      <c r="U203" s="457"/>
      <c r="V203" s="458"/>
      <c r="W203" s="459">
        <f t="shared" si="81"/>
        <v>0</v>
      </c>
      <c r="X203" s="457"/>
      <c r="Y203" s="458"/>
      <c r="Z203" s="459">
        <f t="shared" si="107"/>
        <v>0</v>
      </c>
      <c r="AA203" s="457"/>
      <c r="AB203" s="458"/>
      <c r="AC203" s="459">
        <f t="shared" si="99"/>
        <v>0</v>
      </c>
      <c r="AD203" s="457"/>
      <c r="AE203" s="458"/>
      <c r="AF203" s="459">
        <f t="shared" si="102"/>
        <v>0</v>
      </c>
      <c r="AG203" s="457"/>
      <c r="AH203" s="458"/>
      <c r="AI203" s="459">
        <f t="shared" si="103"/>
        <v>0</v>
      </c>
      <c r="AJ203" s="457"/>
      <c r="AK203" s="458"/>
      <c r="AL203" s="459">
        <f t="shared" si="104"/>
        <v>0</v>
      </c>
      <c r="AM203" s="457"/>
      <c r="AN203" s="458"/>
      <c r="AO203" s="459">
        <f t="shared" si="100"/>
        <v>0</v>
      </c>
      <c r="AP203" s="457"/>
      <c r="AQ203" s="458"/>
      <c r="AR203" s="459">
        <f t="shared" si="101"/>
        <v>0</v>
      </c>
      <c r="AS203" s="457"/>
      <c r="AT203" s="458"/>
      <c r="AU203" s="459">
        <f t="shared" si="94"/>
        <v>0</v>
      </c>
      <c r="AV203" s="457"/>
      <c r="AW203" s="458"/>
      <c r="AX203" s="459">
        <f t="shared" si="95"/>
        <v>0</v>
      </c>
      <c r="AY203" s="457"/>
      <c r="AZ203" s="458"/>
      <c r="BA203" s="459">
        <f t="shared" si="96"/>
        <v>0</v>
      </c>
      <c r="BB203" s="457"/>
      <c r="BC203" s="458"/>
      <c r="BD203" s="459">
        <f t="shared" si="97"/>
        <v>0</v>
      </c>
    </row>
    <row r="204" spans="1:56" ht="12.75">
      <c r="A204" s="160"/>
      <c r="B204" s="219" t="s">
        <v>1016</v>
      </c>
      <c r="C204" s="457"/>
      <c r="D204" s="458"/>
      <c r="E204" s="459">
        <f t="shared" si="98"/>
        <v>0</v>
      </c>
      <c r="F204" s="457"/>
      <c r="G204" s="458"/>
      <c r="H204" s="459">
        <f t="shared" si="76"/>
        <v>0</v>
      </c>
      <c r="I204" s="457"/>
      <c r="J204" s="458"/>
      <c r="K204" s="459">
        <f t="shared" si="77"/>
        <v>0</v>
      </c>
      <c r="L204" s="457"/>
      <c r="M204" s="458"/>
      <c r="N204" s="459">
        <f t="shared" si="78"/>
        <v>0</v>
      </c>
      <c r="O204" s="457"/>
      <c r="P204" s="458"/>
      <c r="Q204" s="459">
        <f t="shared" si="105"/>
        <v>0</v>
      </c>
      <c r="R204" s="457"/>
      <c r="S204" s="458"/>
      <c r="T204" s="459">
        <f t="shared" si="106"/>
        <v>0</v>
      </c>
      <c r="U204" s="457"/>
      <c r="V204" s="458"/>
      <c r="W204" s="459">
        <f t="shared" si="81"/>
        <v>0</v>
      </c>
      <c r="X204" s="457"/>
      <c r="Y204" s="458"/>
      <c r="Z204" s="459">
        <f t="shared" si="107"/>
        <v>0</v>
      </c>
      <c r="AA204" s="457"/>
      <c r="AB204" s="458"/>
      <c r="AC204" s="459">
        <f t="shared" si="99"/>
        <v>0</v>
      </c>
      <c r="AD204" s="457"/>
      <c r="AE204" s="458"/>
      <c r="AF204" s="459">
        <f t="shared" si="102"/>
        <v>0</v>
      </c>
      <c r="AG204" s="457"/>
      <c r="AH204" s="458"/>
      <c r="AI204" s="459">
        <f t="shared" si="103"/>
        <v>0</v>
      </c>
      <c r="AJ204" s="457"/>
      <c r="AK204" s="458"/>
      <c r="AL204" s="459">
        <f t="shared" si="104"/>
        <v>0</v>
      </c>
      <c r="AM204" s="457"/>
      <c r="AN204" s="458"/>
      <c r="AO204" s="459">
        <f t="shared" si="100"/>
        <v>0</v>
      </c>
      <c r="AP204" s="457"/>
      <c r="AQ204" s="458"/>
      <c r="AR204" s="459">
        <f t="shared" si="101"/>
        <v>0</v>
      </c>
      <c r="AS204" s="457"/>
      <c r="AT204" s="458"/>
      <c r="AU204" s="459">
        <f t="shared" si="94"/>
        <v>0</v>
      </c>
      <c r="AV204" s="457"/>
      <c r="AW204" s="458"/>
      <c r="AX204" s="459">
        <f t="shared" si="95"/>
        <v>0</v>
      </c>
      <c r="AY204" s="457"/>
      <c r="AZ204" s="458"/>
      <c r="BA204" s="459">
        <f t="shared" si="96"/>
        <v>0</v>
      </c>
      <c r="BB204" s="457"/>
      <c r="BC204" s="458"/>
      <c r="BD204" s="459">
        <f t="shared" si="97"/>
        <v>0</v>
      </c>
    </row>
    <row r="205" spans="1:56" s="465" customFormat="1" ht="21.75" customHeight="1">
      <c r="A205" s="460"/>
      <c r="B205" s="461" t="s">
        <v>978</v>
      </c>
      <c r="C205" s="462"/>
      <c r="D205" s="463"/>
      <c r="E205" s="464">
        <f t="shared" si="98"/>
        <v>0</v>
      </c>
      <c r="F205" s="462"/>
      <c r="G205" s="463"/>
      <c r="H205" s="464">
        <f t="shared" si="76"/>
        <v>0</v>
      </c>
      <c r="I205" s="462"/>
      <c r="J205" s="463"/>
      <c r="K205" s="464">
        <f t="shared" si="77"/>
        <v>0</v>
      </c>
      <c r="L205" s="462"/>
      <c r="M205" s="463"/>
      <c r="N205" s="464">
        <f t="shared" si="78"/>
        <v>0</v>
      </c>
      <c r="O205" s="462"/>
      <c r="P205" s="463"/>
      <c r="Q205" s="464">
        <f t="shared" si="105"/>
        <v>0</v>
      </c>
      <c r="R205" s="462"/>
      <c r="S205" s="463"/>
      <c r="T205" s="464">
        <f t="shared" si="106"/>
        <v>0</v>
      </c>
      <c r="U205" s="462"/>
      <c r="V205" s="463"/>
      <c r="W205" s="464">
        <f t="shared" si="81"/>
        <v>0</v>
      </c>
      <c r="X205" s="462"/>
      <c r="Y205" s="463"/>
      <c r="Z205" s="464">
        <f t="shared" si="107"/>
        <v>0</v>
      </c>
      <c r="AA205" s="462"/>
      <c r="AB205" s="463"/>
      <c r="AC205" s="464">
        <f t="shared" si="99"/>
        <v>0</v>
      </c>
      <c r="AD205" s="462"/>
      <c r="AE205" s="463"/>
      <c r="AF205" s="464">
        <f t="shared" si="102"/>
        <v>0</v>
      </c>
      <c r="AG205" s="462"/>
      <c r="AH205" s="463"/>
      <c r="AI205" s="464">
        <f t="shared" si="103"/>
        <v>0</v>
      </c>
      <c r="AJ205" s="462"/>
      <c r="AK205" s="463"/>
      <c r="AL205" s="464">
        <f t="shared" si="104"/>
        <v>0</v>
      </c>
      <c r="AM205" s="462"/>
      <c r="AN205" s="463"/>
      <c r="AO205" s="464">
        <f t="shared" si="100"/>
        <v>0</v>
      </c>
      <c r="AP205" s="462"/>
      <c r="AQ205" s="463"/>
      <c r="AR205" s="464">
        <f t="shared" si="101"/>
        <v>0</v>
      </c>
      <c r="AS205" s="462"/>
      <c r="AT205" s="463"/>
      <c r="AU205" s="464">
        <f t="shared" si="94"/>
        <v>0</v>
      </c>
      <c r="AV205" s="462"/>
      <c r="AW205" s="463"/>
      <c r="AX205" s="464">
        <f t="shared" si="95"/>
        <v>0</v>
      </c>
      <c r="AY205" s="462"/>
      <c r="AZ205" s="463"/>
      <c r="BA205" s="464">
        <f t="shared" si="96"/>
        <v>0</v>
      </c>
      <c r="BB205" s="462"/>
      <c r="BC205" s="463"/>
      <c r="BD205" s="464">
        <f t="shared" si="97"/>
        <v>0</v>
      </c>
    </row>
    <row r="206" spans="1:56" ht="12.75">
      <c r="A206" s="466"/>
      <c r="B206" s="467" t="s">
        <v>781</v>
      </c>
      <c r="C206" s="468"/>
      <c r="D206" s="469"/>
      <c r="E206" s="471">
        <f t="shared" si="98"/>
        <v>0</v>
      </c>
      <c r="F206" s="468"/>
      <c r="G206" s="469"/>
      <c r="H206" s="471">
        <f t="shared" si="76"/>
        <v>0</v>
      </c>
      <c r="I206" s="468"/>
      <c r="J206" s="469"/>
      <c r="K206" s="471">
        <f t="shared" si="77"/>
        <v>0</v>
      </c>
      <c r="L206" s="468"/>
      <c r="M206" s="469"/>
      <c r="N206" s="471">
        <f t="shared" si="78"/>
        <v>0</v>
      </c>
      <c r="O206" s="468">
        <v>15984</v>
      </c>
      <c r="P206" s="469">
        <v>16764</v>
      </c>
      <c r="Q206" s="471">
        <f t="shared" si="105"/>
        <v>4.87987987987988</v>
      </c>
      <c r="R206" s="468">
        <v>31876</v>
      </c>
      <c r="S206" s="469">
        <v>33450</v>
      </c>
      <c r="T206" s="471">
        <f t="shared" si="106"/>
        <v>4.937884301668967</v>
      </c>
      <c r="U206" s="468">
        <v>21092</v>
      </c>
      <c r="V206" s="469">
        <v>22907</v>
      </c>
      <c r="W206" s="471">
        <f t="shared" si="81"/>
        <v>8.605158353878247</v>
      </c>
      <c r="X206" s="468">
        <v>60306</v>
      </c>
      <c r="Y206" s="469">
        <v>62830</v>
      </c>
      <c r="Z206" s="471">
        <f t="shared" si="107"/>
        <v>4.185321526879581</v>
      </c>
      <c r="AA206" s="468">
        <v>16272</v>
      </c>
      <c r="AB206" s="469">
        <v>19204</v>
      </c>
      <c r="AC206" s="471">
        <f t="shared" si="99"/>
        <v>18.018682399213372</v>
      </c>
      <c r="AD206" s="468">
        <v>45496</v>
      </c>
      <c r="AE206" s="469">
        <v>53686</v>
      </c>
      <c r="AF206" s="471">
        <f t="shared" si="102"/>
        <v>18.001582556708282</v>
      </c>
      <c r="AG206" s="468">
        <v>15500</v>
      </c>
      <c r="AH206" s="469">
        <v>16340</v>
      </c>
      <c r="AI206" s="471">
        <f t="shared" si="103"/>
        <v>5.419354838709677</v>
      </c>
      <c r="AJ206" s="468">
        <v>31000</v>
      </c>
      <c r="AK206" s="469">
        <v>32680</v>
      </c>
      <c r="AL206" s="471">
        <f t="shared" si="104"/>
        <v>5.419354838709677</v>
      </c>
      <c r="AM206" s="468"/>
      <c r="AN206" s="469"/>
      <c r="AO206" s="471">
        <f t="shared" si="100"/>
        <v>0</v>
      </c>
      <c r="AP206" s="468"/>
      <c r="AQ206" s="469"/>
      <c r="AR206" s="471">
        <f t="shared" si="101"/>
        <v>0</v>
      </c>
      <c r="AS206" s="468"/>
      <c r="AT206" s="469"/>
      <c r="AU206" s="471">
        <f t="shared" si="94"/>
        <v>0</v>
      </c>
      <c r="AV206" s="468"/>
      <c r="AW206" s="469"/>
      <c r="AX206" s="471">
        <f t="shared" si="95"/>
        <v>0</v>
      </c>
      <c r="AY206" s="468"/>
      <c r="AZ206" s="469"/>
      <c r="BA206" s="471">
        <f t="shared" si="96"/>
        <v>0</v>
      </c>
      <c r="BB206" s="468"/>
      <c r="BC206" s="469"/>
      <c r="BD206" s="471">
        <f t="shared" si="97"/>
        <v>0</v>
      </c>
    </row>
    <row r="207" spans="1:56" ht="12.75">
      <c r="A207" s="158" t="s">
        <v>815</v>
      </c>
      <c r="B207" s="219" t="s">
        <v>89</v>
      </c>
      <c r="C207" s="457">
        <v>5622</v>
      </c>
      <c r="D207" s="458">
        <v>5932</v>
      </c>
      <c r="E207" s="459">
        <f t="shared" si="98"/>
        <v>5.514051938811811</v>
      </c>
      <c r="F207" s="457">
        <v>17188</v>
      </c>
      <c r="G207" s="458">
        <v>18174</v>
      </c>
      <c r="H207" s="459">
        <f t="shared" si="76"/>
        <v>5.736560390970444</v>
      </c>
      <c r="I207" s="457">
        <v>6366</v>
      </c>
      <c r="J207" s="458">
        <v>6720</v>
      </c>
      <c r="K207" s="459">
        <f t="shared" si="77"/>
        <v>5.5607917059377945</v>
      </c>
      <c r="L207" s="457">
        <v>17932</v>
      </c>
      <c r="M207" s="458">
        <v>18962</v>
      </c>
      <c r="N207" s="459">
        <f t="shared" si="78"/>
        <v>5.743921481151014</v>
      </c>
      <c r="O207" s="457"/>
      <c r="P207" s="458"/>
      <c r="Q207" s="459"/>
      <c r="R207" s="457"/>
      <c r="S207" s="458"/>
      <c r="T207" s="459"/>
      <c r="U207" s="457"/>
      <c r="V207" s="458"/>
      <c r="W207" s="459"/>
      <c r="X207" s="457"/>
      <c r="Y207" s="458"/>
      <c r="Z207" s="459"/>
      <c r="AA207" s="457"/>
      <c r="AB207" s="458"/>
      <c r="AC207" s="459">
        <f t="shared" si="99"/>
        <v>0</v>
      </c>
      <c r="AD207" s="457"/>
      <c r="AE207" s="458"/>
      <c r="AF207" s="459">
        <f t="shared" si="102"/>
        <v>0</v>
      </c>
      <c r="AG207" s="457"/>
      <c r="AH207" s="458"/>
      <c r="AI207" s="459">
        <f t="shared" si="103"/>
        <v>0</v>
      </c>
      <c r="AJ207" s="457"/>
      <c r="AK207" s="458"/>
      <c r="AL207" s="459">
        <f t="shared" si="104"/>
        <v>0</v>
      </c>
      <c r="AM207" s="457"/>
      <c r="AN207" s="458"/>
      <c r="AO207" s="459">
        <f t="shared" si="100"/>
        <v>0</v>
      </c>
      <c r="AP207" s="457"/>
      <c r="AQ207" s="458"/>
      <c r="AR207" s="459">
        <f t="shared" si="101"/>
        <v>0</v>
      </c>
      <c r="AS207" s="457"/>
      <c r="AT207" s="458"/>
      <c r="AU207" s="459">
        <f aca="true" t="shared" si="108" ref="AU207:AU223">IF(AS207&gt;0,(((AT207-AS207)/AS207)*100),0)</f>
        <v>0</v>
      </c>
      <c r="AV207" s="457"/>
      <c r="AW207" s="458"/>
      <c r="AX207" s="459">
        <f aca="true" t="shared" si="109" ref="AX207:AX223">IF(AV207&gt;0,(((AW207-AV207)/AV207)*100),0)</f>
        <v>0</v>
      </c>
      <c r="AY207" s="457"/>
      <c r="AZ207" s="458"/>
      <c r="BA207" s="459">
        <f aca="true" t="shared" si="110" ref="BA207:BA223">IF(AY207&gt;0,(((AZ207-AY207)/AY207)*100),0)</f>
        <v>0</v>
      </c>
      <c r="BB207" s="457"/>
      <c r="BC207" s="458"/>
      <c r="BD207" s="459">
        <f aca="true" t="shared" si="111" ref="BD207:BD223">IF(BB207&gt;0,(((BC207-BB207)/BB207)*100),0)</f>
        <v>0</v>
      </c>
    </row>
    <row r="208" spans="1:56" ht="12.75">
      <c r="A208" s="160"/>
      <c r="B208" s="219" t="s">
        <v>90</v>
      </c>
      <c r="C208" s="457">
        <v>5256</v>
      </c>
      <c r="D208" s="458">
        <v>5802</v>
      </c>
      <c r="E208" s="459">
        <f t="shared" si="98"/>
        <v>10.388127853881278</v>
      </c>
      <c r="F208" s="457">
        <v>15472</v>
      </c>
      <c r="G208" s="458">
        <v>16630</v>
      </c>
      <c r="H208" s="459">
        <f t="shared" si="76"/>
        <v>7.484488107549121</v>
      </c>
      <c r="I208" s="457">
        <v>6372</v>
      </c>
      <c r="J208" s="458">
        <v>6990</v>
      </c>
      <c r="K208" s="459">
        <f t="shared" si="77"/>
        <v>9.698681732580038</v>
      </c>
      <c r="L208" s="457">
        <v>16588</v>
      </c>
      <c r="M208" s="458">
        <v>17818</v>
      </c>
      <c r="N208" s="459">
        <f t="shared" si="78"/>
        <v>7.41499879430914</v>
      </c>
      <c r="O208" s="457"/>
      <c r="P208" s="458"/>
      <c r="Q208" s="459"/>
      <c r="R208" s="457"/>
      <c r="S208" s="458"/>
      <c r="T208" s="459"/>
      <c r="U208" s="457"/>
      <c r="V208" s="458"/>
      <c r="W208" s="459"/>
      <c r="X208" s="457"/>
      <c r="Y208" s="458"/>
      <c r="Z208" s="459"/>
      <c r="AA208" s="457"/>
      <c r="AB208" s="458"/>
      <c r="AC208" s="459">
        <f t="shared" si="99"/>
        <v>0</v>
      </c>
      <c r="AD208" s="457"/>
      <c r="AE208" s="458"/>
      <c r="AF208" s="459">
        <f t="shared" si="102"/>
        <v>0</v>
      </c>
      <c r="AG208" s="457"/>
      <c r="AH208" s="458"/>
      <c r="AI208" s="459">
        <f t="shared" si="103"/>
        <v>0</v>
      </c>
      <c r="AJ208" s="457"/>
      <c r="AK208" s="458"/>
      <c r="AL208" s="459">
        <f t="shared" si="104"/>
        <v>0</v>
      </c>
      <c r="AM208" s="457"/>
      <c r="AN208" s="458"/>
      <c r="AO208" s="459">
        <f t="shared" si="100"/>
        <v>0</v>
      </c>
      <c r="AP208" s="457"/>
      <c r="AQ208" s="458"/>
      <c r="AR208" s="459">
        <f t="shared" si="101"/>
        <v>0</v>
      </c>
      <c r="AS208" s="457"/>
      <c r="AT208" s="458"/>
      <c r="AU208" s="459">
        <f t="shared" si="108"/>
        <v>0</v>
      </c>
      <c r="AV208" s="457"/>
      <c r="AW208" s="458"/>
      <c r="AX208" s="459">
        <f t="shared" si="109"/>
        <v>0</v>
      </c>
      <c r="AY208" s="457"/>
      <c r="AZ208" s="458"/>
      <c r="BA208" s="459">
        <f t="shared" si="110"/>
        <v>0</v>
      </c>
      <c r="BB208" s="457"/>
      <c r="BC208" s="458"/>
      <c r="BD208" s="459">
        <f t="shared" si="111"/>
        <v>0</v>
      </c>
    </row>
    <row r="209" spans="1:56" ht="12.75">
      <c r="A209" s="160"/>
      <c r="B209" s="219" t="s">
        <v>91</v>
      </c>
      <c r="C209" s="457">
        <v>4662.5</v>
      </c>
      <c r="D209" s="458">
        <v>4974.5</v>
      </c>
      <c r="E209" s="459">
        <f t="shared" si="98"/>
        <v>6.691689008042895</v>
      </c>
      <c r="F209" s="457">
        <v>14279.5</v>
      </c>
      <c r="G209" s="458">
        <v>15147.5</v>
      </c>
      <c r="H209" s="459">
        <f t="shared" si="76"/>
        <v>6.078644210231451</v>
      </c>
      <c r="I209" s="457">
        <v>5895.5</v>
      </c>
      <c r="J209" s="458">
        <v>6259.5</v>
      </c>
      <c r="K209" s="459">
        <f t="shared" si="77"/>
        <v>6.174200661521499</v>
      </c>
      <c r="L209" s="457">
        <v>15589.5</v>
      </c>
      <c r="M209" s="458">
        <v>16535.5</v>
      </c>
      <c r="N209" s="459">
        <f t="shared" si="78"/>
        <v>6.068186920683793</v>
      </c>
      <c r="O209" s="457"/>
      <c r="P209" s="458"/>
      <c r="Q209" s="459"/>
      <c r="R209" s="457"/>
      <c r="S209" s="458"/>
      <c r="T209" s="459"/>
      <c r="U209" s="457"/>
      <c r="V209" s="458"/>
      <c r="W209" s="459"/>
      <c r="X209" s="457"/>
      <c r="Y209" s="458"/>
      <c r="Z209" s="459"/>
      <c r="AA209" s="457"/>
      <c r="AB209" s="458"/>
      <c r="AC209" s="459">
        <f t="shared" si="99"/>
        <v>0</v>
      </c>
      <c r="AD209" s="457"/>
      <c r="AE209" s="458"/>
      <c r="AF209" s="459">
        <f t="shared" si="102"/>
        <v>0</v>
      </c>
      <c r="AG209" s="457"/>
      <c r="AH209" s="458"/>
      <c r="AI209" s="459">
        <f t="shared" si="103"/>
        <v>0</v>
      </c>
      <c r="AJ209" s="457"/>
      <c r="AK209" s="458"/>
      <c r="AL209" s="459">
        <f t="shared" si="104"/>
        <v>0</v>
      </c>
      <c r="AM209" s="457"/>
      <c r="AN209" s="458"/>
      <c r="AO209" s="459">
        <f t="shared" si="100"/>
        <v>0</v>
      </c>
      <c r="AP209" s="457"/>
      <c r="AQ209" s="458"/>
      <c r="AR209" s="459">
        <f t="shared" si="101"/>
        <v>0</v>
      </c>
      <c r="AS209" s="457"/>
      <c r="AT209" s="458"/>
      <c r="AU209" s="459">
        <f t="shared" si="108"/>
        <v>0</v>
      </c>
      <c r="AV209" s="457"/>
      <c r="AW209" s="458"/>
      <c r="AX209" s="459">
        <f t="shared" si="109"/>
        <v>0</v>
      </c>
      <c r="AY209" s="457"/>
      <c r="AZ209" s="458"/>
      <c r="BA209" s="459">
        <f t="shared" si="110"/>
        <v>0</v>
      </c>
      <c r="BB209" s="457"/>
      <c r="BC209" s="458"/>
      <c r="BD209" s="459">
        <f t="shared" si="111"/>
        <v>0</v>
      </c>
    </row>
    <row r="210" spans="1:56" ht="12.75">
      <c r="A210" s="160"/>
      <c r="B210" s="219" t="s">
        <v>92</v>
      </c>
      <c r="C210" s="457">
        <v>4699.5</v>
      </c>
      <c r="D210" s="458">
        <v>5109</v>
      </c>
      <c r="E210" s="459">
        <f t="shared" si="98"/>
        <v>8.71369294605809</v>
      </c>
      <c r="F210" s="457">
        <v>14393.5</v>
      </c>
      <c r="G210" s="458">
        <v>15385</v>
      </c>
      <c r="H210" s="459">
        <f t="shared" si="76"/>
        <v>6.888526070795846</v>
      </c>
      <c r="I210" s="457">
        <v>6009.5</v>
      </c>
      <c r="J210" s="458">
        <v>6497</v>
      </c>
      <c r="K210" s="459">
        <f t="shared" si="77"/>
        <v>8.112155753390466</v>
      </c>
      <c r="L210" s="457">
        <v>15703.5</v>
      </c>
      <c r="M210" s="458">
        <v>16773</v>
      </c>
      <c r="N210" s="459">
        <f t="shared" si="78"/>
        <v>6.810583627853663</v>
      </c>
      <c r="O210" s="457"/>
      <c r="P210" s="458"/>
      <c r="Q210" s="459"/>
      <c r="R210" s="457"/>
      <c r="S210" s="458"/>
      <c r="T210" s="459"/>
      <c r="U210" s="457"/>
      <c r="V210" s="458"/>
      <c r="W210" s="459"/>
      <c r="X210" s="457"/>
      <c r="Y210" s="458"/>
      <c r="Z210" s="459"/>
      <c r="AA210" s="457"/>
      <c r="AB210" s="458"/>
      <c r="AC210" s="459">
        <f t="shared" si="99"/>
        <v>0</v>
      </c>
      <c r="AD210" s="457"/>
      <c r="AE210" s="458"/>
      <c r="AF210" s="459">
        <f t="shared" si="102"/>
        <v>0</v>
      </c>
      <c r="AG210" s="457"/>
      <c r="AH210" s="458"/>
      <c r="AI210" s="459">
        <f t="shared" si="103"/>
        <v>0</v>
      </c>
      <c r="AJ210" s="457"/>
      <c r="AK210" s="458"/>
      <c r="AL210" s="459">
        <f t="shared" si="104"/>
        <v>0</v>
      </c>
      <c r="AM210" s="457"/>
      <c r="AN210" s="458"/>
      <c r="AO210" s="459">
        <f t="shared" si="100"/>
        <v>0</v>
      </c>
      <c r="AP210" s="457"/>
      <c r="AQ210" s="458"/>
      <c r="AR210" s="459">
        <f t="shared" si="101"/>
        <v>0</v>
      </c>
      <c r="AS210" s="457"/>
      <c r="AT210" s="458"/>
      <c r="AU210" s="459">
        <f t="shared" si="108"/>
        <v>0</v>
      </c>
      <c r="AV210" s="457"/>
      <c r="AW210" s="458"/>
      <c r="AX210" s="459">
        <f t="shared" si="109"/>
        <v>0</v>
      </c>
      <c r="AY210" s="457"/>
      <c r="AZ210" s="458"/>
      <c r="BA210" s="459">
        <f t="shared" si="110"/>
        <v>0</v>
      </c>
      <c r="BB210" s="457"/>
      <c r="BC210" s="458"/>
      <c r="BD210" s="459">
        <f t="shared" si="111"/>
        <v>0</v>
      </c>
    </row>
    <row r="211" spans="1:56" ht="12.75">
      <c r="A211" s="160"/>
      <c r="B211" s="219" t="s">
        <v>93</v>
      </c>
      <c r="C211" s="457">
        <v>4665</v>
      </c>
      <c r="D211" s="458">
        <v>5005</v>
      </c>
      <c r="E211" s="459">
        <f t="shared" si="98"/>
        <v>7.288317256162916</v>
      </c>
      <c r="F211" s="457">
        <v>14137</v>
      </c>
      <c r="G211" s="458">
        <v>15045</v>
      </c>
      <c r="H211" s="459">
        <f t="shared" si="76"/>
        <v>6.422861993350781</v>
      </c>
      <c r="I211" s="457">
        <v>5400</v>
      </c>
      <c r="J211" s="458">
        <v>5803</v>
      </c>
      <c r="K211" s="459">
        <f t="shared" si="77"/>
        <v>7.462962962962963</v>
      </c>
      <c r="L211" s="457">
        <v>14872</v>
      </c>
      <c r="M211" s="458">
        <v>15843</v>
      </c>
      <c r="N211" s="459">
        <f t="shared" si="78"/>
        <v>6.529047875201721</v>
      </c>
      <c r="O211" s="457"/>
      <c r="P211" s="458"/>
      <c r="Q211" s="459"/>
      <c r="R211" s="457"/>
      <c r="S211" s="458"/>
      <c r="T211" s="459"/>
      <c r="U211" s="457"/>
      <c r="V211" s="458"/>
      <c r="W211" s="459"/>
      <c r="X211" s="457"/>
      <c r="Y211" s="458"/>
      <c r="Z211" s="459"/>
      <c r="AA211" s="457"/>
      <c r="AB211" s="458"/>
      <c r="AC211" s="459">
        <f t="shared" si="99"/>
        <v>0</v>
      </c>
      <c r="AD211" s="457"/>
      <c r="AE211" s="458"/>
      <c r="AF211" s="459">
        <f t="shared" si="102"/>
        <v>0</v>
      </c>
      <c r="AG211" s="457"/>
      <c r="AH211" s="458"/>
      <c r="AI211" s="459">
        <f t="shared" si="103"/>
        <v>0</v>
      </c>
      <c r="AJ211" s="457"/>
      <c r="AK211" s="458"/>
      <c r="AL211" s="459">
        <f t="shared" si="104"/>
        <v>0</v>
      </c>
      <c r="AM211" s="457"/>
      <c r="AN211" s="458"/>
      <c r="AO211" s="459">
        <f t="shared" si="100"/>
        <v>0</v>
      </c>
      <c r="AP211" s="457"/>
      <c r="AQ211" s="458"/>
      <c r="AR211" s="459">
        <f t="shared" si="101"/>
        <v>0</v>
      </c>
      <c r="AS211" s="457"/>
      <c r="AT211" s="458"/>
      <c r="AU211" s="459">
        <f t="shared" si="108"/>
        <v>0</v>
      </c>
      <c r="AV211" s="457"/>
      <c r="AW211" s="458"/>
      <c r="AX211" s="459">
        <f t="shared" si="109"/>
        <v>0</v>
      </c>
      <c r="AY211" s="457"/>
      <c r="AZ211" s="458"/>
      <c r="BA211" s="459">
        <f t="shared" si="110"/>
        <v>0</v>
      </c>
      <c r="BB211" s="457"/>
      <c r="BC211" s="458"/>
      <c r="BD211" s="459">
        <f t="shared" si="111"/>
        <v>0</v>
      </c>
    </row>
    <row r="212" spans="1:56" ht="12.75">
      <c r="A212" s="160"/>
      <c r="B212" s="219" t="s">
        <v>94</v>
      </c>
      <c r="C212" s="457"/>
      <c r="D212" s="458"/>
      <c r="E212" s="459">
        <f t="shared" si="98"/>
        <v>0</v>
      </c>
      <c r="F212" s="457"/>
      <c r="G212" s="458"/>
      <c r="H212" s="459">
        <f aca="true" t="shared" si="112" ref="H212:H275">IF(F212&gt;0,(((G212-F212)/F212)*100),0)</f>
        <v>0</v>
      </c>
      <c r="I212" s="457"/>
      <c r="J212" s="458"/>
      <c r="K212" s="459">
        <f aca="true" t="shared" si="113" ref="K212:K275">IF(I212&gt;0,(((J212-I212)/I212)*100),0)</f>
        <v>0</v>
      </c>
      <c r="L212" s="457"/>
      <c r="M212" s="458"/>
      <c r="N212" s="459">
        <f aca="true" t="shared" si="114" ref="N212:N275">IF(L212&gt;0,(((M212-L212)/L212)*100),0)</f>
        <v>0</v>
      </c>
      <c r="O212" s="457"/>
      <c r="P212" s="458"/>
      <c r="Q212" s="459"/>
      <c r="R212" s="457"/>
      <c r="S212" s="458"/>
      <c r="T212" s="459"/>
      <c r="U212" s="457"/>
      <c r="V212" s="458"/>
      <c r="W212" s="459"/>
      <c r="X212" s="457"/>
      <c r="Y212" s="458"/>
      <c r="Z212" s="459"/>
      <c r="AA212" s="457"/>
      <c r="AB212" s="458"/>
      <c r="AC212" s="459">
        <f t="shared" si="99"/>
        <v>0</v>
      </c>
      <c r="AD212" s="457"/>
      <c r="AE212" s="458"/>
      <c r="AF212" s="459">
        <f t="shared" si="102"/>
        <v>0</v>
      </c>
      <c r="AG212" s="457"/>
      <c r="AH212" s="458"/>
      <c r="AI212" s="459">
        <f t="shared" si="103"/>
        <v>0</v>
      </c>
      <c r="AJ212" s="457"/>
      <c r="AK212" s="458"/>
      <c r="AL212" s="459">
        <f t="shared" si="104"/>
        <v>0</v>
      </c>
      <c r="AM212" s="457"/>
      <c r="AN212" s="458"/>
      <c r="AO212" s="459">
        <f t="shared" si="100"/>
        <v>0</v>
      </c>
      <c r="AP212" s="457"/>
      <c r="AQ212" s="458"/>
      <c r="AR212" s="459">
        <f t="shared" si="101"/>
        <v>0</v>
      </c>
      <c r="AS212" s="457"/>
      <c r="AT212" s="458"/>
      <c r="AU212" s="459">
        <f t="shared" si="108"/>
        <v>0</v>
      </c>
      <c r="AV212" s="457"/>
      <c r="AW212" s="458"/>
      <c r="AX212" s="459">
        <f t="shared" si="109"/>
        <v>0</v>
      </c>
      <c r="AY212" s="457"/>
      <c r="AZ212" s="458"/>
      <c r="BA212" s="459">
        <f t="shared" si="110"/>
        <v>0</v>
      </c>
      <c r="BB212" s="457"/>
      <c r="BC212" s="458"/>
      <c r="BD212" s="459">
        <f t="shared" si="111"/>
        <v>0</v>
      </c>
    </row>
    <row r="213" spans="1:56" s="465" customFormat="1" ht="19.5" customHeight="1">
      <c r="A213" s="460"/>
      <c r="B213" s="461" t="s">
        <v>821</v>
      </c>
      <c r="C213" s="462">
        <v>4688</v>
      </c>
      <c r="D213" s="463">
        <v>5062</v>
      </c>
      <c r="E213" s="464">
        <f t="shared" si="98"/>
        <v>7.977815699658702</v>
      </c>
      <c r="F213" s="462">
        <v>14331</v>
      </c>
      <c r="G213" s="463">
        <v>15256</v>
      </c>
      <c r="H213" s="464">
        <f t="shared" si="112"/>
        <v>6.454539111018073</v>
      </c>
      <c r="I213" s="462">
        <v>5947</v>
      </c>
      <c r="J213" s="463">
        <v>6368</v>
      </c>
      <c r="K213" s="464">
        <f t="shared" si="113"/>
        <v>7.079199596435178</v>
      </c>
      <c r="L213" s="462">
        <v>15641</v>
      </c>
      <c r="M213" s="463">
        <v>16644</v>
      </c>
      <c r="N213" s="464">
        <f t="shared" si="114"/>
        <v>6.412633463333546</v>
      </c>
      <c r="O213" s="462"/>
      <c r="P213" s="463"/>
      <c r="Q213" s="464"/>
      <c r="R213" s="462"/>
      <c r="S213" s="463"/>
      <c r="T213" s="464"/>
      <c r="U213" s="462"/>
      <c r="V213" s="463"/>
      <c r="W213" s="464"/>
      <c r="X213" s="462"/>
      <c r="Y213" s="463"/>
      <c r="Z213" s="464"/>
      <c r="AA213" s="462"/>
      <c r="AB213" s="463"/>
      <c r="AC213" s="464">
        <f t="shared" si="99"/>
        <v>0</v>
      </c>
      <c r="AD213" s="462"/>
      <c r="AE213" s="463"/>
      <c r="AF213" s="464">
        <f t="shared" si="102"/>
        <v>0</v>
      </c>
      <c r="AG213" s="462"/>
      <c r="AH213" s="463"/>
      <c r="AI213" s="464">
        <f t="shared" si="103"/>
        <v>0</v>
      </c>
      <c r="AJ213" s="462"/>
      <c r="AK213" s="463"/>
      <c r="AL213" s="464">
        <f t="shared" si="104"/>
        <v>0</v>
      </c>
      <c r="AM213" s="462"/>
      <c r="AN213" s="463"/>
      <c r="AO213" s="464">
        <f t="shared" si="100"/>
        <v>0</v>
      </c>
      <c r="AP213" s="462"/>
      <c r="AQ213" s="463"/>
      <c r="AR213" s="464">
        <f t="shared" si="101"/>
        <v>0</v>
      </c>
      <c r="AS213" s="462"/>
      <c r="AT213" s="463"/>
      <c r="AU213" s="464">
        <f t="shared" si="108"/>
        <v>0</v>
      </c>
      <c r="AV213" s="462"/>
      <c r="AW213" s="463"/>
      <c r="AX213" s="464">
        <f t="shared" si="109"/>
        <v>0</v>
      </c>
      <c r="AY213" s="462"/>
      <c r="AZ213" s="463"/>
      <c r="BA213" s="464">
        <f t="shared" si="110"/>
        <v>0</v>
      </c>
      <c r="BB213" s="462"/>
      <c r="BC213" s="463"/>
      <c r="BD213" s="464">
        <f t="shared" si="111"/>
        <v>0</v>
      </c>
    </row>
    <row r="214" spans="1:56" ht="12.75">
      <c r="A214" s="160"/>
      <c r="B214" s="219" t="s">
        <v>95</v>
      </c>
      <c r="C214" s="457"/>
      <c r="D214" s="458"/>
      <c r="E214" s="459">
        <f t="shared" si="98"/>
        <v>0</v>
      </c>
      <c r="F214" s="457"/>
      <c r="G214" s="458"/>
      <c r="H214" s="459">
        <f t="shared" si="112"/>
        <v>0</v>
      </c>
      <c r="I214" s="457"/>
      <c r="J214" s="458"/>
      <c r="K214" s="459">
        <f t="shared" si="113"/>
        <v>0</v>
      </c>
      <c r="L214" s="457"/>
      <c r="M214" s="458"/>
      <c r="N214" s="459">
        <f t="shared" si="114"/>
        <v>0</v>
      </c>
      <c r="O214" s="457"/>
      <c r="P214" s="458"/>
      <c r="Q214" s="459"/>
      <c r="R214" s="457"/>
      <c r="S214" s="458"/>
      <c r="T214" s="459"/>
      <c r="U214" s="457"/>
      <c r="V214" s="458"/>
      <c r="W214" s="459"/>
      <c r="X214" s="457"/>
      <c r="Y214" s="458"/>
      <c r="Z214" s="459"/>
      <c r="AA214" s="457"/>
      <c r="AB214" s="458"/>
      <c r="AC214" s="459">
        <f t="shared" si="99"/>
        <v>0</v>
      </c>
      <c r="AD214" s="457"/>
      <c r="AE214" s="458"/>
      <c r="AF214" s="459">
        <f t="shared" si="102"/>
        <v>0</v>
      </c>
      <c r="AG214" s="457"/>
      <c r="AH214" s="458"/>
      <c r="AI214" s="459">
        <f t="shared" si="103"/>
        <v>0</v>
      </c>
      <c r="AJ214" s="457"/>
      <c r="AK214" s="458"/>
      <c r="AL214" s="459">
        <f t="shared" si="104"/>
        <v>0</v>
      </c>
      <c r="AM214" s="457"/>
      <c r="AN214" s="458"/>
      <c r="AO214" s="459">
        <f t="shared" si="100"/>
        <v>0</v>
      </c>
      <c r="AP214" s="457"/>
      <c r="AQ214" s="458"/>
      <c r="AR214" s="459">
        <f t="shared" si="101"/>
        <v>0</v>
      </c>
      <c r="AS214" s="457"/>
      <c r="AT214" s="458"/>
      <c r="AU214" s="459">
        <f t="shared" si="108"/>
        <v>0</v>
      </c>
      <c r="AV214" s="457"/>
      <c r="AW214" s="458"/>
      <c r="AX214" s="459">
        <f t="shared" si="109"/>
        <v>0</v>
      </c>
      <c r="AY214" s="457"/>
      <c r="AZ214" s="458"/>
      <c r="BA214" s="459">
        <f t="shared" si="110"/>
        <v>0</v>
      </c>
      <c r="BB214" s="457"/>
      <c r="BC214" s="458"/>
      <c r="BD214" s="459">
        <f t="shared" si="111"/>
        <v>0</v>
      </c>
    </row>
    <row r="215" spans="1:56" ht="12.75">
      <c r="A215" s="160"/>
      <c r="B215" s="219" t="s">
        <v>96</v>
      </c>
      <c r="C215" s="457">
        <v>2503</v>
      </c>
      <c r="D215" s="458">
        <v>2649</v>
      </c>
      <c r="E215" s="459">
        <f t="shared" si="98"/>
        <v>5.833000399520576</v>
      </c>
      <c r="F215" s="457">
        <v>9179</v>
      </c>
      <c r="G215" s="458">
        <v>9725</v>
      </c>
      <c r="H215" s="459">
        <f t="shared" si="112"/>
        <v>5.948360387841813</v>
      </c>
      <c r="I215" s="457"/>
      <c r="J215" s="458"/>
      <c r="K215" s="459">
        <f t="shared" si="113"/>
        <v>0</v>
      </c>
      <c r="L215" s="457"/>
      <c r="M215" s="458"/>
      <c r="N215" s="459">
        <f t="shared" si="114"/>
        <v>0</v>
      </c>
      <c r="O215" s="457"/>
      <c r="P215" s="458"/>
      <c r="Q215" s="459"/>
      <c r="R215" s="457"/>
      <c r="S215" s="458"/>
      <c r="T215" s="459"/>
      <c r="U215" s="457"/>
      <c r="V215" s="458"/>
      <c r="W215" s="459"/>
      <c r="X215" s="457"/>
      <c r="Y215" s="458"/>
      <c r="Z215" s="459"/>
      <c r="AA215" s="457"/>
      <c r="AB215" s="458"/>
      <c r="AC215" s="459">
        <f t="shared" si="99"/>
        <v>0</v>
      </c>
      <c r="AD215" s="457"/>
      <c r="AE215" s="458"/>
      <c r="AF215" s="459">
        <f t="shared" si="102"/>
        <v>0</v>
      </c>
      <c r="AG215" s="457"/>
      <c r="AH215" s="458"/>
      <c r="AI215" s="459">
        <f t="shared" si="103"/>
        <v>0</v>
      </c>
      <c r="AJ215" s="457"/>
      <c r="AK215" s="458"/>
      <c r="AL215" s="459">
        <f t="shared" si="104"/>
        <v>0</v>
      </c>
      <c r="AM215" s="457"/>
      <c r="AN215" s="458"/>
      <c r="AO215" s="459">
        <f t="shared" si="100"/>
        <v>0</v>
      </c>
      <c r="AP215" s="457"/>
      <c r="AQ215" s="458"/>
      <c r="AR215" s="459">
        <f t="shared" si="101"/>
        <v>0</v>
      </c>
      <c r="AS215" s="457"/>
      <c r="AT215" s="458"/>
      <c r="AU215" s="459">
        <f t="shared" si="108"/>
        <v>0</v>
      </c>
      <c r="AV215" s="457"/>
      <c r="AW215" s="458"/>
      <c r="AX215" s="459">
        <f t="shared" si="109"/>
        <v>0</v>
      </c>
      <c r="AY215" s="457"/>
      <c r="AZ215" s="458"/>
      <c r="BA215" s="459">
        <f t="shared" si="110"/>
        <v>0</v>
      </c>
      <c r="BB215" s="457"/>
      <c r="BC215" s="458"/>
      <c r="BD215" s="459">
        <f t="shared" si="111"/>
        <v>0</v>
      </c>
    </row>
    <row r="216" spans="1:56" ht="12.75">
      <c r="A216" s="160"/>
      <c r="B216" s="219" t="s">
        <v>97</v>
      </c>
      <c r="C216" s="457">
        <v>2479</v>
      </c>
      <c r="D216" s="458">
        <v>2625</v>
      </c>
      <c r="E216" s="459">
        <f t="shared" si="98"/>
        <v>5.889471561113352</v>
      </c>
      <c r="F216" s="457">
        <v>9155</v>
      </c>
      <c r="G216" s="458">
        <v>9701</v>
      </c>
      <c r="H216" s="459">
        <f t="shared" si="112"/>
        <v>5.9639541234298195</v>
      </c>
      <c r="I216" s="457"/>
      <c r="J216" s="458"/>
      <c r="K216" s="459">
        <f t="shared" si="113"/>
        <v>0</v>
      </c>
      <c r="L216" s="457"/>
      <c r="M216" s="458"/>
      <c r="N216" s="459">
        <f t="shared" si="114"/>
        <v>0</v>
      </c>
      <c r="O216" s="457"/>
      <c r="P216" s="458"/>
      <c r="Q216" s="459">
        <f aca="true" t="shared" si="115" ref="Q216:Q223">IF(O216&gt;0,(((P216-O216)/O216)*100),0)</f>
        <v>0</v>
      </c>
      <c r="R216" s="457"/>
      <c r="S216" s="458"/>
      <c r="T216" s="459">
        <f aca="true" t="shared" si="116" ref="T216:T223">IF(R216&gt;0,(((S216-R216)/R216)*100),0)</f>
        <v>0</v>
      </c>
      <c r="U216" s="457"/>
      <c r="V216" s="458"/>
      <c r="W216" s="459">
        <f t="shared" si="81"/>
        <v>0</v>
      </c>
      <c r="X216" s="457"/>
      <c r="Y216" s="458"/>
      <c r="Z216" s="459">
        <f t="shared" si="107"/>
        <v>0</v>
      </c>
      <c r="AA216" s="457"/>
      <c r="AB216" s="458"/>
      <c r="AC216" s="459">
        <f t="shared" si="99"/>
        <v>0</v>
      </c>
      <c r="AD216" s="457"/>
      <c r="AE216" s="458"/>
      <c r="AF216" s="459">
        <f t="shared" si="102"/>
        <v>0</v>
      </c>
      <c r="AG216" s="457"/>
      <c r="AH216" s="458"/>
      <c r="AI216" s="459">
        <f t="shared" si="103"/>
        <v>0</v>
      </c>
      <c r="AJ216" s="457"/>
      <c r="AK216" s="458"/>
      <c r="AL216" s="459">
        <f t="shared" si="104"/>
        <v>0</v>
      </c>
      <c r="AM216" s="457"/>
      <c r="AN216" s="458"/>
      <c r="AO216" s="459">
        <f t="shared" si="100"/>
        <v>0</v>
      </c>
      <c r="AP216" s="457"/>
      <c r="AQ216" s="458"/>
      <c r="AR216" s="459">
        <f t="shared" si="101"/>
        <v>0</v>
      </c>
      <c r="AS216" s="457"/>
      <c r="AT216" s="458"/>
      <c r="AU216" s="459">
        <f t="shared" si="108"/>
        <v>0</v>
      </c>
      <c r="AV216" s="457"/>
      <c r="AW216" s="458"/>
      <c r="AX216" s="459">
        <f t="shared" si="109"/>
        <v>0</v>
      </c>
      <c r="AY216" s="457"/>
      <c r="AZ216" s="458"/>
      <c r="BA216" s="459">
        <f t="shared" si="110"/>
        <v>0</v>
      </c>
      <c r="BB216" s="457"/>
      <c r="BC216" s="458"/>
      <c r="BD216" s="459">
        <f t="shared" si="111"/>
        <v>0</v>
      </c>
    </row>
    <row r="217" spans="1:56" ht="12.75">
      <c r="A217" s="160"/>
      <c r="B217" s="219" t="s">
        <v>778</v>
      </c>
      <c r="C217" s="457">
        <v>2481</v>
      </c>
      <c r="D217" s="458">
        <v>2635</v>
      </c>
      <c r="E217" s="459">
        <f t="shared" si="98"/>
        <v>6.207174526400645</v>
      </c>
      <c r="F217" s="457">
        <v>9157</v>
      </c>
      <c r="G217" s="458">
        <v>9711</v>
      </c>
      <c r="H217" s="459">
        <f t="shared" si="112"/>
        <v>6.050016380910779</v>
      </c>
      <c r="I217" s="457"/>
      <c r="J217" s="458"/>
      <c r="K217" s="459">
        <f t="shared" si="113"/>
        <v>0</v>
      </c>
      <c r="L217" s="457"/>
      <c r="M217" s="458"/>
      <c r="N217" s="459">
        <f t="shared" si="114"/>
        <v>0</v>
      </c>
      <c r="O217" s="457"/>
      <c r="P217" s="458"/>
      <c r="Q217" s="459">
        <f t="shared" si="115"/>
        <v>0</v>
      </c>
      <c r="R217" s="457"/>
      <c r="S217" s="458"/>
      <c r="T217" s="459">
        <f t="shared" si="116"/>
        <v>0</v>
      </c>
      <c r="U217" s="457"/>
      <c r="V217" s="458"/>
      <c r="W217" s="459">
        <f t="shared" si="81"/>
        <v>0</v>
      </c>
      <c r="X217" s="457"/>
      <c r="Y217" s="458"/>
      <c r="Z217" s="459">
        <f t="shared" si="107"/>
        <v>0</v>
      </c>
      <c r="AA217" s="457"/>
      <c r="AB217" s="458"/>
      <c r="AC217" s="459">
        <f t="shared" si="99"/>
        <v>0</v>
      </c>
      <c r="AD217" s="457"/>
      <c r="AE217" s="458"/>
      <c r="AF217" s="459">
        <f t="shared" si="102"/>
        <v>0</v>
      </c>
      <c r="AG217" s="457"/>
      <c r="AH217" s="458"/>
      <c r="AI217" s="459">
        <f t="shared" si="103"/>
        <v>0</v>
      </c>
      <c r="AJ217" s="457"/>
      <c r="AK217" s="458"/>
      <c r="AL217" s="459">
        <f t="shared" si="104"/>
        <v>0</v>
      </c>
      <c r="AM217" s="457"/>
      <c r="AN217" s="458"/>
      <c r="AO217" s="459">
        <f t="shared" si="100"/>
        <v>0</v>
      </c>
      <c r="AP217" s="457"/>
      <c r="AQ217" s="458"/>
      <c r="AR217" s="459">
        <f t="shared" si="101"/>
        <v>0</v>
      </c>
      <c r="AS217" s="457"/>
      <c r="AT217" s="458"/>
      <c r="AU217" s="459">
        <f t="shared" si="108"/>
        <v>0</v>
      </c>
      <c r="AV217" s="457"/>
      <c r="AW217" s="458"/>
      <c r="AX217" s="459">
        <f t="shared" si="109"/>
        <v>0</v>
      </c>
      <c r="AY217" s="457"/>
      <c r="AZ217" s="458"/>
      <c r="BA217" s="459">
        <f t="shared" si="110"/>
        <v>0</v>
      </c>
      <c r="BB217" s="457"/>
      <c r="BC217" s="458"/>
      <c r="BD217" s="459">
        <f t="shared" si="111"/>
        <v>0</v>
      </c>
    </row>
    <row r="218" spans="1:56" s="465" customFormat="1" ht="20.25" customHeight="1">
      <c r="A218" s="460"/>
      <c r="B218" s="461" t="s">
        <v>426</v>
      </c>
      <c r="C218" s="462">
        <v>2483</v>
      </c>
      <c r="D218" s="463">
        <v>2627</v>
      </c>
      <c r="E218" s="464">
        <f t="shared" si="98"/>
        <v>5.799436165928312</v>
      </c>
      <c r="F218" s="462">
        <v>9159</v>
      </c>
      <c r="G218" s="463">
        <v>9703</v>
      </c>
      <c r="H218" s="464">
        <f t="shared" si="112"/>
        <v>5.939513047275904</v>
      </c>
      <c r="I218" s="462"/>
      <c r="J218" s="463"/>
      <c r="K218" s="464">
        <f t="shared" si="113"/>
        <v>0</v>
      </c>
      <c r="L218" s="462"/>
      <c r="M218" s="463"/>
      <c r="N218" s="464">
        <f t="shared" si="114"/>
        <v>0</v>
      </c>
      <c r="O218" s="462"/>
      <c r="P218" s="463"/>
      <c r="Q218" s="464">
        <f t="shared" si="115"/>
        <v>0</v>
      </c>
      <c r="R218" s="462"/>
      <c r="S218" s="463"/>
      <c r="T218" s="464">
        <f t="shared" si="116"/>
        <v>0</v>
      </c>
      <c r="U218" s="462"/>
      <c r="V218" s="463"/>
      <c r="W218" s="464">
        <f t="shared" si="81"/>
        <v>0</v>
      </c>
      <c r="X218" s="462"/>
      <c r="Y218" s="463"/>
      <c r="Z218" s="464">
        <f t="shared" si="107"/>
        <v>0</v>
      </c>
      <c r="AA218" s="462"/>
      <c r="AB218" s="463"/>
      <c r="AC218" s="464">
        <f t="shared" si="99"/>
        <v>0</v>
      </c>
      <c r="AD218" s="462"/>
      <c r="AE218" s="463"/>
      <c r="AF218" s="464">
        <f t="shared" si="102"/>
        <v>0</v>
      </c>
      <c r="AG218" s="462"/>
      <c r="AH218" s="463"/>
      <c r="AI218" s="464">
        <f t="shared" si="103"/>
        <v>0</v>
      </c>
      <c r="AJ218" s="462"/>
      <c r="AK218" s="463"/>
      <c r="AL218" s="464">
        <f t="shared" si="104"/>
        <v>0</v>
      </c>
      <c r="AM218" s="462"/>
      <c r="AN218" s="463"/>
      <c r="AO218" s="464">
        <f t="shared" si="100"/>
        <v>0</v>
      </c>
      <c r="AP218" s="462"/>
      <c r="AQ218" s="463"/>
      <c r="AR218" s="464">
        <f t="shared" si="101"/>
        <v>0</v>
      </c>
      <c r="AS218" s="462"/>
      <c r="AT218" s="463"/>
      <c r="AU218" s="464">
        <f t="shared" si="108"/>
        <v>0</v>
      </c>
      <c r="AV218" s="462"/>
      <c r="AW218" s="463"/>
      <c r="AX218" s="464">
        <f t="shared" si="109"/>
        <v>0</v>
      </c>
      <c r="AY218" s="462"/>
      <c r="AZ218" s="463"/>
      <c r="BA218" s="464">
        <f t="shared" si="110"/>
        <v>0</v>
      </c>
      <c r="BB218" s="462"/>
      <c r="BC218" s="463"/>
      <c r="BD218" s="464">
        <f t="shared" si="111"/>
        <v>0</v>
      </c>
    </row>
    <row r="219" spans="1:56" ht="12.75">
      <c r="A219" s="160"/>
      <c r="B219" s="219" t="s">
        <v>779</v>
      </c>
      <c r="C219" s="457"/>
      <c r="D219" s="458"/>
      <c r="E219" s="459">
        <f t="shared" si="98"/>
        <v>0</v>
      </c>
      <c r="F219" s="457"/>
      <c r="G219" s="458"/>
      <c r="H219" s="459">
        <f t="shared" si="112"/>
        <v>0</v>
      </c>
      <c r="I219" s="457"/>
      <c r="J219" s="458"/>
      <c r="K219" s="459">
        <f t="shared" si="113"/>
        <v>0</v>
      </c>
      <c r="L219" s="457"/>
      <c r="M219" s="458"/>
      <c r="N219" s="459">
        <f t="shared" si="114"/>
        <v>0</v>
      </c>
      <c r="O219" s="457"/>
      <c r="P219" s="458"/>
      <c r="Q219" s="459">
        <f t="shared" si="115"/>
        <v>0</v>
      </c>
      <c r="R219" s="457"/>
      <c r="S219" s="458"/>
      <c r="T219" s="459">
        <f t="shared" si="116"/>
        <v>0</v>
      </c>
      <c r="U219" s="457"/>
      <c r="V219" s="458"/>
      <c r="W219" s="459">
        <f t="shared" si="81"/>
        <v>0</v>
      </c>
      <c r="X219" s="457"/>
      <c r="Y219" s="458"/>
      <c r="Z219" s="459">
        <f t="shared" si="107"/>
        <v>0</v>
      </c>
      <c r="AA219" s="457"/>
      <c r="AB219" s="458"/>
      <c r="AC219" s="459">
        <f t="shared" si="99"/>
        <v>0</v>
      </c>
      <c r="AD219" s="457"/>
      <c r="AE219" s="458"/>
      <c r="AF219" s="459">
        <f t="shared" si="102"/>
        <v>0</v>
      </c>
      <c r="AG219" s="457"/>
      <c r="AH219" s="458"/>
      <c r="AI219" s="459">
        <f t="shared" si="103"/>
        <v>0</v>
      </c>
      <c r="AJ219" s="457"/>
      <c r="AK219" s="458"/>
      <c r="AL219" s="459">
        <f t="shared" si="104"/>
        <v>0</v>
      </c>
      <c r="AM219" s="457"/>
      <c r="AN219" s="458"/>
      <c r="AO219" s="459">
        <f t="shared" si="100"/>
        <v>0</v>
      </c>
      <c r="AP219" s="457"/>
      <c r="AQ219" s="458"/>
      <c r="AR219" s="459">
        <f t="shared" si="101"/>
        <v>0</v>
      </c>
      <c r="AS219" s="457"/>
      <c r="AT219" s="458"/>
      <c r="AU219" s="459">
        <f t="shared" si="108"/>
        <v>0</v>
      </c>
      <c r="AV219" s="457"/>
      <c r="AW219" s="458"/>
      <c r="AX219" s="459">
        <f t="shared" si="109"/>
        <v>0</v>
      </c>
      <c r="AY219" s="457"/>
      <c r="AZ219" s="458"/>
      <c r="BA219" s="459">
        <f t="shared" si="110"/>
        <v>0</v>
      </c>
      <c r="BB219" s="457"/>
      <c r="BC219" s="458"/>
      <c r="BD219" s="459">
        <f t="shared" si="111"/>
        <v>0</v>
      </c>
    </row>
    <row r="220" spans="1:56" ht="12.75">
      <c r="A220" s="160"/>
      <c r="B220" s="219" t="s">
        <v>1015</v>
      </c>
      <c r="C220" s="457">
        <v>2057</v>
      </c>
      <c r="D220" s="458">
        <v>2168</v>
      </c>
      <c r="E220" s="459">
        <f t="shared" si="98"/>
        <v>5.396208070004861</v>
      </c>
      <c r="F220" s="457"/>
      <c r="G220" s="458"/>
      <c r="H220" s="459">
        <f t="shared" si="112"/>
        <v>0</v>
      </c>
      <c r="I220" s="457"/>
      <c r="J220" s="458"/>
      <c r="K220" s="459">
        <f t="shared" si="113"/>
        <v>0</v>
      </c>
      <c r="L220" s="457"/>
      <c r="M220" s="458"/>
      <c r="N220" s="459">
        <f t="shared" si="114"/>
        <v>0</v>
      </c>
      <c r="O220" s="457"/>
      <c r="P220" s="458"/>
      <c r="Q220" s="459">
        <f t="shared" si="115"/>
        <v>0</v>
      </c>
      <c r="R220" s="457"/>
      <c r="S220" s="458"/>
      <c r="T220" s="459">
        <f t="shared" si="116"/>
        <v>0</v>
      </c>
      <c r="U220" s="457"/>
      <c r="V220" s="458"/>
      <c r="W220" s="459">
        <f t="shared" si="81"/>
        <v>0</v>
      </c>
      <c r="X220" s="457"/>
      <c r="Y220" s="458"/>
      <c r="Z220" s="459">
        <f t="shared" si="107"/>
        <v>0</v>
      </c>
      <c r="AA220" s="457"/>
      <c r="AB220" s="458"/>
      <c r="AC220" s="459">
        <f t="shared" si="99"/>
        <v>0</v>
      </c>
      <c r="AD220" s="457"/>
      <c r="AE220" s="458"/>
      <c r="AF220" s="459">
        <f t="shared" si="102"/>
        <v>0</v>
      </c>
      <c r="AG220" s="457"/>
      <c r="AH220" s="458"/>
      <c r="AI220" s="459">
        <f t="shared" si="103"/>
        <v>0</v>
      </c>
      <c r="AJ220" s="457"/>
      <c r="AK220" s="458"/>
      <c r="AL220" s="459">
        <f t="shared" si="104"/>
        <v>0</v>
      </c>
      <c r="AM220" s="457"/>
      <c r="AN220" s="458"/>
      <c r="AO220" s="459">
        <f t="shared" si="100"/>
        <v>0</v>
      </c>
      <c r="AP220" s="457"/>
      <c r="AQ220" s="458"/>
      <c r="AR220" s="459">
        <f t="shared" si="101"/>
        <v>0</v>
      </c>
      <c r="AS220" s="457"/>
      <c r="AT220" s="458"/>
      <c r="AU220" s="459">
        <f t="shared" si="108"/>
        <v>0</v>
      </c>
      <c r="AV220" s="457"/>
      <c r="AW220" s="458"/>
      <c r="AX220" s="459">
        <f t="shared" si="109"/>
        <v>0</v>
      </c>
      <c r="AY220" s="457"/>
      <c r="AZ220" s="458"/>
      <c r="BA220" s="459">
        <f t="shared" si="110"/>
        <v>0</v>
      </c>
      <c r="BB220" s="457"/>
      <c r="BC220" s="458"/>
      <c r="BD220" s="459">
        <f t="shared" si="111"/>
        <v>0</v>
      </c>
    </row>
    <row r="221" spans="1:56" ht="12.75">
      <c r="A221" s="160"/>
      <c r="B221" s="219" t="s">
        <v>1016</v>
      </c>
      <c r="C221" s="457"/>
      <c r="D221" s="458"/>
      <c r="E221" s="459">
        <f t="shared" si="98"/>
        <v>0</v>
      </c>
      <c r="F221" s="457"/>
      <c r="G221" s="458"/>
      <c r="H221" s="459">
        <f t="shared" si="112"/>
        <v>0</v>
      </c>
      <c r="I221" s="457"/>
      <c r="J221" s="458"/>
      <c r="K221" s="459">
        <f t="shared" si="113"/>
        <v>0</v>
      </c>
      <c r="L221" s="457"/>
      <c r="M221" s="458"/>
      <c r="N221" s="459">
        <f t="shared" si="114"/>
        <v>0</v>
      </c>
      <c r="O221" s="457"/>
      <c r="P221" s="458"/>
      <c r="Q221" s="459">
        <f t="shared" si="115"/>
        <v>0</v>
      </c>
      <c r="R221" s="457"/>
      <c r="S221" s="458"/>
      <c r="T221" s="459">
        <f t="shared" si="116"/>
        <v>0</v>
      </c>
      <c r="U221" s="457"/>
      <c r="V221" s="458"/>
      <c r="W221" s="459">
        <f t="shared" si="81"/>
        <v>0</v>
      </c>
      <c r="X221" s="457"/>
      <c r="Y221" s="458"/>
      <c r="Z221" s="459">
        <f t="shared" si="107"/>
        <v>0</v>
      </c>
      <c r="AA221" s="457"/>
      <c r="AB221" s="458"/>
      <c r="AC221" s="459">
        <f t="shared" si="99"/>
        <v>0</v>
      </c>
      <c r="AD221" s="457"/>
      <c r="AE221" s="458"/>
      <c r="AF221" s="459">
        <f t="shared" si="102"/>
        <v>0</v>
      </c>
      <c r="AG221" s="457"/>
      <c r="AH221" s="458"/>
      <c r="AI221" s="459">
        <f t="shared" si="103"/>
        <v>0</v>
      </c>
      <c r="AJ221" s="457"/>
      <c r="AK221" s="458"/>
      <c r="AL221" s="459">
        <f t="shared" si="104"/>
        <v>0</v>
      </c>
      <c r="AM221" s="457"/>
      <c r="AN221" s="458"/>
      <c r="AO221" s="459">
        <f t="shared" si="100"/>
        <v>0</v>
      </c>
      <c r="AP221" s="457"/>
      <c r="AQ221" s="458"/>
      <c r="AR221" s="459">
        <f t="shared" si="101"/>
        <v>0</v>
      </c>
      <c r="AS221" s="457"/>
      <c r="AT221" s="458"/>
      <c r="AU221" s="459">
        <f t="shared" si="108"/>
        <v>0</v>
      </c>
      <c r="AV221" s="457"/>
      <c r="AW221" s="458"/>
      <c r="AX221" s="459">
        <f t="shared" si="109"/>
        <v>0</v>
      </c>
      <c r="AY221" s="457"/>
      <c r="AZ221" s="458"/>
      <c r="BA221" s="459">
        <f t="shared" si="110"/>
        <v>0</v>
      </c>
      <c r="BB221" s="457"/>
      <c r="BC221" s="458"/>
      <c r="BD221" s="459">
        <f t="shared" si="111"/>
        <v>0</v>
      </c>
    </row>
    <row r="222" spans="1:56" s="465" customFormat="1" ht="21.75" customHeight="1">
      <c r="A222" s="460"/>
      <c r="B222" s="461" t="s">
        <v>978</v>
      </c>
      <c r="C222" s="462">
        <v>2057</v>
      </c>
      <c r="D222" s="463">
        <v>2168</v>
      </c>
      <c r="E222" s="464">
        <f t="shared" si="98"/>
        <v>5.396208070004861</v>
      </c>
      <c r="F222" s="462"/>
      <c r="G222" s="463"/>
      <c r="H222" s="464">
        <f t="shared" si="112"/>
        <v>0</v>
      </c>
      <c r="I222" s="462"/>
      <c r="J222" s="463"/>
      <c r="K222" s="464">
        <f t="shared" si="113"/>
        <v>0</v>
      </c>
      <c r="L222" s="462"/>
      <c r="M222" s="463"/>
      <c r="N222" s="464">
        <f t="shared" si="114"/>
        <v>0</v>
      </c>
      <c r="O222" s="462"/>
      <c r="P222" s="463"/>
      <c r="Q222" s="464">
        <f t="shared" si="115"/>
        <v>0</v>
      </c>
      <c r="R222" s="462"/>
      <c r="S222" s="463"/>
      <c r="T222" s="464">
        <f t="shared" si="116"/>
        <v>0</v>
      </c>
      <c r="U222" s="462"/>
      <c r="V222" s="463"/>
      <c r="W222" s="464">
        <f t="shared" si="81"/>
        <v>0</v>
      </c>
      <c r="X222" s="462"/>
      <c r="Y222" s="463"/>
      <c r="Z222" s="464">
        <f t="shared" si="107"/>
        <v>0</v>
      </c>
      <c r="AA222" s="462"/>
      <c r="AB222" s="463"/>
      <c r="AC222" s="464">
        <f t="shared" si="99"/>
        <v>0</v>
      </c>
      <c r="AD222" s="462"/>
      <c r="AE222" s="463"/>
      <c r="AF222" s="464">
        <f t="shared" si="102"/>
        <v>0</v>
      </c>
      <c r="AG222" s="462"/>
      <c r="AH222" s="463"/>
      <c r="AI222" s="464">
        <f t="shared" si="103"/>
        <v>0</v>
      </c>
      <c r="AJ222" s="462"/>
      <c r="AK222" s="463"/>
      <c r="AL222" s="464">
        <f t="shared" si="104"/>
        <v>0</v>
      </c>
      <c r="AM222" s="462"/>
      <c r="AN222" s="463"/>
      <c r="AO222" s="464">
        <f t="shared" si="100"/>
        <v>0</v>
      </c>
      <c r="AP222" s="462"/>
      <c r="AQ222" s="463"/>
      <c r="AR222" s="464">
        <f t="shared" si="101"/>
        <v>0</v>
      </c>
      <c r="AS222" s="462"/>
      <c r="AT222" s="463"/>
      <c r="AU222" s="464">
        <f t="shared" si="108"/>
        <v>0</v>
      </c>
      <c r="AV222" s="462"/>
      <c r="AW222" s="463"/>
      <c r="AX222" s="464">
        <f t="shared" si="109"/>
        <v>0</v>
      </c>
      <c r="AY222" s="462"/>
      <c r="AZ222" s="463"/>
      <c r="BA222" s="464">
        <f t="shared" si="110"/>
        <v>0</v>
      </c>
      <c r="BB222" s="462"/>
      <c r="BC222" s="463"/>
      <c r="BD222" s="464">
        <f t="shared" si="111"/>
        <v>0</v>
      </c>
    </row>
    <row r="223" spans="1:56" ht="12.75">
      <c r="A223" s="466"/>
      <c r="B223" s="467" t="s">
        <v>781</v>
      </c>
      <c r="C223" s="468"/>
      <c r="D223" s="469"/>
      <c r="E223" s="471">
        <f t="shared" si="98"/>
        <v>0</v>
      </c>
      <c r="F223" s="468"/>
      <c r="G223" s="469"/>
      <c r="H223" s="471">
        <f t="shared" si="112"/>
        <v>0</v>
      </c>
      <c r="I223" s="468"/>
      <c r="J223" s="469"/>
      <c r="K223" s="471">
        <f t="shared" si="113"/>
        <v>0</v>
      </c>
      <c r="L223" s="468"/>
      <c r="M223" s="469"/>
      <c r="N223" s="471">
        <f t="shared" si="114"/>
        <v>0</v>
      </c>
      <c r="O223" s="468">
        <v>10025</v>
      </c>
      <c r="P223" s="469">
        <v>11217</v>
      </c>
      <c r="Q223" s="471">
        <f t="shared" si="115"/>
        <v>11.890274314214464</v>
      </c>
      <c r="R223" s="468">
        <v>26753</v>
      </c>
      <c r="S223" s="469">
        <v>28940</v>
      </c>
      <c r="T223" s="471">
        <f t="shared" si="116"/>
        <v>8.17478413635854</v>
      </c>
      <c r="U223" s="468">
        <v>18946.5</v>
      </c>
      <c r="V223" s="469">
        <v>19935.5</v>
      </c>
      <c r="W223" s="471">
        <f t="shared" si="81"/>
        <v>5.219961470456285</v>
      </c>
      <c r="X223" s="468">
        <v>37523.5</v>
      </c>
      <c r="Y223" s="469">
        <v>39366.5</v>
      </c>
      <c r="Z223" s="471">
        <f t="shared" si="107"/>
        <v>4.91158873772436</v>
      </c>
      <c r="AA223" s="468">
        <v>15760</v>
      </c>
      <c r="AB223" s="469">
        <v>16722</v>
      </c>
      <c r="AC223" s="471">
        <f t="shared" si="99"/>
        <v>6.104060913705584</v>
      </c>
      <c r="AD223" s="468">
        <v>36640</v>
      </c>
      <c r="AE223" s="469">
        <v>38740</v>
      </c>
      <c r="AF223" s="471">
        <f t="shared" si="102"/>
        <v>5.7314410480349345</v>
      </c>
      <c r="AG223" s="468">
        <v>11940</v>
      </c>
      <c r="AH223" s="469">
        <v>13036</v>
      </c>
      <c r="AI223" s="471">
        <f t="shared" si="103"/>
        <v>9.179229480737018</v>
      </c>
      <c r="AJ223" s="468">
        <v>24690</v>
      </c>
      <c r="AK223" s="469">
        <v>26042</v>
      </c>
      <c r="AL223" s="471">
        <f t="shared" si="104"/>
        <v>5.475901174564601</v>
      </c>
      <c r="AM223" s="468"/>
      <c r="AN223" s="469"/>
      <c r="AO223" s="471">
        <f t="shared" si="100"/>
        <v>0</v>
      </c>
      <c r="AP223" s="468"/>
      <c r="AQ223" s="469"/>
      <c r="AR223" s="471">
        <f t="shared" si="101"/>
        <v>0</v>
      </c>
      <c r="AS223" s="468"/>
      <c r="AT223" s="469"/>
      <c r="AU223" s="471">
        <f t="shared" si="108"/>
        <v>0</v>
      </c>
      <c r="AV223" s="468"/>
      <c r="AW223" s="469"/>
      <c r="AX223" s="471">
        <f t="shared" si="109"/>
        <v>0</v>
      </c>
      <c r="AY223" s="468">
        <v>13372</v>
      </c>
      <c r="AZ223" s="469">
        <v>14590</v>
      </c>
      <c r="BA223" s="471">
        <f t="shared" si="110"/>
        <v>9.108585103200719</v>
      </c>
      <c r="BB223" s="468">
        <v>37438</v>
      </c>
      <c r="BC223" s="469">
        <v>38658</v>
      </c>
      <c r="BD223" s="471">
        <f t="shared" si="111"/>
        <v>3.2587210855280735</v>
      </c>
    </row>
    <row r="224" spans="1:56" ht="12.75">
      <c r="A224" s="158" t="s">
        <v>816</v>
      </c>
      <c r="B224" s="219" t="s">
        <v>89</v>
      </c>
      <c r="C224" s="457">
        <v>6885</v>
      </c>
      <c r="D224" s="458">
        <v>7516</v>
      </c>
      <c r="E224" s="459">
        <f t="shared" si="98"/>
        <v>9.16485112563544</v>
      </c>
      <c r="F224" s="457">
        <v>15135</v>
      </c>
      <c r="G224" s="458">
        <v>15856</v>
      </c>
      <c r="H224" s="459">
        <f t="shared" si="112"/>
        <v>4.76379253386191</v>
      </c>
      <c r="I224" s="457">
        <v>6816</v>
      </c>
      <c r="J224" s="458">
        <v>6338.5</v>
      </c>
      <c r="K224" s="459">
        <f t="shared" si="113"/>
        <v>-7.005575117370892</v>
      </c>
      <c r="L224" s="457">
        <v>13825</v>
      </c>
      <c r="M224" s="458">
        <v>13239</v>
      </c>
      <c r="N224" s="459">
        <f t="shared" si="114"/>
        <v>-4.23869801084991</v>
      </c>
      <c r="O224" s="457"/>
      <c r="P224" s="458"/>
      <c r="Q224" s="459"/>
      <c r="R224" s="457"/>
      <c r="S224" s="458"/>
      <c r="T224" s="459"/>
      <c r="U224" s="457"/>
      <c r="V224" s="458"/>
      <c r="W224" s="459"/>
      <c r="X224" s="457"/>
      <c r="Y224" s="458">
        <v>0</v>
      </c>
      <c r="Z224" s="459">
        <f t="shared" si="107"/>
        <v>0</v>
      </c>
      <c r="AA224" s="457"/>
      <c r="AB224" s="458"/>
      <c r="AC224" s="459">
        <f t="shared" si="99"/>
        <v>0</v>
      </c>
      <c r="AD224" s="457"/>
      <c r="AE224" s="458"/>
      <c r="AF224" s="459"/>
      <c r="AG224" s="457"/>
      <c r="AH224" s="458"/>
      <c r="AI224" s="459"/>
      <c r="AJ224" s="457"/>
      <c r="AK224" s="458"/>
      <c r="AL224" s="459"/>
      <c r="AM224" s="457"/>
      <c r="AN224" s="458"/>
      <c r="AO224" s="459"/>
      <c r="AP224" s="457"/>
      <c r="AQ224" s="458"/>
      <c r="AR224" s="459"/>
      <c r="AS224" s="457"/>
      <c r="AT224" s="458"/>
      <c r="AU224" s="459"/>
      <c r="AV224" s="457"/>
      <c r="AW224" s="458"/>
      <c r="AX224" s="459"/>
      <c r="AY224" s="457"/>
      <c r="AZ224" s="458"/>
      <c r="BA224" s="459"/>
      <c r="BB224" s="457"/>
      <c r="BC224" s="458"/>
      <c r="BD224" s="459"/>
    </row>
    <row r="225" spans="1:56" ht="12.75">
      <c r="A225" s="160"/>
      <c r="B225" s="219" t="s">
        <v>90</v>
      </c>
      <c r="C225" s="457">
        <v>5742</v>
      </c>
      <c r="D225" s="458">
        <v>6436</v>
      </c>
      <c r="E225" s="459">
        <f t="shared" si="98"/>
        <v>12.086381051898293</v>
      </c>
      <c r="F225" s="457">
        <v>14000</v>
      </c>
      <c r="G225" s="458">
        <v>14686</v>
      </c>
      <c r="H225" s="459">
        <f t="shared" si="112"/>
        <v>4.9</v>
      </c>
      <c r="I225" s="457">
        <v>6044.5</v>
      </c>
      <c r="J225" s="458">
        <v>5654</v>
      </c>
      <c r="K225" s="459">
        <f t="shared" si="113"/>
        <v>-6.46041856232939</v>
      </c>
      <c r="L225" s="457">
        <v>13199</v>
      </c>
      <c r="M225" s="458">
        <v>11754</v>
      </c>
      <c r="N225" s="459">
        <f t="shared" si="114"/>
        <v>-10.947799075687552</v>
      </c>
      <c r="O225" s="457"/>
      <c r="P225" s="458"/>
      <c r="Q225" s="459"/>
      <c r="R225" s="457"/>
      <c r="S225" s="458"/>
      <c r="T225" s="459"/>
      <c r="U225" s="457"/>
      <c r="V225" s="458"/>
      <c r="W225" s="459"/>
      <c r="X225" s="457"/>
      <c r="Y225" s="458"/>
      <c r="Z225" s="459">
        <f t="shared" si="107"/>
        <v>0</v>
      </c>
      <c r="AA225" s="457"/>
      <c r="AB225" s="458"/>
      <c r="AC225" s="459">
        <f t="shared" si="99"/>
        <v>0</v>
      </c>
      <c r="AD225" s="457"/>
      <c r="AE225" s="458"/>
      <c r="AF225" s="459"/>
      <c r="AG225" s="457"/>
      <c r="AH225" s="458"/>
      <c r="AI225" s="459"/>
      <c r="AJ225" s="457"/>
      <c r="AK225" s="458"/>
      <c r="AL225" s="459"/>
      <c r="AM225" s="457"/>
      <c r="AN225" s="458"/>
      <c r="AO225" s="459"/>
      <c r="AP225" s="457"/>
      <c r="AQ225" s="458"/>
      <c r="AR225" s="459"/>
      <c r="AS225" s="457"/>
      <c r="AT225" s="458"/>
      <c r="AU225" s="459"/>
      <c r="AV225" s="457"/>
      <c r="AW225" s="458"/>
      <c r="AX225" s="459"/>
      <c r="AY225" s="457"/>
      <c r="AZ225" s="458"/>
      <c r="BA225" s="459"/>
      <c r="BB225" s="457"/>
      <c r="BC225" s="458"/>
      <c r="BD225" s="459"/>
    </row>
    <row r="226" spans="1:56" ht="12.75">
      <c r="A226" s="160"/>
      <c r="B226" s="219" t="s">
        <v>91</v>
      </c>
      <c r="C226" s="457">
        <v>4884</v>
      </c>
      <c r="D226" s="458">
        <v>5412</v>
      </c>
      <c r="E226" s="459">
        <f t="shared" si="98"/>
        <v>10.81081081081081</v>
      </c>
      <c r="F226" s="457">
        <v>13134</v>
      </c>
      <c r="G226" s="458">
        <v>13768</v>
      </c>
      <c r="H226" s="459">
        <f t="shared" si="112"/>
        <v>4.827166133698797</v>
      </c>
      <c r="I226" s="457">
        <v>4752</v>
      </c>
      <c r="J226" s="458">
        <v>4372</v>
      </c>
      <c r="K226" s="459">
        <f t="shared" si="113"/>
        <v>-7.9966329966329965</v>
      </c>
      <c r="L226" s="457">
        <v>11328</v>
      </c>
      <c r="M226" s="458">
        <v>9866</v>
      </c>
      <c r="N226" s="459">
        <f t="shared" si="114"/>
        <v>-12.906073446327685</v>
      </c>
      <c r="O226" s="457"/>
      <c r="P226" s="458"/>
      <c r="Q226" s="459"/>
      <c r="R226" s="457"/>
      <c r="S226" s="458"/>
      <c r="T226" s="459"/>
      <c r="U226" s="457"/>
      <c r="V226" s="458"/>
      <c r="W226" s="459"/>
      <c r="X226" s="457"/>
      <c r="Y226" s="458"/>
      <c r="Z226" s="459">
        <f t="shared" si="107"/>
        <v>0</v>
      </c>
      <c r="AA226" s="457"/>
      <c r="AB226" s="458"/>
      <c r="AC226" s="459">
        <f t="shared" si="99"/>
        <v>0</v>
      </c>
      <c r="AD226" s="457"/>
      <c r="AE226" s="458"/>
      <c r="AF226" s="459"/>
      <c r="AG226" s="457"/>
      <c r="AH226" s="458"/>
      <c r="AI226" s="459"/>
      <c r="AJ226" s="457"/>
      <c r="AK226" s="458"/>
      <c r="AL226" s="459"/>
      <c r="AM226" s="457"/>
      <c r="AN226" s="458"/>
      <c r="AO226" s="459"/>
      <c r="AP226" s="457"/>
      <c r="AQ226" s="458"/>
      <c r="AR226" s="459"/>
      <c r="AS226" s="457"/>
      <c r="AT226" s="458"/>
      <c r="AU226" s="459"/>
      <c r="AV226" s="457"/>
      <c r="AW226" s="458"/>
      <c r="AX226" s="459"/>
      <c r="AY226" s="457"/>
      <c r="AZ226" s="458"/>
      <c r="BA226" s="459"/>
      <c r="BB226" s="457"/>
      <c r="BC226" s="458"/>
      <c r="BD226" s="459"/>
    </row>
    <row r="227" spans="1:56" ht="12.75">
      <c r="A227" s="160"/>
      <c r="B227" s="219" t="s">
        <v>92</v>
      </c>
      <c r="C227" s="457">
        <v>4634</v>
      </c>
      <c r="D227" s="458">
        <v>4657.5</v>
      </c>
      <c r="E227" s="459">
        <f t="shared" si="98"/>
        <v>0.5071212775140267</v>
      </c>
      <c r="F227" s="457">
        <v>12924</v>
      </c>
      <c r="G227" s="458">
        <v>12862.5</v>
      </c>
      <c r="H227" s="459">
        <f t="shared" si="112"/>
        <v>-0.4758588672237697</v>
      </c>
      <c r="I227" s="457">
        <v>3753.5</v>
      </c>
      <c r="J227" s="458">
        <v>3677.5</v>
      </c>
      <c r="K227" s="459">
        <f t="shared" si="113"/>
        <v>-2.024776874916744</v>
      </c>
      <c r="L227" s="457">
        <v>10728</v>
      </c>
      <c r="M227" s="458">
        <v>8930.5</v>
      </c>
      <c r="N227" s="459">
        <f t="shared" si="114"/>
        <v>-16.755219985085755</v>
      </c>
      <c r="O227" s="457"/>
      <c r="P227" s="458"/>
      <c r="Q227" s="459"/>
      <c r="R227" s="457"/>
      <c r="S227" s="458"/>
      <c r="T227" s="459"/>
      <c r="U227" s="457"/>
      <c r="V227" s="458"/>
      <c r="W227" s="459"/>
      <c r="X227" s="457"/>
      <c r="Y227" s="458"/>
      <c r="Z227" s="459">
        <f t="shared" si="107"/>
        <v>0</v>
      </c>
      <c r="AA227" s="457"/>
      <c r="AB227" s="458"/>
      <c r="AC227" s="459">
        <f t="shared" si="99"/>
        <v>0</v>
      </c>
      <c r="AD227" s="457"/>
      <c r="AE227" s="458"/>
      <c r="AF227" s="459"/>
      <c r="AG227" s="457"/>
      <c r="AH227" s="458"/>
      <c r="AI227" s="459"/>
      <c r="AJ227" s="457"/>
      <c r="AK227" s="458"/>
      <c r="AL227" s="459"/>
      <c r="AM227" s="457"/>
      <c r="AN227" s="458"/>
      <c r="AO227" s="459"/>
      <c r="AP227" s="457"/>
      <c r="AQ227" s="458"/>
      <c r="AR227" s="459"/>
      <c r="AS227" s="457"/>
      <c r="AT227" s="458"/>
      <c r="AU227" s="459"/>
      <c r="AV227" s="457"/>
      <c r="AW227" s="458"/>
      <c r="AX227" s="459"/>
      <c r="AY227" s="457"/>
      <c r="AZ227" s="458"/>
      <c r="BA227" s="459"/>
      <c r="BB227" s="457"/>
      <c r="BC227" s="458"/>
      <c r="BD227" s="459"/>
    </row>
    <row r="228" spans="1:56" ht="12.75">
      <c r="A228" s="160"/>
      <c r="B228" s="219" t="s">
        <v>93</v>
      </c>
      <c r="C228" s="457">
        <v>4484</v>
      </c>
      <c r="D228" s="458">
        <v>4934</v>
      </c>
      <c r="E228" s="459">
        <f t="shared" si="98"/>
        <v>10.035682426404996</v>
      </c>
      <c r="F228" s="457">
        <v>12734</v>
      </c>
      <c r="G228" s="458">
        <v>13184</v>
      </c>
      <c r="H228" s="459">
        <f t="shared" si="112"/>
        <v>3.533846395476677</v>
      </c>
      <c r="I228" s="457">
        <v>5232</v>
      </c>
      <c r="J228" s="458">
        <v>4184</v>
      </c>
      <c r="K228" s="459">
        <f t="shared" si="113"/>
        <v>-20.03058103975535</v>
      </c>
      <c r="L228" s="457">
        <v>10589</v>
      </c>
      <c r="M228" s="458">
        <v>8984</v>
      </c>
      <c r="N228" s="459">
        <f t="shared" si="114"/>
        <v>-15.15723864387572</v>
      </c>
      <c r="O228" s="457"/>
      <c r="P228" s="458"/>
      <c r="Q228" s="459"/>
      <c r="R228" s="457"/>
      <c r="S228" s="458"/>
      <c r="T228" s="459"/>
      <c r="U228" s="457"/>
      <c r="V228" s="458"/>
      <c r="W228" s="459"/>
      <c r="X228" s="457"/>
      <c r="Y228" s="458"/>
      <c r="Z228" s="459">
        <f t="shared" si="107"/>
        <v>0</v>
      </c>
      <c r="AA228" s="457"/>
      <c r="AB228" s="458"/>
      <c r="AC228" s="459">
        <f t="shared" si="99"/>
        <v>0</v>
      </c>
      <c r="AD228" s="457"/>
      <c r="AE228" s="458"/>
      <c r="AF228" s="459"/>
      <c r="AG228" s="457"/>
      <c r="AH228" s="458"/>
      <c r="AI228" s="459"/>
      <c r="AJ228" s="457"/>
      <c r="AK228" s="458"/>
      <c r="AL228" s="459"/>
      <c r="AM228" s="457"/>
      <c r="AN228" s="458"/>
      <c r="AO228" s="459"/>
      <c r="AP228" s="457"/>
      <c r="AQ228" s="458"/>
      <c r="AR228" s="459"/>
      <c r="AS228" s="457"/>
      <c r="AT228" s="458"/>
      <c r="AU228" s="459"/>
      <c r="AV228" s="457"/>
      <c r="AW228" s="458"/>
      <c r="AX228" s="459"/>
      <c r="AY228" s="457"/>
      <c r="AZ228" s="458"/>
      <c r="BA228" s="459"/>
      <c r="BB228" s="457"/>
      <c r="BC228" s="458"/>
      <c r="BD228" s="459"/>
    </row>
    <row r="229" spans="1:56" ht="12.75">
      <c r="A229" s="160"/>
      <c r="B229" s="219" t="s">
        <v>94</v>
      </c>
      <c r="C229" s="457">
        <v>5188</v>
      </c>
      <c r="D229" s="458">
        <v>5645</v>
      </c>
      <c r="E229" s="459">
        <f t="shared" si="98"/>
        <v>8.808789514263687</v>
      </c>
      <c r="F229" s="457">
        <v>13902</v>
      </c>
      <c r="G229" s="458">
        <v>13985</v>
      </c>
      <c r="H229" s="459">
        <f t="shared" si="112"/>
        <v>0.5970363976406273</v>
      </c>
      <c r="I229" s="457">
        <v>7440</v>
      </c>
      <c r="J229" s="458">
        <v>6567</v>
      </c>
      <c r="K229" s="459">
        <f t="shared" si="113"/>
        <v>-11.733870967741936</v>
      </c>
      <c r="L229" s="457">
        <v>11880</v>
      </c>
      <c r="M229" s="458">
        <v>12423</v>
      </c>
      <c r="N229" s="459">
        <f t="shared" si="114"/>
        <v>4.570707070707071</v>
      </c>
      <c r="O229" s="457"/>
      <c r="P229" s="458"/>
      <c r="Q229" s="459"/>
      <c r="R229" s="457"/>
      <c r="S229" s="458"/>
      <c r="T229" s="459"/>
      <c r="U229" s="457"/>
      <c r="V229" s="458"/>
      <c r="W229" s="459"/>
      <c r="X229" s="457"/>
      <c r="Y229" s="458"/>
      <c r="Z229" s="459">
        <f t="shared" si="107"/>
        <v>0</v>
      </c>
      <c r="AA229" s="457"/>
      <c r="AB229" s="458"/>
      <c r="AC229" s="459">
        <f t="shared" si="99"/>
        <v>0</v>
      </c>
      <c r="AD229" s="457"/>
      <c r="AE229" s="458"/>
      <c r="AF229" s="459"/>
      <c r="AG229" s="457"/>
      <c r="AH229" s="458"/>
      <c r="AI229" s="459"/>
      <c r="AJ229" s="457"/>
      <c r="AK229" s="458"/>
      <c r="AL229" s="459"/>
      <c r="AM229" s="457"/>
      <c r="AN229" s="458"/>
      <c r="AO229" s="459"/>
      <c r="AP229" s="457"/>
      <c r="AQ229" s="458"/>
      <c r="AR229" s="459"/>
      <c r="AS229" s="457"/>
      <c r="AT229" s="458"/>
      <c r="AU229" s="459"/>
      <c r="AV229" s="457"/>
      <c r="AW229" s="458"/>
      <c r="AX229" s="459"/>
      <c r="AY229" s="457"/>
      <c r="AZ229" s="458"/>
      <c r="BA229" s="459"/>
      <c r="BB229" s="457"/>
      <c r="BC229" s="458"/>
      <c r="BD229" s="459"/>
    </row>
    <row r="230" spans="1:56" s="465" customFormat="1" ht="19.5" customHeight="1">
      <c r="A230" s="460"/>
      <c r="B230" s="461" t="s">
        <v>821</v>
      </c>
      <c r="C230" s="462">
        <v>4914</v>
      </c>
      <c r="D230" s="463">
        <v>5428</v>
      </c>
      <c r="E230" s="464">
        <f t="shared" si="98"/>
        <v>10.45991045991046</v>
      </c>
      <c r="F230" s="462">
        <v>13266</v>
      </c>
      <c r="G230" s="463">
        <v>13900</v>
      </c>
      <c r="H230" s="464">
        <f t="shared" si="112"/>
        <v>4.7791346298808985</v>
      </c>
      <c r="I230" s="462">
        <v>5232</v>
      </c>
      <c r="J230" s="463">
        <v>4474</v>
      </c>
      <c r="K230" s="464">
        <f t="shared" si="113"/>
        <v>-14.48776758409786</v>
      </c>
      <c r="L230" s="462">
        <v>11702</v>
      </c>
      <c r="M230" s="463">
        <v>9872</v>
      </c>
      <c r="N230" s="464">
        <f t="shared" si="114"/>
        <v>-15.638352418390019</v>
      </c>
      <c r="O230" s="462"/>
      <c r="P230" s="463"/>
      <c r="Q230" s="464"/>
      <c r="R230" s="462"/>
      <c r="S230" s="463"/>
      <c r="T230" s="464"/>
      <c r="U230" s="462"/>
      <c r="V230" s="463"/>
      <c r="W230" s="464"/>
      <c r="X230" s="462"/>
      <c r="Y230" s="463">
        <v>0</v>
      </c>
      <c r="Z230" s="464">
        <f t="shared" si="107"/>
        <v>0</v>
      </c>
      <c r="AA230" s="462"/>
      <c r="AB230" s="463"/>
      <c r="AC230" s="464">
        <f t="shared" si="99"/>
        <v>0</v>
      </c>
      <c r="AD230" s="462"/>
      <c r="AE230" s="463"/>
      <c r="AF230" s="464"/>
      <c r="AG230" s="462"/>
      <c r="AH230" s="463"/>
      <c r="AI230" s="464"/>
      <c r="AJ230" s="462"/>
      <c r="AK230" s="463"/>
      <c r="AL230" s="464"/>
      <c r="AM230" s="462"/>
      <c r="AN230" s="463"/>
      <c r="AO230" s="464"/>
      <c r="AP230" s="462"/>
      <c r="AQ230" s="463"/>
      <c r="AR230" s="464"/>
      <c r="AS230" s="462"/>
      <c r="AT230" s="463"/>
      <c r="AU230" s="464"/>
      <c r="AV230" s="462"/>
      <c r="AW230" s="463"/>
      <c r="AX230" s="464"/>
      <c r="AY230" s="462"/>
      <c r="AZ230" s="463"/>
      <c r="BA230" s="464"/>
      <c r="BB230" s="462"/>
      <c r="BC230" s="463"/>
      <c r="BD230" s="464"/>
    </row>
    <row r="231" spans="1:56" ht="12.75">
      <c r="A231" s="160"/>
      <c r="B231" s="219" t="s">
        <v>95</v>
      </c>
      <c r="C231" s="457"/>
      <c r="D231" s="458"/>
      <c r="E231" s="459">
        <f t="shared" si="98"/>
        <v>0</v>
      </c>
      <c r="F231" s="457"/>
      <c r="G231" s="458"/>
      <c r="H231" s="459">
        <f t="shared" si="112"/>
        <v>0</v>
      </c>
      <c r="I231" s="457"/>
      <c r="J231" s="458"/>
      <c r="K231" s="459">
        <f t="shared" si="113"/>
        <v>0</v>
      </c>
      <c r="L231" s="457"/>
      <c r="M231" s="458"/>
      <c r="N231" s="459">
        <f t="shared" si="114"/>
        <v>0</v>
      </c>
      <c r="O231" s="457"/>
      <c r="P231" s="458"/>
      <c r="Q231" s="459"/>
      <c r="R231" s="457"/>
      <c r="S231" s="458"/>
      <c r="T231" s="459"/>
      <c r="U231" s="457"/>
      <c r="V231" s="458"/>
      <c r="W231" s="459"/>
      <c r="X231" s="457"/>
      <c r="Y231" s="458"/>
      <c r="Z231" s="459">
        <f t="shared" si="107"/>
        <v>0</v>
      </c>
      <c r="AA231" s="457"/>
      <c r="AB231" s="458"/>
      <c r="AC231" s="459">
        <f t="shared" si="99"/>
        <v>0</v>
      </c>
      <c r="AD231" s="457"/>
      <c r="AE231" s="458"/>
      <c r="AF231" s="459"/>
      <c r="AG231" s="457"/>
      <c r="AH231" s="458"/>
      <c r="AI231" s="459"/>
      <c r="AJ231" s="457"/>
      <c r="AK231" s="458"/>
      <c r="AL231" s="459"/>
      <c r="AM231" s="457"/>
      <c r="AN231" s="458"/>
      <c r="AO231" s="459"/>
      <c r="AP231" s="457"/>
      <c r="AQ231" s="458"/>
      <c r="AR231" s="459"/>
      <c r="AS231" s="457"/>
      <c r="AT231" s="458"/>
      <c r="AU231" s="459"/>
      <c r="AV231" s="457"/>
      <c r="AW231" s="458"/>
      <c r="AX231" s="459"/>
      <c r="AY231" s="457"/>
      <c r="AZ231" s="458"/>
      <c r="BA231" s="459"/>
      <c r="BB231" s="457"/>
      <c r="BC231" s="458"/>
      <c r="BD231" s="459"/>
    </row>
    <row r="232" spans="1:56" ht="12.75">
      <c r="A232" s="160"/>
      <c r="B232" s="219" t="s">
        <v>96</v>
      </c>
      <c r="C232" s="457">
        <v>1574</v>
      </c>
      <c r="D232" s="458">
        <v>1619</v>
      </c>
      <c r="E232" s="459">
        <f t="shared" si="98"/>
        <v>2.8589580686149936</v>
      </c>
      <c r="F232" s="457">
        <v>2836</v>
      </c>
      <c r="G232" s="458">
        <v>2543.5</v>
      </c>
      <c r="H232" s="459">
        <f t="shared" si="112"/>
        <v>-10.313822284908323</v>
      </c>
      <c r="I232" s="457"/>
      <c r="J232" s="458"/>
      <c r="K232" s="459">
        <f t="shared" si="113"/>
        <v>0</v>
      </c>
      <c r="L232" s="457"/>
      <c r="M232" s="458"/>
      <c r="N232" s="459">
        <f t="shared" si="114"/>
        <v>0</v>
      </c>
      <c r="O232" s="457"/>
      <c r="P232" s="458"/>
      <c r="Q232" s="459"/>
      <c r="R232" s="457"/>
      <c r="S232" s="458"/>
      <c r="T232" s="459"/>
      <c r="U232" s="457"/>
      <c r="V232" s="458"/>
      <c r="W232" s="459"/>
      <c r="X232" s="457"/>
      <c r="Y232" s="458"/>
      <c r="Z232" s="459">
        <f t="shared" si="107"/>
        <v>0</v>
      </c>
      <c r="AA232" s="457"/>
      <c r="AB232" s="458"/>
      <c r="AC232" s="459">
        <f t="shared" si="99"/>
        <v>0</v>
      </c>
      <c r="AD232" s="457"/>
      <c r="AE232" s="458"/>
      <c r="AF232" s="459">
        <f t="shared" si="102"/>
        <v>0</v>
      </c>
      <c r="AG232" s="457"/>
      <c r="AH232" s="458"/>
      <c r="AI232" s="459">
        <f t="shared" si="103"/>
        <v>0</v>
      </c>
      <c r="AJ232" s="457"/>
      <c r="AK232" s="458"/>
      <c r="AL232" s="459">
        <f t="shared" si="104"/>
        <v>0</v>
      </c>
      <c r="AM232" s="457"/>
      <c r="AN232" s="458"/>
      <c r="AO232" s="459">
        <f t="shared" si="100"/>
        <v>0</v>
      </c>
      <c r="AP232" s="457"/>
      <c r="AQ232" s="458"/>
      <c r="AR232" s="459">
        <f t="shared" si="101"/>
        <v>0</v>
      </c>
      <c r="AS232" s="457"/>
      <c r="AT232" s="458"/>
      <c r="AU232" s="459">
        <f aca="true" t="shared" si="117" ref="AU232:AU240">IF(AS232&gt;0,(((AT232-AS232)/AS232)*100),0)</f>
        <v>0</v>
      </c>
      <c r="AV232" s="457"/>
      <c r="AW232" s="458"/>
      <c r="AX232" s="459">
        <f aca="true" t="shared" si="118" ref="AX232:AX240">IF(AV232&gt;0,(((AW232-AV232)/AV232)*100),0)</f>
        <v>0</v>
      </c>
      <c r="AY232" s="457"/>
      <c r="AZ232" s="458"/>
      <c r="BA232" s="459">
        <f aca="true" t="shared" si="119" ref="BA232:BA240">IF(AY232&gt;0,(((AZ232-AY232)/AY232)*100),0)</f>
        <v>0</v>
      </c>
      <c r="BB232" s="457"/>
      <c r="BC232" s="458"/>
      <c r="BD232" s="459"/>
    </row>
    <row r="233" spans="1:56" ht="12.75">
      <c r="A233" s="160"/>
      <c r="B233" s="219" t="s">
        <v>97</v>
      </c>
      <c r="C233" s="457">
        <v>1560</v>
      </c>
      <c r="D233" s="458">
        <v>1490</v>
      </c>
      <c r="E233" s="459">
        <f t="shared" si="98"/>
        <v>-4.487179487179487</v>
      </c>
      <c r="F233" s="457">
        <v>3118</v>
      </c>
      <c r="G233" s="458">
        <v>2160</v>
      </c>
      <c r="H233" s="459">
        <f t="shared" si="112"/>
        <v>-30.724823604874917</v>
      </c>
      <c r="I233" s="457"/>
      <c r="J233" s="458"/>
      <c r="K233" s="459">
        <f t="shared" si="113"/>
        <v>0</v>
      </c>
      <c r="L233" s="457"/>
      <c r="M233" s="458"/>
      <c r="N233" s="459">
        <f t="shared" si="114"/>
        <v>0</v>
      </c>
      <c r="O233" s="457"/>
      <c r="P233" s="458"/>
      <c r="Q233" s="459"/>
      <c r="R233" s="457"/>
      <c r="S233" s="458"/>
      <c r="T233" s="459"/>
      <c r="U233" s="457"/>
      <c r="V233" s="458"/>
      <c r="W233" s="459"/>
      <c r="X233" s="457"/>
      <c r="Y233" s="458"/>
      <c r="Z233" s="459">
        <f t="shared" si="107"/>
        <v>0</v>
      </c>
      <c r="AA233" s="457"/>
      <c r="AB233" s="458"/>
      <c r="AC233" s="459">
        <f t="shared" si="99"/>
        <v>0</v>
      </c>
      <c r="AD233" s="457"/>
      <c r="AE233" s="458"/>
      <c r="AF233" s="459">
        <f t="shared" si="102"/>
        <v>0</v>
      </c>
      <c r="AG233" s="457"/>
      <c r="AH233" s="458"/>
      <c r="AI233" s="459">
        <f t="shared" si="103"/>
        <v>0</v>
      </c>
      <c r="AJ233" s="457"/>
      <c r="AK233" s="458"/>
      <c r="AL233" s="459">
        <f t="shared" si="104"/>
        <v>0</v>
      </c>
      <c r="AM233" s="457"/>
      <c r="AN233" s="458"/>
      <c r="AO233" s="459">
        <f t="shared" si="100"/>
        <v>0</v>
      </c>
      <c r="AP233" s="457"/>
      <c r="AQ233" s="458"/>
      <c r="AR233" s="459">
        <f t="shared" si="101"/>
        <v>0</v>
      </c>
      <c r="AS233" s="457"/>
      <c r="AT233" s="458"/>
      <c r="AU233" s="459">
        <f t="shared" si="117"/>
        <v>0</v>
      </c>
      <c r="AV233" s="457"/>
      <c r="AW233" s="458"/>
      <c r="AX233" s="459">
        <f t="shared" si="118"/>
        <v>0</v>
      </c>
      <c r="AY233" s="457"/>
      <c r="AZ233" s="458"/>
      <c r="BA233" s="459">
        <f t="shared" si="119"/>
        <v>0</v>
      </c>
      <c r="BB233" s="457"/>
      <c r="BC233" s="458"/>
      <c r="BD233" s="459">
        <f aca="true" t="shared" si="120" ref="BD233:BD240">IF(BB233&gt;0,(((BC233-BB233)/BB233)*100),0)</f>
        <v>0</v>
      </c>
    </row>
    <row r="234" spans="1:56" ht="12.75">
      <c r="A234" s="160"/>
      <c r="B234" s="219" t="s">
        <v>778</v>
      </c>
      <c r="C234" s="457">
        <v>2087.5</v>
      </c>
      <c r="D234" s="458">
        <v>2125</v>
      </c>
      <c r="E234" s="459">
        <f t="shared" si="98"/>
        <v>1.7964071856287425</v>
      </c>
      <c r="F234" s="457">
        <v>2880</v>
      </c>
      <c r="G234" s="458">
        <v>2610</v>
      </c>
      <c r="H234" s="459">
        <f t="shared" si="112"/>
        <v>-9.375</v>
      </c>
      <c r="I234" s="457"/>
      <c r="J234" s="458"/>
      <c r="K234" s="459">
        <f t="shared" si="113"/>
        <v>0</v>
      </c>
      <c r="L234" s="457"/>
      <c r="M234" s="458"/>
      <c r="N234" s="459">
        <f t="shared" si="114"/>
        <v>0</v>
      </c>
      <c r="O234" s="457"/>
      <c r="P234" s="458"/>
      <c r="Q234" s="459"/>
      <c r="R234" s="457"/>
      <c r="S234" s="458"/>
      <c r="T234" s="459"/>
      <c r="U234" s="457"/>
      <c r="V234" s="458"/>
      <c r="W234" s="459"/>
      <c r="X234" s="457"/>
      <c r="Y234" s="458"/>
      <c r="Z234" s="459">
        <f t="shared" si="107"/>
        <v>0</v>
      </c>
      <c r="AA234" s="457"/>
      <c r="AB234" s="458"/>
      <c r="AC234" s="459">
        <f t="shared" si="99"/>
        <v>0</v>
      </c>
      <c r="AD234" s="457"/>
      <c r="AE234" s="458"/>
      <c r="AF234" s="459">
        <f t="shared" si="102"/>
        <v>0</v>
      </c>
      <c r="AG234" s="457"/>
      <c r="AH234" s="458"/>
      <c r="AI234" s="459">
        <f t="shared" si="103"/>
        <v>0</v>
      </c>
      <c r="AJ234" s="457"/>
      <c r="AK234" s="458"/>
      <c r="AL234" s="459">
        <f t="shared" si="104"/>
        <v>0</v>
      </c>
      <c r="AM234" s="457"/>
      <c r="AN234" s="458"/>
      <c r="AO234" s="459">
        <f t="shared" si="100"/>
        <v>0</v>
      </c>
      <c r="AP234" s="457"/>
      <c r="AQ234" s="458"/>
      <c r="AR234" s="459">
        <f t="shared" si="101"/>
        <v>0</v>
      </c>
      <c r="AS234" s="457"/>
      <c r="AT234" s="458"/>
      <c r="AU234" s="459">
        <f t="shared" si="117"/>
        <v>0</v>
      </c>
      <c r="AV234" s="457"/>
      <c r="AW234" s="458"/>
      <c r="AX234" s="459">
        <f t="shared" si="118"/>
        <v>0</v>
      </c>
      <c r="AY234" s="457"/>
      <c r="AZ234" s="458"/>
      <c r="BA234" s="459">
        <f t="shared" si="119"/>
        <v>0</v>
      </c>
      <c r="BB234" s="457"/>
      <c r="BC234" s="458"/>
      <c r="BD234" s="459">
        <f t="shared" si="120"/>
        <v>0</v>
      </c>
    </row>
    <row r="235" spans="1:56" s="465" customFormat="1" ht="20.25" customHeight="1">
      <c r="A235" s="460"/>
      <c r="B235" s="461" t="s">
        <v>426</v>
      </c>
      <c r="C235" s="462">
        <v>1576</v>
      </c>
      <c r="D235" s="463">
        <v>1614</v>
      </c>
      <c r="E235" s="464">
        <f t="shared" si="98"/>
        <v>2.4111675126903553</v>
      </c>
      <c r="F235" s="462">
        <v>2868</v>
      </c>
      <c r="G235" s="463">
        <v>2337</v>
      </c>
      <c r="H235" s="464">
        <f t="shared" si="112"/>
        <v>-18.514644351464433</v>
      </c>
      <c r="I235" s="462"/>
      <c r="J235" s="463"/>
      <c r="K235" s="464">
        <f t="shared" si="113"/>
        <v>0</v>
      </c>
      <c r="L235" s="462"/>
      <c r="M235" s="463"/>
      <c r="N235" s="464">
        <f t="shared" si="114"/>
        <v>0</v>
      </c>
      <c r="O235" s="462"/>
      <c r="P235" s="463"/>
      <c r="Q235" s="464">
        <f aca="true" t="shared" si="121" ref="Q235:Q240">IF(O235&gt;0,(((P235-O235)/O235)*100),0)</f>
        <v>0</v>
      </c>
      <c r="R235" s="462"/>
      <c r="S235" s="463"/>
      <c r="T235" s="464">
        <f aca="true" t="shared" si="122" ref="T235:T240">IF(R235&gt;0,(((S235-R235)/R235)*100),0)</f>
        <v>0</v>
      </c>
      <c r="U235" s="462"/>
      <c r="V235" s="463"/>
      <c r="W235" s="464">
        <f aca="true" t="shared" si="123" ref="W235:W240">IF(U235&gt;0,(((V235-U235)/U235)*100),0)</f>
        <v>0</v>
      </c>
      <c r="X235" s="462"/>
      <c r="Y235" s="463"/>
      <c r="Z235" s="464">
        <f t="shared" si="107"/>
        <v>0</v>
      </c>
      <c r="AA235" s="462"/>
      <c r="AB235" s="463"/>
      <c r="AC235" s="464">
        <f t="shared" si="99"/>
        <v>0</v>
      </c>
      <c r="AD235" s="462"/>
      <c r="AE235" s="463"/>
      <c r="AF235" s="464">
        <f t="shared" si="102"/>
        <v>0</v>
      </c>
      <c r="AG235" s="462"/>
      <c r="AH235" s="463"/>
      <c r="AI235" s="464">
        <f t="shared" si="103"/>
        <v>0</v>
      </c>
      <c r="AJ235" s="462"/>
      <c r="AK235" s="463"/>
      <c r="AL235" s="464">
        <f t="shared" si="104"/>
        <v>0</v>
      </c>
      <c r="AM235" s="462"/>
      <c r="AN235" s="463"/>
      <c r="AO235" s="464">
        <f t="shared" si="100"/>
        <v>0</v>
      </c>
      <c r="AP235" s="462"/>
      <c r="AQ235" s="463"/>
      <c r="AR235" s="464">
        <f t="shared" si="101"/>
        <v>0</v>
      </c>
      <c r="AS235" s="462"/>
      <c r="AT235" s="463"/>
      <c r="AU235" s="464">
        <f t="shared" si="117"/>
        <v>0</v>
      </c>
      <c r="AV235" s="462"/>
      <c r="AW235" s="463"/>
      <c r="AX235" s="464">
        <f t="shared" si="118"/>
        <v>0</v>
      </c>
      <c r="AY235" s="462"/>
      <c r="AZ235" s="463"/>
      <c r="BA235" s="464">
        <f t="shared" si="119"/>
        <v>0</v>
      </c>
      <c r="BB235" s="462"/>
      <c r="BC235" s="463"/>
      <c r="BD235" s="464">
        <f t="shared" si="120"/>
        <v>0</v>
      </c>
    </row>
    <row r="236" spans="1:56" ht="12.75">
      <c r="A236" s="160"/>
      <c r="B236" s="219" t="s">
        <v>779</v>
      </c>
      <c r="C236" s="457"/>
      <c r="D236" s="458"/>
      <c r="E236" s="459">
        <f t="shared" si="98"/>
        <v>0</v>
      </c>
      <c r="F236" s="457"/>
      <c r="G236" s="458"/>
      <c r="H236" s="459">
        <f t="shared" si="112"/>
        <v>0</v>
      </c>
      <c r="I236" s="457"/>
      <c r="J236" s="458"/>
      <c r="K236" s="459">
        <f t="shared" si="113"/>
        <v>0</v>
      </c>
      <c r="L236" s="457"/>
      <c r="M236" s="458"/>
      <c r="N236" s="459">
        <f t="shared" si="114"/>
        <v>0</v>
      </c>
      <c r="O236" s="457"/>
      <c r="P236" s="458"/>
      <c r="Q236" s="459">
        <f t="shared" si="121"/>
        <v>0</v>
      </c>
      <c r="R236" s="457"/>
      <c r="S236" s="458"/>
      <c r="T236" s="459">
        <f t="shared" si="122"/>
        <v>0</v>
      </c>
      <c r="U236" s="457"/>
      <c r="V236" s="458"/>
      <c r="W236" s="459">
        <f t="shared" si="123"/>
        <v>0</v>
      </c>
      <c r="X236" s="457"/>
      <c r="Y236" s="458"/>
      <c r="Z236" s="459">
        <f t="shared" si="107"/>
        <v>0</v>
      </c>
      <c r="AA236" s="457"/>
      <c r="AB236" s="458"/>
      <c r="AC236" s="459">
        <f t="shared" si="99"/>
        <v>0</v>
      </c>
      <c r="AD236" s="457"/>
      <c r="AE236" s="458"/>
      <c r="AF236" s="459">
        <f t="shared" si="102"/>
        <v>0</v>
      </c>
      <c r="AG236" s="457"/>
      <c r="AH236" s="458"/>
      <c r="AI236" s="459">
        <f t="shared" si="103"/>
        <v>0</v>
      </c>
      <c r="AJ236" s="457"/>
      <c r="AK236" s="458"/>
      <c r="AL236" s="459">
        <f t="shared" si="104"/>
        <v>0</v>
      </c>
      <c r="AM236" s="457"/>
      <c r="AN236" s="458"/>
      <c r="AO236" s="459">
        <f t="shared" si="100"/>
        <v>0</v>
      </c>
      <c r="AP236" s="457"/>
      <c r="AQ236" s="458"/>
      <c r="AR236" s="459">
        <f t="shared" si="101"/>
        <v>0</v>
      </c>
      <c r="AS236" s="457"/>
      <c r="AT236" s="458"/>
      <c r="AU236" s="459">
        <f t="shared" si="117"/>
        <v>0</v>
      </c>
      <c r="AV236" s="457"/>
      <c r="AW236" s="458"/>
      <c r="AX236" s="459">
        <f t="shared" si="118"/>
        <v>0</v>
      </c>
      <c r="AY236" s="457"/>
      <c r="AZ236" s="458"/>
      <c r="BA236" s="459">
        <f t="shared" si="119"/>
        <v>0</v>
      </c>
      <c r="BB236" s="457"/>
      <c r="BC236" s="458"/>
      <c r="BD236" s="459">
        <f t="shared" si="120"/>
        <v>0</v>
      </c>
    </row>
    <row r="237" spans="1:56" ht="12.75">
      <c r="A237" s="160"/>
      <c r="B237" s="219" t="s">
        <v>1015</v>
      </c>
      <c r="C237" s="457"/>
      <c r="D237" s="458"/>
      <c r="E237" s="459">
        <f t="shared" si="98"/>
        <v>0</v>
      </c>
      <c r="F237" s="457"/>
      <c r="G237" s="458"/>
      <c r="H237" s="459">
        <f t="shared" si="112"/>
        <v>0</v>
      </c>
      <c r="I237" s="457"/>
      <c r="J237" s="458"/>
      <c r="K237" s="459">
        <f t="shared" si="113"/>
        <v>0</v>
      </c>
      <c r="L237" s="457"/>
      <c r="M237" s="458"/>
      <c r="N237" s="459">
        <f t="shared" si="114"/>
        <v>0</v>
      </c>
      <c r="O237" s="457"/>
      <c r="P237" s="458"/>
      <c r="Q237" s="459">
        <f t="shared" si="121"/>
        <v>0</v>
      </c>
      <c r="R237" s="457"/>
      <c r="S237" s="458"/>
      <c r="T237" s="459">
        <f t="shared" si="122"/>
        <v>0</v>
      </c>
      <c r="U237" s="457"/>
      <c r="V237" s="458"/>
      <c r="W237" s="459">
        <f t="shared" si="123"/>
        <v>0</v>
      </c>
      <c r="X237" s="457"/>
      <c r="Y237" s="458"/>
      <c r="Z237" s="459">
        <f t="shared" si="107"/>
        <v>0</v>
      </c>
      <c r="AA237" s="457"/>
      <c r="AB237" s="458"/>
      <c r="AC237" s="459">
        <f t="shared" si="99"/>
        <v>0</v>
      </c>
      <c r="AD237" s="457"/>
      <c r="AE237" s="458"/>
      <c r="AF237" s="459">
        <f t="shared" si="102"/>
        <v>0</v>
      </c>
      <c r="AG237" s="457"/>
      <c r="AH237" s="458"/>
      <c r="AI237" s="459">
        <f t="shared" si="103"/>
        <v>0</v>
      </c>
      <c r="AJ237" s="457"/>
      <c r="AK237" s="458"/>
      <c r="AL237" s="459">
        <f t="shared" si="104"/>
        <v>0</v>
      </c>
      <c r="AM237" s="457"/>
      <c r="AN237" s="458"/>
      <c r="AO237" s="459">
        <f t="shared" si="100"/>
        <v>0</v>
      </c>
      <c r="AP237" s="457"/>
      <c r="AQ237" s="458"/>
      <c r="AR237" s="459">
        <f t="shared" si="101"/>
        <v>0</v>
      </c>
      <c r="AS237" s="457"/>
      <c r="AT237" s="458"/>
      <c r="AU237" s="459">
        <f t="shared" si="117"/>
        <v>0</v>
      </c>
      <c r="AV237" s="457"/>
      <c r="AW237" s="458"/>
      <c r="AX237" s="459">
        <f t="shared" si="118"/>
        <v>0</v>
      </c>
      <c r="AY237" s="457"/>
      <c r="AZ237" s="458"/>
      <c r="BA237" s="459">
        <f t="shared" si="119"/>
        <v>0</v>
      </c>
      <c r="BB237" s="457"/>
      <c r="BC237" s="458"/>
      <c r="BD237" s="459">
        <f t="shared" si="120"/>
        <v>0</v>
      </c>
    </row>
    <row r="238" spans="1:56" ht="12.75">
      <c r="A238" s="160"/>
      <c r="B238" s="219" t="s">
        <v>1016</v>
      </c>
      <c r="C238" s="457"/>
      <c r="D238" s="458"/>
      <c r="E238" s="459">
        <f t="shared" si="98"/>
        <v>0</v>
      </c>
      <c r="F238" s="457"/>
      <c r="G238" s="458"/>
      <c r="H238" s="459">
        <f t="shared" si="112"/>
        <v>0</v>
      </c>
      <c r="I238" s="457"/>
      <c r="J238" s="458"/>
      <c r="K238" s="459">
        <f t="shared" si="113"/>
        <v>0</v>
      </c>
      <c r="L238" s="457"/>
      <c r="M238" s="458"/>
      <c r="N238" s="459">
        <f t="shared" si="114"/>
        <v>0</v>
      </c>
      <c r="O238" s="457"/>
      <c r="P238" s="458"/>
      <c r="Q238" s="459">
        <f t="shared" si="121"/>
        <v>0</v>
      </c>
      <c r="R238" s="457"/>
      <c r="S238" s="458"/>
      <c r="T238" s="459">
        <f t="shared" si="122"/>
        <v>0</v>
      </c>
      <c r="U238" s="457"/>
      <c r="V238" s="458"/>
      <c r="W238" s="459">
        <f t="shared" si="123"/>
        <v>0</v>
      </c>
      <c r="X238" s="457"/>
      <c r="Y238" s="458"/>
      <c r="Z238" s="459">
        <f t="shared" si="107"/>
        <v>0</v>
      </c>
      <c r="AA238" s="457"/>
      <c r="AB238" s="458"/>
      <c r="AC238" s="459">
        <f t="shared" si="99"/>
        <v>0</v>
      </c>
      <c r="AD238" s="457"/>
      <c r="AE238" s="458"/>
      <c r="AF238" s="459">
        <f t="shared" si="102"/>
        <v>0</v>
      </c>
      <c r="AG238" s="457"/>
      <c r="AH238" s="458"/>
      <c r="AI238" s="459">
        <f t="shared" si="103"/>
        <v>0</v>
      </c>
      <c r="AJ238" s="457"/>
      <c r="AK238" s="458"/>
      <c r="AL238" s="459">
        <f t="shared" si="104"/>
        <v>0</v>
      </c>
      <c r="AM238" s="457"/>
      <c r="AN238" s="458"/>
      <c r="AO238" s="459">
        <f t="shared" si="100"/>
        <v>0</v>
      </c>
      <c r="AP238" s="457"/>
      <c r="AQ238" s="458"/>
      <c r="AR238" s="459">
        <f t="shared" si="101"/>
        <v>0</v>
      </c>
      <c r="AS238" s="457"/>
      <c r="AT238" s="458"/>
      <c r="AU238" s="459">
        <f t="shared" si="117"/>
        <v>0</v>
      </c>
      <c r="AV238" s="457"/>
      <c r="AW238" s="458"/>
      <c r="AX238" s="459">
        <f t="shared" si="118"/>
        <v>0</v>
      </c>
      <c r="AY238" s="457"/>
      <c r="AZ238" s="458"/>
      <c r="BA238" s="459">
        <f t="shared" si="119"/>
        <v>0</v>
      </c>
      <c r="BB238" s="457"/>
      <c r="BC238" s="458"/>
      <c r="BD238" s="459">
        <f t="shared" si="120"/>
        <v>0</v>
      </c>
    </row>
    <row r="239" spans="1:56" s="465" customFormat="1" ht="21.75" customHeight="1">
      <c r="A239" s="460"/>
      <c r="B239" s="461" t="s">
        <v>978</v>
      </c>
      <c r="C239" s="462"/>
      <c r="D239" s="463"/>
      <c r="E239" s="464">
        <f t="shared" si="98"/>
        <v>0</v>
      </c>
      <c r="F239" s="462"/>
      <c r="G239" s="463"/>
      <c r="H239" s="464">
        <f t="shared" si="112"/>
        <v>0</v>
      </c>
      <c r="I239" s="462"/>
      <c r="J239" s="463"/>
      <c r="K239" s="464">
        <f t="shared" si="113"/>
        <v>0</v>
      </c>
      <c r="L239" s="462"/>
      <c r="M239" s="463"/>
      <c r="N239" s="464">
        <f t="shared" si="114"/>
        <v>0</v>
      </c>
      <c r="O239" s="462"/>
      <c r="P239" s="463"/>
      <c r="Q239" s="464">
        <f t="shared" si="121"/>
        <v>0</v>
      </c>
      <c r="R239" s="462"/>
      <c r="S239" s="463"/>
      <c r="T239" s="464">
        <f t="shared" si="122"/>
        <v>0</v>
      </c>
      <c r="U239" s="462"/>
      <c r="V239" s="463"/>
      <c r="W239" s="464">
        <f t="shared" si="123"/>
        <v>0</v>
      </c>
      <c r="X239" s="462"/>
      <c r="Y239" s="463"/>
      <c r="Z239" s="464">
        <f t="shared" si="107"/>
        <v>0</v>
      </c>
      <c r="AA239" s="462"/>
      <c r="AB239" s="463"/>
      <c r="AC239" s="464">
        <f t="shared" si="99"/>
        <v>0</v>
      </c>
      <c r="AD239" s="462"/>
      <c r="AE239" s="463"/>
      <c r="AF239" s="464">
        <f t="shared" si="102"/>
        <v>0</v>
      </c>
      <c r="AG239" s="462"/>
      <c r="AH239" s="463"/>
      <c r="AI239" s="464">
        <f t="shared" si="103"/>
        <v>0</v>
      </c>
      <c r="AJ239" s="462"/>
      <c r="AK239" s="463"/>
      <c r="AL239" s="464">
        <f t="shared" si="104"/>
        <v>0</v>
      </c>
      <c r="AM239" s="462"/>
      <c r="AN239" s="463"/>
      <c r="AO239" s="464">
        <f t="shared" si="100"/>
        <v>0</v>
      </c>
      <c r="AP239" s="462"/>
      <c r="AQ239" s="463"/>
      <c r="AR239" s="464">
        <f t="shared" si="101"/>
        <v>0</v>
      </c>
      <c r="AS239" s="462"/>
      <c r="AT239" s="463"/>
      <c r="AU239" s="464">
        <f t="shared" si="117"/>
        <v>0</v>
      </c>
      <c r="AV239" s="462"/>
      <c r="AW239" s="463"/>
      <c r="AX239" s="464">
        <f t="shared" si="118"/>
        <v>0</v>
      </c>
      <c r="AY239" s="462"/>
      <c r="AZ239" s="463"/>
      <c r="BA239" s="464">
        <f t="shared" si="119"/>
        <v>0</v>
      </c>
      <c r="BB239" s="462"/>
      <c r="BC239" s="463"/>
      <c r="BD239" s="464">
        <f t="shared" si="120"/>
        <v>0</v>
      </c>
    </row>
    <row r="240" spans="1:56" ht="12.75">
      <c r="A240" s="466"/>
      <c r="B240" s="467" t="s">
        <v>781</v>
      </c>
      <c r="C240" s="468"/>
      <c r="D240" s="469"/>
      <c r="E240" s="471">
        <f t="shared" si="98"/>
        <v>0</v>
      </c>
      <c r="F240" s="468"/>
      <c r="G240" s="469"/>
      <c r="H240" s="471">
        <f t="shared" si="112"/>
        <v>0</v>
      </c>
      <c r="I240" s="468"/>
      <c r="J240" s="469"/>
      <c r="K240" s="471">
        <f t="shared" si="113"/>
        <v>0</v>
      </c>
      <c r="L240" s="468"/>
      <c r="M240" s="469"/>
      <c r="N240" s="471">
        <f t="shared" si="114"/>
        <v>0</v>
      </c>
      <c r="O240" s="468">
        <v>13584.5</v>
      </c>
      <c r="P240" s="469">
        <v>13640.2</v>
      </c>
      <c r="Q240" s="471">
        <f t="shared" si="121"/>
        <v>0.41002613272480204</v>
      </c>
      <c r="R240" s="468">
        <v>18684.5</v>
      </c>
      <c r="S240" s="469">
        <v>20407.2</v>
      </c>
      <c r="T240" s="471">
        <f t="shared" si="122"/>
        <v>9.21994166287565</v>
      </c>
      <c r="U240" s="468">
        <v>11632</v>
      </c>
      <c r="V240" s="469">
        <v>11942.5</v>
      </c>
      <c r="W240" s="471">
        <f t="shared" si="123"/>
        <v>2.6693603851444294</v>
      </c>
      <c r="X240" s="468">
        <v>24732</v>
      </c>
      <c r="Y240" s="469">
        <v>25042.5</v>
      </c>
      <c r="Z240" s="471">
        <f t="shared" si="107"/>
        <v>1.2554585152838427</v>
      </c>
      <c r="AA240" s="468">
        <v>12110</v>
      </c>
      <c r="AB240" s="469">
        <v>12110</v>
      </c>
      <c r="AC240" s="471">
        <f t="shared" si="99"/>
        <v>0</v>
      </c>
      <c r="AD240" s="468">
        <v>25882</v>
      </c>
      <c r="AE240" s="469">
        <v>22910</v>
      </c>
      <c r="AF240" s="471">
        <f t="shared" si="102"/>
        <v>-11.482883857507147</v>
      </c>
      <c r="AG240" s="468">
        <v>10746.5</v>
      </c>
      <c r="AH240" s="469">
        <v>11917.01</v>
      </c>
      <c r="AI240" s="471">
        <f t="shared" si="103"/>
        <v>10.892011352533384</v>
      </c>
      <c r="AJ240" s="468">
        <v>22000</v>
      </c>
      <c r="AK240" s="469">
        <v>22837.5</v>
      </c>
      <c r="AL240" s="471">
        <f t="shared" si="104"/>
        <v>3.806818181818182</v>
      </c>
      <c r="AM240" s="468">
        <v>10739</v>
      </c>
      <c r="AN240" s="469">
        <v>18732</v>
      </c>
      <c r="AO240" s="471">
        <f t="shared" si="100"/>
        <v>74.42964894310458</v>
      </c>
      <c r="AP240" s="468">
        <v>19229</v>
      </c>
      <c r="AQ240" s="469">
        <v>26082</v>
      </c>
      <c r="AR240" s="471">
        <f t="shared" si="101"/>
        <v>35.63887877684747</v>
      </c>
      <c r="AS240" s="468">
        <v>13964</v>
      </c>
      <c r="AT240" s="469">
        <v>13950</v>
      </c>
      <c r="AU240" s="471">
        <f t="shared" si="117"/>
        <v>-0.10025780578630766</v>
      </c>
      <c r="AV240" s="468">
        <v>29714</v>
      </c>
      <c r="AW240" s="469">
        <v>29700</v>
      </c>
      <c r="AX240" s="471">
        <f t="shared" si="118"/>
        <v>-0.04711583765228512</v>
      </c>
      <c r="AY240" s="468">
        <v>12166</v>
      </c>
      <c r="AZ240" s="469">
        <v>12482</v>
      </c>
      <c r="BA240" s="471">
        <f t="shared" si="119"/>
        <v>2.5974025974025974</v>
      </c>
      <c r="BB240" s="468">
        <v>22966</v>
      </c>
      <c r="BC240" s="469">
        <v>23282</v>
      </c>
      <c r="BD240" s="471">
        <f t="shared" si="120"/>
        <v>1.3759470521640687</v>
      </c>
    </row>
    <row r="241" spans="1:56" ht="12.75">
      <c r="A241" s="158" t="s">
        <v>535</v>
      </c>
      <c r="B241" s="219" t="s">
        <v>89</v>
      </c>
      <c r="C241" s="457">
        <v>7409</v>
      </c>
      <c r="D241" s="458">
        <v>7948.5</v>
      </c>
      <c r="E241" s="459">
        <f t="shared" si="98"/>
        <v>7.281684437845863</v>
      </c>
      <c r="F241" s="457">
        <v>22497</v>
      </c>
      <c r="G241" s="458">
        <v>23762.5</v>
      </c>
      <c r="H241" s="459">
        <f t="shared" si="112"/>
        <v>5.6251944703738275</v>
      </c>
      <c r="I241" s="457">
        <v>9545</v>
      </c>
      <c r="J241" s="458">
        <v>10113</v>
      </c>
      <c r="K241" s="459">
        <f t="shared" si="113"/>
        <v>5.950759559979046</v>
      </c>
      <c r="L241" s="457">
        <v>17303.5</v>
      </c>
      <c r="M241" s="458">
        <v>18295.5</v>
      </c>
      <c r="N241" s="459">
        <f t="shared" si="114"/>
        <v>5.732944202040049</v>
      </c>
      <c r="O241" s="457"/>
      <c r="P241" s="458"/>
      <c r="Q241" s="459"/>
      <c r="R241" s="457"/>
      <c r="S241" s="458"/>
      <c r="T241" s="459"/>
      <c r="U241" s="457"/>
      <c r="V241" s="458"/>
      <c r="W241" s="459"/>
      <c r="X241" s="457"/>
      <c r="Y241" s="458"/>
      <c r="Z241" s="459"/>
      <c r="AA241" s="457"/>
      <c r="AB241" s="458"/>
      <c r="AC241" s="459">
        <f t="shared" si="99"/>
        <v>0</v>
      </c>
      <c r="AD241" s="457"/>
      <c r="AE241" s="458"/>
      <c r="AF241" s="459">
        <f t="shared" si="102"/>
        <v>0</v>
      </c>
      <c r="AG241" s="457"/>
      <c r="AH241" s="458"/>
      <c r="AI241" s="459"/>
      <c r="AJ241" s="457"/>
      <c r="AK241" s="458"/>
      <c r="AL241" s="459"/>
      <c r="AM241" s="457"/>
      <c r="AN241" s="458"/>
      <c r="AO241" s="459"/>
      <c r="AP241" s="457"/>
      <c r="AQ241" s="458"/>
      <c r="AR241" s="459"/>
      <c r="AS241" s="457"/>
      <c r="AT241" s="458"/>
      <c r="AU241" s="459"/>
      <c r="AV241" s="457"/>
      <c r="AW241" s="458"/>
      <c r="AX241" s="459"/>
      <c r="AY241" s="457"/>
      <c r="AZ241" s="458"/>
      <c r="BA241" s="459"/>
      <c r="BB241" s="457"/>
      <c r="BC241" s="458"/>
      <c r="BD241" s="459"/>
    </row>
    <row r="242" spans="1:56" ht="12.75">
      <c r="A242" s="160"/>
      <c r="B242" s="219" t="s">
        <v>90</v>
      </c>
      <c r="C242" s="457">
        <v>6253</v>
      </c>
      <c r="D242" s="458">
        <v>6684</v>
      </c>
      <c r="E242" s="459">
        <f t="shared" si="98"/>
        <v>6.8926915080761235</v>
      </c>
      <c r="F242" s="457">
        <v>18084</v>
      </c>
      <c r="G242" s="458">
        <v>19234</v>
      </c>
      <c r="H242" s="459">
        <f t="shared" si="112"/>
        <v>6.359212563592126</v>
      </c>
      <c r="I242" s="457">
        <v>7860.5</v>
      </c>
      <c r="J242" s="458">
        <v>8496</v>
      </c>
      <c r="K242" s="459">
        <f t="shared" si="113"/>
        <v>8.084727434641563</v>
      </c>
      <c r="L242" s="457">
        <v>18067</v>
      </c>
      <c r="M242" s="458">
        <v>19379</v>
      </c>
      <c r="N242" s="459">
        <f t="shared" si="114"/>
        <v>7.261858637294514</v>
      </c>
      <c r="O242" s="457"/>
      <c r="P242" s="458"/>
      <c r="Q242" s="459"/>
      <c r="R242" s="457"/>
      <c r="S242" s="458"/>
      <c r="T242" s="459"/>
      <c r="U242" s="457"/>
      <c r="V242" s="458"/>
      <c r="W242" s="459"/>
      <c r="X242" s="457"/>
      <c r="Y242" s="458"/>
      <c r="Z242" s="459"/>
      <c r="AA242" s="457"/>
      <c r="AB242" s="458"/>
      <c r="AC242" s="459">
        <f t="shared" si="99"/>
        <v>0</v>
      </c>
      <c r="AD242" s="457">
        <v>38548</v>
      </c>
      <c r="AE242" s="458">
        <v>39118</v>
      </c>
      <c r="AF242" s="459">
        <f t="shared" si="102"/>
        <v>1.47867593649476</v>
      </c>
      <c r="AG242" s="457"/>
      <c r="AH242" s="458"/>
      <c r="AI242" s="459"/>
      <c r="AJ242" s="457"/>
      <c r="AK242" s="458"/>
      <c r="AL242" s="459"/>
      <c r="AM242" s="457"/>
      <c r="AN242" s="458"/>
      <c r="AO242" s="459"/>
      <c r="AP242" s="457"/>
      <c r="AQ242" s="458"/>
      <c r="AR242" s="459"/>
      <c r="AS242" s="457"/>
      <c r="AT242" s="458"/>
      <c r="AU242" s="459"/>
      <c r="AV242" s="457"/>
      <c r="AW242" s="458"/>
      <c r="AX242" s="459"/>
      <c r="AY242" s="457"/>
      <c r="AZ242" s="458"/>
      <c r="BA242" s="459"/>
      <c r="BB242" s="457"/>
      <c r="BC242" s="458"/>
      <c r="BD242" s="459"/>
    </row>
    <row r="243" spans="1:56" ht="12.75">
      <c r="A243" s="160"/>
      <c r="B243" s="219" t="s">
        <v>91</v>
      </c>
      <c r="C243" s="457">
        <v>6018</v>
      </c>
      <c r="D243" s="458">
        <v>6421</v>
      </c>
      <c r="E243" s="459">
        <f t="shared" si="98"/>
        <v>6.696576935859088</v>
      </c>
      <c r="F243" s="457">
        <v>14865</v>
      </c>
      <c r="G243" s="458">
        <v>15948</v>
      </c>
      <c r="H243" s="459">
        <f t="shared" si="112"/>
        <v>7.285570131180625</v>
      </c>
      <c r="I243" s="457">
        <v>6283</v>
      </c>
      <c r="J243" s="458">
        <v>6703</v>
      </c>
      <c r="K243" s="459">
        <f t="shared" si="113"/>
        <v>6.68470475887315</v>
      </c>
      <c r="L243" s="457">
        <v>14657</v>
      </c>
      <c r="M243" s="458">
        <v>15785</v>
      </c>
      <c r="N243" s="459">
        <f t="shared" si="114"/>
        <v>7.6959814423142525</v>
      </c>
      <c r="O243" s="457"/>
      <c r="P243" s="458"/>
      <c r="Q243" s="459"/>
      <c r="R243" s="457"/>
      <c r="S243" s="458"/>
      <c r="T243" s="459"/>
      <c r="U243" s="457"/>
      <c r="V243" s="458"/>
      <c r="W243" s="459"/>
      <c r="X243" s="457"/>
      <c r="Y243" s="458"/>
      <c r="Z243" s="459"/>
      <c r="AA243" s="457"/>
      <c r="AB243" s="458"/>
      <c r="AC243" s="459">
        <f t="shared" si="99"/>
        <v>0</v>
      </c>
      <c r="AD243" s="457"/>
      <c r="AE243" s="458"/>
      <c r="AF243" s="459">
        <f t="shared" si="102"/>
        <v>0</v>
      </c>
      <c r="AG243" s="457"/>
      <c r="AH243" s="458"/>
      <c r="AI243" s="459"/>
      <c r="AJ243" s="457"/>
      <c r="AK243" s="458"/>
      <c r="AL243" s="459"/>
      <c r="AM243" s="457"/>
      <c r="AN243" s="458"/>
      <c r="AO243" s="459"/>
      <c r="AP243" s="457"/>
      <c r="AQ243" s="458"/>
      <c r="AR243" s="459"/>
      <c r="AS243" s="457"/>
      <c r="AT243" s="458"/>
      <c r="AU243" s="459"/>
      <c r="AV243" s="457"/>
      <c r="AW243" s="458"/>
      <c r="AX243" s="459"/>
      <c r="AY243" s="457"/>
      <c r="AZ243" s="458"/>
      <c r="BA243" s="459"/>
      <c r="BB243" s="457"/>
      <c r="BC243" s="458"/>
      <c r="BD243" s="459"/>
    </row>
    <row r="244" spans="1:56" ht="12.75">
      <c r="A244" s="160"/>
      <c r="B244" s="219" t="s">
        <v>92</v>
      </c>
      <c r="C244" s="457">
        <v>5440</v>
      </c>
      <c r="D244" s="458">
        <v>5655</v>
      </c>
      <c r="E244" s="459">
        <f t="shared" si="98"/>
        <v>3.952205882352941</v>
      </c>
      <c r="F244" s="457">
        <v>13532</v>
      </c>
      <c r="G244" s="458">
        <v>14150</v>
      </c>
      <c r="H244" s="459">
        <f t="shared" si="112"/>
        <v>4.566952409104346</v>
      </c>
      <c r="I244" s="457">
        <v>6641</v>
      </c>
      <c r="J244" s="458">
        <v>6960.5</v>
      </c>
      <c r="K244" s="459">
        <f t="shared" si="113"/>
        <v>4.811022436380064</v>
      </c>
      <c r="L244" s="457">
        <v>16996</v>
      </c>
      <c r="M244" s="458">
        <v>18002.5</v>
      </c>
      <c r="N244" s="459">
        <f t="shared" si="114"/>
        <v>5.9219816427394685</v>
      </c>
      <c r="O244" s="457"/>
      <c r="P244" s="458"/>
      <c r="Q244" s="459"/>
      <c r="R244" s="457"/>
      <c r="S244" s="458"/>
      <c r="T244" s="459"/>
      <c r="U244" s="457"/>
      <c r="V244" s="458"/>
      <c r="W244" s="459"/>
      <c r="X244" s="457"/>
      <c r="Y244" s="458"/>
      <c r="Z244" s="459"/>
      <c r="AA244" s="457"/>
      <c r="AB244" s="458"/>
      <c r="AC244" s="459">
        <f t="shared" si="99"/>
        <v>0</v>
      </c>
      <c r="AD244" s="457"/>
      <c r="AE244" s="458"/>
      <c r="AF244" s="459">
        <f t="shared" si="102"/>
        <v>0</v>
      </c>
      <c r="AG244" s="457"/>
      <c r="AH244" s="458"/>
      <c r="AI244" s="459"/>
      <c r="AJ244" s="457"/>
      <c r="AK244" s="458"/>
      <c r="AL244" s="459"/>
      <c r="AM244" s="457"/>
      <c r="AN244" s="458"/>
      <c r="AO244" s="459"/>
      <c r="AP244" s="457"/>
      <c r="AQ244" s="458"/>
      <c r="AR244" s="459"/>
      <c r="AS244" s="457"/>
      <c r="AT244" s="458"/>
      <c r="AU244" s="459"/>
      <c r="AV244" s="457"/>
      <c r="AW244" s="458"/>
      <c r="AX244" s="459"/>
      <c r="AY244" s="457"/>
      <c r="AZ244" s="458"/>
      <c r="BA244" s="459"/>
      <c r="BB244" s="457"/>
      <c r="BC244" s="458"/>
      <c r="BD244" s="459"/>
    </row>
    <row r="245" spans="1:56" ht="12.75">
      <c r="A245" s="160"/>
      <c r="B245" s="219" t="s">
        <v>93</v>
      </c>
      <c r="C245" s="457">
        <v>6835.5</v>
      </c>
      <c r="D245" s="458">
        <v>7276</v>
      </c>
      <c r="E245" s="459">
        <f t="shared" si="98"/>
        <v>6.444298149367274</v>
      </c>
      <c r="F245" s="457">
        <v>15611.5</v>
      </c>
      <c r="G245" s="458">
        <v>16673</v>
      </c>
      <c r="H245" s="459">
        <f t="shared" si="112"/>
        <v>6.7994747461807</v>
      </c>
      <c r="I245" s="457">
        <v>5846.5</v>
      </c>
      <c r="J245" s="458">
        <v>5999.5</v>
      </c>
      <c r="K245" s="459">
        <f t="shared" si="113"/>
        <v>2.61695031215257</v>
      </c>
      <c r="L245" s="457">
        <v>12913.5</v>
      </c>
      <c r="M245" s="458">
        <v>13290.5</v>
      </c>
      <c r="N245" s="459">
        <f t="shared" si="114"/>
        <v>2.9194254075192627</v>
      </c>
      <c r="O245" s="457"/>
      <c r="P245" s="458"/>
      <c r="Q245" s="459"/>
      <c r="R245" s="457"/>
      <c r="S245" s="458"/>
      <c r="T245" s="459"/>
      <c r="U245" s="457"/>
      <c r="V245" s="458"/>
      <c r="W245" s="459"/>
      <c r="X245" s="457"/>
      <c r="Y245" s="458"/>
      <c r="Z245" s="459"/>
      <c r="AA245" s="457"/>
      <c r="AB245" s="458"/>
      <c r="AC245" s="459">
        <f t="shared" si="99"/>
        <v>0</v>
      </c>
      <c r="AD245" s="457"/>
      <c r="AE245" s="458"/>
      <c r="AF245" s="459">
        <f t="shared" si="102"/>
        <v>0</v>
      </c>
      <c r="AG245" s="457"/>
      <c r="AH245" s="458"/>
      <c r="AI245" s="459"/>
      <c r="AJ245" s="457"/>
      <c r="AK245" s="458"/>
      <c r="AL245" s="459"/>
      <c r="AM245" s="457"/>
      <c r="AN245" s="458"/>
      <c r="AO245" s="459"/>
      <c r="AP245" s="457"/>
      <c r="AQ245" s="458"/>
      <c r="AR245" s="459"/>
      <c r="AS245" s="457"/>
      <c r="AT245" s="458"/>
      <c r="AU245" s="459"/>
      <c r="AV245" s="457"/>
      <c r="AW245" s="458"/>
      <c r="AX245" s="459"/>
      <c r="AY245" s="457"/>
      <c r="AZ245" s="458"/>
      <c r="BA245" s="459"/>
      <c r="BB245" s="457"/>
      <c r="BC245" s="458"/>
      <c r="BD245" s="459"/>
    </row>
    <row r="246" spans="1:56" ht="12.75">
      <c r="A246" s="160"/>
      <c r="B246" s="219" t="s">
        <v>94</v>
      </c>
      <c r="C246" s="457">
        <v>5692</v>
      </c>
      <c r="D246" s="458">
        <v>6151</v>
      </c>
      <c r="E246" s="459">
        <f t="shared" si="98"/>
        <v>8.063949402670415</v>
      </c>
      <c r="F246" s="457">
        <v>16728</v>
      </c>
      <c r="G246" s="458">
        <v>17815</v>
      </c>
      <c r="H246" s="459">
        <f t="shared" si="112"/>
        <v>6.498087039693927</v>
      </c>
      <c r="I246" s="457"/>
      <c r="J246" s="458"/>
      <c r="K246" s="459">
        <f t="shared" si="113"/>
        <v>0</v>
      </c>
      <c r="L246" s="457"/>
      <c r="M246" s="458"/>
      <c r="N246" s="459">
        <f t="shared" si="114"/>
        <v>0</v>
      </c>
      <c r="O246" s="457"/>
      <c r="P246" s="458"/>
      <c r="Q246" s="459"/>
      <c r="R246" s="457"/>
      <c r="S246" s="458"/>
      <c r="T246" s="459"/>
      <c r="U246" s="457"/>
      <c r="V246" s="458"/>
      <c r="W246" s="459"/>
      <c r="X246" s="457"/>
      <c r="Y246" s="458"/>
      <c r="Z246" s="459"/>
      <c r="AA246" s="457"/>
      <c r="AB246" s="458"/>
      <c r="AC246" s="459">
        <f t="shared" si="99"/>
        <v>0</v>
      </c>
      <c r="AD246" s="457"/>
      <c r="AE246" s="458"/>
      <c r="AF246" s="459">
        <f t="shared" si="102"/>
        <v>0</v>
      </c>
      <c r="AG246" s="457"/>
      <c r="AH246" s="458"/>
      <c r="AI246" s="459"/>
      <c r="AJ246" s="457"/>
      <c r="AK246" s="458"/>
      <c r="AL246" s="459"/>
      <c r="AM246" s="457"/>
      <c r="AN246" s="458"/>
      <c r="AO246" s="459"/>
      <c r="AP246" s="457"/>
      <c r="AQ246" s="458"/>
      <c r="AR246" s="459"/>
      <c r="AS246" s="457"/>
      <c r="AT246" s="458"/>
      <c r="AU246" s="459"/>
      <c r="AV246" s="457"/>
      <c r="AW246" s="458"/>
      <c r="AX246" s="459"/>
      <c r="AY246" s="457"/>
      <c r="AZ246" s="458"/>
      <c r="BA246" s="459"/>
      <c r="BB246" s="457"/>
      <c r="BC246" s="458"/>
      <c r="BD246" s="459"/>
    </row>
    <row r="247" spans="1:56" s="465" customFormat="1" ht="19.5" customHeight="1">
      <c r="A247" s="460"/>
      <c r="B247" s="461" t="s">
        <v>821</v>
      </c>
      <c r="C247" s="462">
        <v>6194</v>
      </c>
      <c r="D247" s="463">
        <v>6597</v>
      </c>
      <c r="E247" s="464">
        <f t="shared" si="98"/>
        <v>6.506296415886341</v>
      </c>
      <c r="F247" s="462">
        <v>16447</v>
      </c>
      <c r="G247" s="463">
        <v>17567</v>
      </c>
      <c r="H247" s="464">
        <f t="shared" si="112"/>
        <v>6.809752538456862</v>
      </c>
      <c r="I247" s="462">
        <v>6924</v>
      </c>
      <c r="J247" s="463">
        <v>7338</v>
      </c>
      <c r="K247" s="464">
        <f t="shared" si="113"/>
        <v>5.979202772963605</v>
      </c>
      <c r="L247" s="462">
        <v>17470</v>
      </c>
      <c r="M247" s="463">
        <v>18115</v>
      </c>
      <c r="N247" s="464">
        <f t="shared" si="114"/>
        <v>3.692043503148254</v>
      </c>
      <c r="O247" s="462"/>
      <c r="P247" s="463"/>
      <c r="Q247" s="464"/>
      <c r="R247" s="462"/>
      <c r="S247" s="463"/>
      <c r="T247" s="464"/>
      <c r="U247" s="462"/>
      <c r="V247" s="463"/>
      <c r="W247" s="464"/>
      <c r="X247" s="462"/>
      <c r="Y247" s="463"/>
      <c r="Z247" s="464"/>
      <c r="AA247" s="462"/>
      <c r="AB247" s="463"/>
      <c r="AC247" s="464">
        <f t="shared" si="99"/>
        <v>0</v>
      </c>
      <c r="AD247" s="462">
        <v>38548</v>
      </c>
      <c r="AE247" s="463">
        <v>39118</v>
      </c>
      <c r="AF247" s="464">
        <f t="shared" si="102"/>
        <v>1.47867593649476</v>
      </c>
      <c r="AG247" s="462"/>
      <c r="AH247" s="463"/>
      <c r="AI247" s="464"/>
      <c r="AJ247" s="462"/>
      <c r="AK247" s="463"/>
      <c r="AL247" s="464"/>
      <c r="AM247" s="462"/>
      <c r="AN247" s="463"/>
      <c r="AO247" s="464"/>
      <c r="AP247" s="462"/>
      <c r="AQ247" s="463"/>
      <c r="AR247" s="464"/>
      <c r="AS247" s="462"/>
      <c r="AT247" s="463"/>
      <c r="AU247" s="464"/>
      <c r="AV247" s="462"/>
      <c r="AW247" s="463"/>
      <c r="AX247" s="464"/>
      <c r="AY247" s="462"/>
      <c r="AZ247" s="463"/>
      <c r="BA247" s="464"/>
      <c r="BB247" s="462"/>
      <c r="BC247" s="463"/>
      <c r="BD247" s="464"/>
    </row>
    <row r="248" spans="1:56" ht="12.75">
      <c r="A248" s="160"/>
      <c r="B248" s="219" t="s">
        <v>95</v>
      </c>
      <c r="C248" s="457"/>
      <c r="D248" s="458"/>
      <c r="E248" s="459">
        <f t="shared" si="98"/>
        <v>0</v>
      </c>
      <c r="F248" s="457"/>
      <c r="G248" s="458"/>
      <c r="H248" s="459">
        <f t="shared" si="112"/>
        <v>0</v>
      </c>
      <c r="I248" s="457"/>
      <c r="J248" s="458"/>
      <c r="K248" s="459">
        <f t="shared" si="113"/>
        <v>0</v>
      </c>
      <c r="L248" s="457"/>
      <c r="M248" s="458"/>
      <c r="N248" s="459">
        <f t="shared" si="114"/>
        <v>0</v>
      </c>
      <c r="O248" s="457"/>
      <c r="P248" s="458"/>
      <c r="Q248" s="459"/>
      <c r="R248" s="457"/>
      <c r="S248" s="458"/>
      <c r="T248" s="459"/>
      <c r="U248" s="457"/>
      <c r="V248" s="458"/>
      <c r="W248" s="459"/>
      <c r="X248" s="457"/>
      <c r="Y248" s="458"/>
      <c r="Z248" s="459"/>
      <c r="AA248" s="457"/>
      <c r="AB248" s="458"/>
      <c r="AC248" s="459">
        <f t="shared" si="99"/>
        <v>0</v>
      </c>
      <c r="AD248" s="457"/>
      <c r="AE248" s="458"/>
      <c r="AF248" s="459">
        <f t="shared" si="102"/>
        <v>0</v>
      </c>
      <c r="AG248" s="457"/>
      <c r="AH248" s="458"/>
      <c r="AI248" s="459"/>
      <c r="AJ248" s="457"/>
      <c r="AK248" s="458"/>
      <c r="AL248" s="459"/>
      <c r="AM248" s="457"/>
      <c r="AN248" s="458"/>
      <c r="AO248" s="459"/>
      <c r="AP248" s="457"/>
      <c r="AQ248" s="458"/>
      <c r="AR248" s="459"/>
      <c r="AS248" s="457"/>
      <c r="AT248" s="458"/>
      <c r="AU248" s="459"/>
      <c r="AV248" s="457"/>
      <c r="AW248" s="458"/>
      <c r="AX248" s="459"/>
      <c r="AY248" s="457"/>
      <c r="AZ248" s="458"/>
      <c r="BA248" s="459"/>
      <c r="BB248" s="457"/>
      <c r="BC248" s="458"/>
      <c r="BD248" s="459"/>
    </row>
    <row r="249" spans="1:56" ht="12.75">
      <c r="A249" s="160"/>
      <c r="B249" s="219" t="s">
        <v>96</v>
      </c>
      <c r="C249" s="457">
        <v>2269</v>
      </c>
      <c r="D249" s="458">
        <v>2404</v>
      </c>
      <c r="E249" s="459">
        <f t="shared" si="98"/>
        <v>5.949757602468048</v>
      </c>
      <c r="F249" s="457">
        <v>7221</v>
      </c>
      <c r="G249" s="458">
        <v>7659</v>
      </c>
      <c r="H249" s="459">
        <f t="shared" si="112"/>
        <v>6.065641877856252</v>
      </c>
      <c r="I249" s="457"/>
      <c r="J249" s="458"/>
      <c r="K249" s="459">
        <f t="shared" si="113"/>
        <v>0</v>
      </c>
      <c r="L249" s="457"/>
      <c r="M249" s="458"/>
      <c r="N249" s="459">
        <f t="shared" si="114"/>
        <v>0</v>
      </c>
      <c r="O249" s="457"/>
      <c r="P249" s="458"/>
      <c r="Q249" s="459"/>
      <c r="R249" s="457"/>
      <c r="S249" s="458"/>
      <c r="T249" s="459"/>
      <c r="U249" s="457"/>
      <c r="V249" s="458"/>
      <c r="W249" s="459"/>
      <c r="X249" s="457"/>
      <c r="Y249" s="458"/>
      <c r="Z249" s="459"/>
      <c r="AA249" s="457"/>
      <c r="AB249" s="458"/>
      <c r="AC249" s="459">
        <f t="shared" si="99"/>
        <v>0</v>
      </c>
      <c r="AD249" s="457"/>
      <c r="AE249" s="458"/>
      <c r="AF249" s="459">
        <f t="shared" si="102"/>
        <v>0</v>
      </c>
      <c r="AG249" s="457"/>
      <c r="AH249" s="458"/>
      <c r="AI249" s="459"/>
      <c r="AJ249" s="457"/>
      <c r="AK249" s="458"/>
      <c r="AL249" s="459"/>
      <c r="AM249" s="457"/>
      <c r="AN249" s="458"/>
      <c r="AO249" s="459"/>
      <c r="AP249" s="457"/>
      <c r="AQ249" s="458"/>
      <c r="AR249" s="459"/>
      <c r="AS249" s="457"/>
      <c r="AT249" s="458"/>
      <c r="AU249" s="459"/>
      <c r="AV249" s="457"/>
      <c r="AW249" s="458"/>
      <c r="AX249" s="459"/>
      <c r="AY249" s="457"/>
      <c r="AZ249" s="458"/>
      <c r="BA249" s="459"/>
      <c r="BB249" s="457"/>
      <c r="BC249" s="458"/>
      <c r="BD249" s="459">
        <f aca="true" t="shared" si="124" ref="BD249:BD257">IF(BB249&gt;0,(((BC249-BB249)/BB249)*100),0)</f>
        <v>0</v>
      </c>
    </row>
    <row r="250" spans="1:56" ht="12.75">
      <c r="A250" s="160"/>
      <c r="B250" s="219" t="s">
        <v>97</v>
      </c>
      <c r="C250" s="457">
        <v>2269</v>
      </c>
      <c r="D250" s="458">
        <v>2404</v>
      </c>
      <c r="E250" s="459">
        <f t="shared" si="98"/>
        <v>5.949757602468048</v>
      </c>
      <c r="F250" s="457">
        <v>7221</v>
      </c>
      <c r="G250" s="458">
        <v>7659</v>
      </c>
      <c r="H250" s="459">
        <f t="shared" si="112"/>
        <v>6.065641877856252</v>
      </c>
      <c r="I250" s="457"/>
      <c r="J250" s="458"/>
      <c r="K250" s="459">
        <f t="shared" si="113"/>
        <v>0</v>
      </c>
      <c r="L250" s="457"/>
      <c r="M250" s="458"/>
      <c r="N250" s="459">
        <f t="shared" si="114"/>
        <v>0</v>
      </c>
      <c r="O250" s="457"/>
      <c r="P250" s="458"/>
      <c r="Q250" s="459"/>
      <c r="R250" s="457"/>
      <c r="S250" s="458"/>
      <c r="T250" s="459"/>
      <c r="U250" s="457"/>
      <c r="V250" s="458"/>
      <c r="W250" s="459"/>
      <c r="X250" s="457"/>
      <c r="Y250" s="458"/>
      <c r="Z250" s="459"/>
      <c r="AA250" s="457"/>
      <c r="AB250" s="458"/>
      <c r="AC250" s="459">
        <f t="shared" si="99"/>
        <v>0</v>
      </c>
      <c r="AD250" s="457"/>
      <c r="AE250" s="458"/>
      <c r="AF250" s="459">
        <f t="shared" si="102"/>
        <v>0</v>
      </c>
      <c r="AG250" s="457"/>
      <c r="AH250" s="458"/>
      <c r="AI250" s="459">
        <f t="shared" si="103"/>
        <v>0</v>
      </c>
      <c r="AJ250" s="457"/>
      <c r="AK250" s="458"/>
      <c r="AL250" s="459">
        <f t="shared" si="104"/>
        <v>0</v>
      </c>
      <c r="AM250" s="457"/>
      <c r="AN250" s="458"/>
      <c r="AO250" s="459">
        <f t="shared" si="100"/>
        <v>0</v>
      </c>
      <c r="AP250" s="457"/>
      <c r="AQ250" s="458"/>
      <c r="AR250" s="459">
        <f t="shared" si="101"/>
        <v>0</v>
      </c>
      <c r="AS250" s="457"/>
      <c r="AT250" s="458"/>
      <c r="AU250" s="459">
        <f aca="true" t="shared" si="125" ref="AU250:AU257">IF(AS250&gt;0,(((AT250-AS250)/AS250)*100),0)</f>
        <v>0</v>
      </c>
      <c r="AV250" s="457"/>
      <c r="AW250" s="458"/>
      <c r="AX250" s="459">
        <f aca="true" t="shared" si="126" ref="AX250:AX257">IF(AV250&gt;0,(((AW250-AV250)/AV250)*100),0)</f>
        <v>0</v>
      </c>
      <c r="AY250" s="457"/>
      <c r="AZ250" s="458"/>
      <c r="BA250" s="459">
        <f aca="true" t="shared" si="127" ref="BA250:BA257">IF(AY250&gt;0,(((AZ250-AY250)/AY250)*100),0)</f>
        <v>0</v>
      </c>
      <c r="BB250" s="457"/>
      <c r="BC250" s="458"/>
      <c r="BD250" s="459">
        <f t="shared" si="124"/>
        <v>0</v>
      </c>
    </row>
    <row r="251" spans="1:56" ht="12.75">
      <c r="A251" s="160"/>
      <c r="B251" s="219" t="s">
        <v>778</v>
      </c>
      <c r="C251" s="457">
        <v>2269</v>
      </c>
      <c r="D251" s="458">
        <v>2404</v>
      </c>
      <c r="E251" s="459">
        <f t="shared" si="98"/>
        <v>5.949757602468048</v>
      </c>
      <c r="F251" s="457">
        <v>7221</v>
      </c>
      <c r="G251" s="458">
        <v>7659</v>
      </c>
      <c r="H251" s="459">
        <f t="shared" si="112"/>
        <v>6.065641877856252</v>
      </c>
      <c r="I251" s="457"/>
      <c r="J251" s="458"/>
      <c r="K251" s="459">
        <f t="shared" si="113"/>
        <v>0</v>
      </c>
      <c r="L251" s="457"/>
      <c r="M251" s="458"/>
      <c r="N251" s="459">
        <f t="shared" si="114"/>
        <v>0</v>
      </c>
      <c r="O251" s="457"/>
      <c r="P251" s="458"/>
      <c r="Q251" s="459">
        <f aca="true" t="shared" si="128" ref="Q251:Q257">IF(O251&gt;0,(((P251-O251)/O251)*100),0)</f>
        <v>0</v>
      </c>
      <c r="R251" s="457"/>
      <c r="S251" s="458"/>
      <c r="T251" s="459">
        <f aca="true" t="shared" si="129" ref="T251:T257">IF(R251&gt;0,(((S251-R251)/R251)*100),0)</f>
        <v>0</v>
      </c>
      <c r="U251" s="457"/>
      <c r="V251" s="458"/>
      <c r="W251" s="459">
        <f aca="true" t="shared" si="130" ref="W251:W257">IF(U251&gt;0,(((V251-U251)/U251)*100),0)</f>
        <v>0</v>
      </c>
      <c r="X251" s="457"/>
      <c r="Y251" s="458"/>
      <c r="Z251" s="459">
        <f t="shared" si="107"/>
        <v>0</v>
      </c>
      <c r="AA251" s="457"/>
      <c r="AB251" s="458"/>
      <c r="AC251" s="459">
        <f t="shared" si="99"/>
        <v>0</v>
      </c>
      <c r="AD251" s="457"/>
      <c r="AE251" s="458"/>
      <c r="AF251" s="459">
        <f t="shared" si="102"/>
        <v>0</v>
      </c>
      <c r="AG251" s="457"/>
      <c r="AH251" s="458"/>
      <c r="AI251" s="459">
        <f t="shared" si="103"/>
        <v>0</v>
      </c>
      <c r="AJ251" s="457"/>
      <c r="AK251" s="458"/>
      <c r="AL251" s="459">
        <f t="shared" si="104"/>
        <v>0</v>
      </c>
      <c r="AM251" s="457"/>
      <c r="AN251" s="458"/>
      <c r="AO251" s="459">
        <f t="shared" si="100"/>
        <v>0</v>
      </c>
      <c r="AP251" s="457"/>
      <c r="AQ251" s="458"/>
      <c r="AR251" s="459">
        <f t="shared" si="101"/>
        <v>0</v>
      </c>
      <c r="AS251" s="457"/>
      <c r="AT251" s="458"/>
      <c r="AU251" s="459">
        <f t="shared" si="125"/>
        <v>0</v>
      </c>
      <c r="AV251" s="457"/>
      <c r="AW251" s="458"/>
      <c r="AX251" s="459">
        <f t="shared" si="126"/>
        <v>0</v>
      </c>
      <c r="AY251" s="457"/>
      <c r="AZ251" s="458"/>
      <c r="BA251" s="459">
        <f t="shared" si="127"/>
        <v>0</v>
      </c>
      <c r="BB251" s="457"/>
      <c r="BC251" s="458"/>
      <c r="BD251" s="459">
        <f t="shared" si="124"/>
        <v>0</v>
      </c>
    </row>
    <row r="252" spans="1:56" s="465" customFormat="1" ht="20.25" customHeight="1">
      <c r="A252" s="460"/>
      <c r="B252" s="461" t="s">
        <v>426</v>
      </c>
      <c r="C252" s="462">
        <v>2269</v>
      </c>
      <c r="D252" s="463">
        <v>2404</v>
      </c>
      <c r="E252" s="464">
        <f t="shared" si="98"/>
        <v>5.949757602468048</v>
      </c>
      <c r="F252" s="462">
        <v>7221</v>
      </c>
      <c r="G252" s="463">
        <v>7659</v>
      </c>
      <c r="H252" s="464">
        <f t="shared" si="112"/>
        <v>6.065641877856252</v>
      </c>
      <c r="I252" s="462"/>
      <c r="J252" s="463"/>
      <c r="K252" s="464">
        <f t="shared" si="113"/>
        <v>0</v>
      </c>
      <c r="L252" s="462"/>
      <c r="M252" s="463"/>
      <c r="N252" s="464">
        <f t="shared" si="114"/>
        <v>0</v>
      </c>
      <c r="O252" s="462"/>
      <c r="P252" s="463"/>
      <c r="Q252" s="464">
        <f t="shared" si="128"/>
        <v>0</v>
      </c>
      <c r="R252" s="462"/>
      <c r="S252" s="463"/>
      <c r="T252" s="464">
        <f t="shared" si="129"/>
        <v>0</v>
      </c>
      <c r="U252" s="462"/>
      <c r="V252" s="463"/>
      <c r="W252" s="464">
        <f t="shared" si="130"/>
        <v>0</v>
      </c>
      <c r="X252" s="462"/>
      <c r="Y252" s="463"/>
      <c r="Z252" s="464">
        <f t="shared" si="107"/>
        <v>0</v>
      </c>
      <c r="AA252" s="462"/>
      <c r="AB252" s="463"/>
      <c r="AC252" s="464">
        <f t="shared" si="99"/>
        <v>0</v>
      </c>
      <c r="AD252" s="462"/>
      <c r="AE252" s="463"/>
      <c r="AF252" s="464">
        <f t="shared" si="102"/>
        <v>0</v>
      </c>
      <c r="AG252" s="462"/>
      <c r="AH252" s="463"/>
      <c r="AI252" s="464">
        <f t="shared" si="103"/>
        <v>0</v>
      </c>
      <c r="AJ252" s="462"/>
      <c r="AK252" s="463"/>
      <c r="AL252" s="464">
        <f t="shared" si="104"/>
        <v>0</v>
      </c>
      <c r="AM252" s="462"/>
      <c r="AN252" s="463"/>
      <c r="AO252" s="464">
        <f t="shared" si="100"/>
        <v>0</v>
      </c>
      <c r="AP252" s="462"/>
      <c r="AQ252" s="463"/>
      <c r="AR252" s="464">
        <f t="shared" si="101"/>
        <v>0</v>
      </c>
      <c r="AS252" s="462"/>
      <c r="AT252" s="463"/>
      <c r="AU252" s="464">
        <f t="shared" si="125"/>
        <v>0</v>
      </c>
      <c r="AV252" s="462"/>
      <c r="AW252" s="463"/>
      <c r="AX252" s="464">
        <f t="shared" si="126"/>
        <v>0</v>
      </c>
      <c r="AY252" s="462"/>
      <c r="AZ252" s="463"/>
      <c r="BA252" s="464">
        <f t="shared" si="127"/>
        <v>0</v>
      </c>
      <c r="BB252" s="462"/>
      <c r="BC252" s="463"/>
      <c r="BD252" s="464">
        <f t="shared" si="124"/>
        <v>0</v>
      </c>
    </row>
    <row r="253" spans="1:56" ht="12.75">
      <c r="A253" s="160"/>
      <c r="B253" s="219" t="s">
        <v>779</v>
      </c>
      <c r="C253" s="457"/>
      <c r="D253" s="458"/>
      <c r="E253" s="459">
        <f t="shared" si="98"/>
        <v>0</v>
      </c>
      <c r="F253" s="457"/>
      <c r="G253" s="458"/>
      <c r="H253" s="459">
        <f t="shared" si="112"/>
        <v>0</v>
      </c>
      <c r="I253" s="457"/>
      <c r="J253" s="458"/>
      <c r="K253" s="459">
        <f t="shared" si="113"/>
        <v>0</v>
      </c>
      <c r="L253" s="457"/>
      <c r="M253" s="458"/>
      <c r="N253" s="459">
        <f t="shared" si="114"/>
        <v>0</v>
      </c>
      <c r="O253" s="457"/>
      <c r="P253" s="458"/>
      <c r="Q253" s="459">
        <f t="shared" si="128"/>
        <v>0</v>
      </c>
      <c r="R253" s="457"/>
      <c r="S253" s="458"/>
      <c r="T253" s="459">
        <f t="shared" si="129"/>
        <v>0</v>
      </c>
      <c r="U253" s="457"/>
      <c r="V253" s="458"/>
      <c r="W253" s="459">
        <f t="shared" si="130"/>
        <v>0</v>
      </c>
      <c r="X253" s="457"/>
      <c r="Y253" s="458"/>
      <c r="Z253" s="459">
        <f t="shared" si="107"/>
        <v>0</v>
      </c>
      <c r="AA253" s="457"/>
      <c r="AB253" s="458"/>
      <c r="AC253" s="459">
        <f t="shared" si="99"/>
        <v>0</v>
      </c>
      <c r="AD253" s="457"/>
      <c r="AE253" s="458"/>
      <c r="AF253" s="459">
        <f t="shared" si="102"/>
        <v>0</v>
      </c>
      <c r="AG253" s="457"/>
      <c r="AH253" s="458"/>
      <c r="AI253" s="459">
        <f t="shared" si="103"/>
        <v>0</v>
      </c>
      <c r="AJ253" s="457"/>
      <c r="AK253" s="458"/>
      <c r="AL253" s="459">
        <f t="shared" si="104"/>
        <v>0</v>
      </c>
      <c r="AM253" s="457"/>
      <c r="AN253" s="458"/>
      <c r="AO253" s="459">
        <f t="shared" si="100"/>
        <v>0</v>
      </c>
      <c r="AP253" s="457"/>
      <c r="AQ253" s="458"/>
      <c r="AR253" s="459">
        <f t="shared" si="101"/>
        <v>0</v>
      </c>
      <c r="AS253" s="457"/>
      <c r="AT253" s="458"/>
      <c r="AU253" s="459">
        <f t="shared" si="125"/>
        <v>0</v>
      </c>
      <c r="AV253" s="457"/>
      <c r="AW253" s="458"/>
      <c r="AX253" s="459">
        <f t="shared" si="126"/>
        <v>0</v>
      </c>
      <c r="AY253" s="457"/>
      <c r="AZ253" s="458"/>
      <c r="BA253" s="459">
        <f t="shared" si="127"/>
        <v>0</v>
      </c>
      <c r="BB253" s="457"/>
      <c r="BC253" s="458"/>
      <c r="BD253" s="459">
        <f t="shared" si="124"/>
        <v>0</v>
      </c>
    </row>
    <row r="254" spans="1:56" ht="12.75">
      <c r="A254" s="160"/>
      <c r="B254" s="219" t="s">
        <v>1015</v>
      </c>
      <c r="C254" s="457"/>
      <c r="D254" s="458"/>
      <c r="E254" s="459">
        <f t="shared" si="98"/>
        <v>0</v>
      </c>
      <c r="F254" s="457"/>
      <c r="G254" s="458"/>
      <c r="H254" s="459">
        <f t="shared" si="112"/>
        <v>0</v>
      </c>
      <c r="I254" s="457"/>
      <c r="J254" s="458"/>
      <c r="K254" s="459">
        <f t="shared" si="113"/>
        <v>0</v>
      </c>
      <c r="L254" s="457"/>
      <c r="M254" s="458"/>
      <c r="N254" s="459">
        <f t="shared" si="114"/>
        <v>0</v>
      </c>
      <c r="O254" s="457"/>
      <c r="P254" s="458"/>
      <c r="Q254" s="459">
        <f t="shared" si="128"/>
        <v>0</v>
      </c>
      <c r="R254" s="457"/>
      <c r="S254" s="458"/>
      <c r="T254" s="459">
        <f t="shared" si="129"/>
        <v>0</v>
      </c>
      <c r="U254" s="457"/>
      <c r="V254" s="458"/>
      <c r="W254" s="459">
        <f t="shared" si="130"/>
        <v>0</v>
      </c>
      <c r="X254" s="457"/>
      <c r="Y254" s="458"/>
      <c r="Z254" s="459">
        <f t="shared" si="107"/>
        <v>0</v>
      </c>
      <c r="AA254" s="457"/>
      <c r="AB254" s="458"/>
      <c r="AC254" s="459">
        <f t="shared" si="99"/>
        <v>0</v>
      </c>
      <c r="AD254" s="457"/>
      <c r="AE254" s="458"/>
      <c r="AF254" s="459">
        <f t="shared" si="102"/>
        <v>0</v>
      </c>
      <c r="AG254" s="457"/>
      <c r="AH254" s="458"/>
      <c r="AI254" s="459">
        <f t="shared" si="103"/>
        <v>0</v>
      </c>
      <c r="AJ254" s="457"/>
      <c r="AK254" s="458"/>
      <c r="AL254" s="459">
        <f t="shared" si="104"/>
        <v>0</v>
      </c>
      <c r="AM254" s="457"/>
      <c r="AN254" s="458"/>
      <c r="AO254" s="459">
        <f t="shared" si="100"/>
        <v>0</v>
      </c>
      <c r="AP254" s="457"/>
      <c r="AQ254" s="458"/>
      <c r="AR254" s="459">
        <f t="shared" si="101"/>
        <v>0</v>
      </c>
      <c r="AS254" s="457"/>
      <c r="AT254" s="458"/>
      <c r="AU254" s="459">
        <f t="shared" si="125"/>
        <v>0</v>
      </c>
      <c r="AV254" s="457"/>
      <c r="AW254" s="458"/>
      <c r="AX254" s="459">
        <f t="shared" si="126"/>
        <v>0</v>
      </c>
      <c r="AY254" s="457"/>
      <c r="AZ254" s="458"/>
      <c r="BA254" s="459">
        <f t="shared" si="127"/>
        <v>0</v>
      </c>
      <c r="BB254" s="457"/>
      <c r="BC254" s="458"/>
      <c r="BD254" s="459">
        <f t="shared" si="124"/>
        <v>0</v>
      </c>
    </row>
    <row r="255" spans="1:56" ht="12.75">
      <c r="A255" s="160"/>
      <c r="B255" s="219" t="s">
        <v>1016</v>
      </c>
      <c r="C255" s="457"/>
      <c r="D255" s="458"/>
      <c r="E255" s="459">
        <f t="shared" si="98"/>
        <v>0</v>
      </c>
      <c r="F255" s="457"/>
      <c r="G255" s="458"/>
      <c r="H255" s="459">
        <f t="shared" si="112"/>
        <v>0</v>
      </c>
      <c r="I255" s="457"/>
      <c r="J255" s="458"/>
      <c r="K255" s="459">
        <f t="shared" si="113"/>
        <v>0</v>
      </c>
      <c r="L255" s="457"/>
      <c r="M255" s="458"/>
      <c r="N255" s="459">
        <f t="shared" si="114"/>
        <v>0</v>
      </c>
      <c r="O255" s="457"/>
      <c r="P255" s="458"/>
      <c r="Q255" s="459">
        <f t="shared" si="128"/>
        <v>0</v>
      </c>
      <c r="R255" s="457"/>
      <c r="S255" s="458"/>
      <c r="T255" s="459">
        <f t="shared" si="129"/>
        <v>0</v>
      </c>
      <c r="U255" s="457"/>
      <c r="V255" s="458"/>
      <c r="W255" s="459">
        <f t="shared" si="130"/>
        <v>0</v>
      </c>
      <c r="X255" s="457"/>
      <c r="Y255" s="458"/>
      <c r="Z255" s="459">
        <f t="shared" si="107"/>
        <v>0</v>
      </c>
      <c r="AA255" s="457"/>
      <c r="AB255" s="458"/>
      <c r="AC255" s="459">
        <f t="shared" si="99"/>
        <v>0</v>
      </c>
      <c r="AD255" s="457"/>
      <c r="AE255" s="458"/>
      <c r="AF255" s="459">
        <f t="shared" si="102"/>
        <v>0</v>
      </c>
      <c r="AG255" s="457"/>
      <c r="AH255" s="458"/>
      <c r="AI255" s="459">
        <f t="shared" si="103"/>
        <v>0</v>
      </c>
      <c r="AJ255" s="457"/>
      <c r="AK255" s="458"/>
      <c r="AL255" s="459">
        <f t="shared" si="104"/>
        <v>0</v>
      </c>
      <c r="AM255" s="457"/>
      <c r="AN255" s="458"/>
      <c r="AO255" s="459">
        <f t="shared" si="100"/>
        <v>0</v>
      </c>
      <c r="AP255" s="457"/>
      <c r="AQ255" s="458"/>
      <c r="AR255" s="459">
        <f t="shared" si="101"/>
        <v>0</v>
      </c>
      <c r="AS255" s="457"/>
      <c r="AT255" s="458"/>
      <c r="AU255" s="459">
        <f t="shared" si="125"/>
        <v>0</v>
      </c>
      <c r="AV255" s="457"/>
      <c r="AW255" s="458"/>
      <c r="AX255" s="459">
        <f t="shared" si="126"/>
        <v>0</v>
      </c>
      <c r="AY255" s="457"/>
      <c r="AZ255" s="458"/>
      <c r="BA255" s="459">
        <f t="shared" si="127"/>
        <v>0</v>
      </c>
      <c r="BB255" s="457"/>
      <c r="BC255" s="458"/>
      <c r="BD255" s="459">
        <f t="shared" si="124"/>
        <v>0</v>
      </c>
    </row>
    <row r="256" spans="1:56" s="465" customFormat="1" ht="21.75" customHeight="1">
      <c r="A256" s="460"/>
      <c r="B256" s="461" t="s">
        <v>978</v>
      </c>
      <c r="C256" s="462"/>
      <c r="D256" s="463"/>
      <c r="E256" s="464">
        <f t="shared" si="98"/>
        <v>0</v>
      </c>
      <c r="F256" s="462"/>
      <c r="G256" s="463"/>
      <c r="H256" s="464">
        <f t="shared" si="112"/>
        <v>0</v>
      </c>
      <c r="I256" s="462"/>
      <c r="J256" s="463"/>
      <c r="K256" s="464">
        <f t="shared" si="113"/>
        <v>0</v>
      </c>
      <c r="L256" s="462"/>
      <c r="M256" s="463"/>
      <c r="N256" s="464">
        <f t="shared" si="114"/>
        <v>0</v>
      </c>
      <c r="O256" s="462"/>
      <c r="P256" s="463"/>
      <c r="Q256" s="464">
        <f t="shared" si="128"/>
        <v>0</v>
      </c>
      <c r="R256" s="462"/>
      <c r="S256" s="463"/>
      <c r="T256" s="464">
        <f t="shared" si="129"/>
        <v>0</v>
      </c>
      <c r="U256" s="462"/>
      <c r="V256" s="463"/>
      <c r="W256" s="464">
        <f t="shared" si="130"/>
        <v>0</v>
      </c>
      <c r="X256" s="462"/>
      <c r="Y256" s="463"/>
      <c r="Z256" s="464">
        <f t="shared" si="107"/>
        <v>0</v>
      </c>
      <c r="AA256" s="462"/>
      <c r="AB256" s="463"/>
      <c r="AC256" s="464">
        <f t="shared" si="99"/>
        <v>0</v>
      </c>
      <c r="AD256" s="462"/>
      <c r="AE256" s="463"/>
      <c r="AF256" s="464">
        <f t="shared" si="102"/>
        <v>0</v>
      </c>
      <c r="AG256" s="462"/>
      <c r="AH256" s="463"/>
      <c r="AI256" s="464">
        <f t="shared" si="103"/>
        <v>0</v>
      </c>
      <c r="AJ256" s="462"/>
      <c r="AK256" s="463"/>
      <c r="AL256" s="464">
        <f t="shared" si="104"/>
        <v>0</v>
      </c>
      <c r="AM256" s="462"/>
      <c r="AN256" s="463"/>
      <c r="AO256" s="464">
        <f t="shared" si="100"/>
        <v>0</v>
      </c>
      <c r="AP256" s="462"/>
      <c r="AQ256" s="463"/>
      <c r="AR256" s="464">
        <f t="shared" si="101"/>
        <v>0</v>
      </c>
      <c r="AS256" s="462"/>
      <c r="AT256" s="463"/>
      <c r="AU256" s="464">
        <f t="shared" si="125"/>
        <v>0</v>
      </c>
      <c r="AV256" s="462"/>
      <c r="AW256" s="463"/>
      <c r="AX256" s="464">
        <f t="shared" si="126"/>
        <v>0</v>
      </c>
      <c r="AY256" s="462"/>
      <c r="AZ256" s="463"/>
      <c r="BA256" s="464">
        <f t="shared" si="127"/>
        <v>0</v>
      </c>
      <c r="BB256" s="462"/>
      <c r="BC256" s="463"/>
      <c r="BD256" s="464">
        <f t="shared" si="124"/>
        <v>0</v>
      </c>
    </row>
    <row r="257" spans="1:56" ht="12.75">
      <c r="A257" s="466"/>
      <c r="B257" s="467" t="s">
        <v>781</v>
      </c>
      <c r="C257" s="468"/>
      <c r="D257" s="469"/>
      <c r="E257" s="471">
        <f t="shared" si="98"/>
        <v>0</v>
      </c>
      <c r="F257" s="468"/>
      <c r="G257" s="469"/>
      <c r="H257" s="471">
        <f t="shared" si="112"/>
        <v>0</v>
      </c>
      <c r="I257" s="468"/>
      <c r="J257" s="469"/>
      <c r="K257" s="471">
        <f t="shared" si="113"/>
        <v>0</v>
      </c>
      <c r="L257" s="468"/>
      <c r="M257" s="469"/>
      <c r="N257" s="471">
        <f t="shared" si="114"/>
        <v>0</v>
      </c>
      <c r="O257" s="468">
        <v>16600</v>
      </c>
      <c r="P257" s="469">
        <v>18336</v>
      </c>
      <c r="Q257" s="471">
        <f t="shared" si="128"/>
        <v>10.457831325301205</v>
      </c>
      <c r="R257" s="468">
        <v>26800</v>
      </c>
      <c r="S257" s="469">
        <v>28536</v>
      </c>
      <c r="T257" s="471">
        <f t="shared" si="129"/>
        <v>6.477611940298507</v>
      </c>
      <c r="U257" s="468">
        <v>27866.5</v>
      </c>
      <c r="V257" s="469">
        <v>29305</v>
      </c>
      <c r="W257" s="471">
        <f t="shared" si="130"/>
        <v>5.162112213589794</v>
      </c>
      <c r="X257" s="468">
        <v>39668.5</v>
      </c>
      <c r="Y257" s="469">
        <v>41140</v>
      </c>
      <c r="Z257" s="471">
        <f t="shared" si="107"/>
        <v>3.709492418417636</v>
      </c>
      <c r="AA257" s="468">
        <v>21920</v>
      </c>
      <c r="AB257" s="469">
        <v>23388</v>
      </c>
      <c r="AC257" s="471">
        <f t="shared" si="99"/>
        <v>6.697080291970803</v>
      </c>
      <c r="AD257" s="468">
        <v>38548</v>
      </c>
      <c r="AE257" s="469">
        <v>39118</v>
      </c>
      <c r="AF257" s="471">
        <f t="shared" si="102"/>
        <v>1.47867593649476</v>
      </c>
      <c r="AG257" s="468">
        <v>18922</v>
      </c>
      <c r="AH257" s="469">
        <v>20147</v>
      </c>
      <c r="AI257" s="471">
        <f t="shared" si="103"/>
        <v>6.473945671704893</v>
      </c>
      <c r="AJ257" s="468">
        <v>26005</v>
      </c>
      <c r="AK257" s="469">
        <v>26175</v>
      </c>
      <c r="AL257" s="471">
        <f t="shared" si="104"/>
        <v>0.6537204383772351</v>
      </c>
      <c r="AM257" s="468"/>
      <c r="AN257" s="469"/>
      <c r="AO257" s="471">
        <f t="shared" si="100"/>
        <v>0</v>
      </c>
      <c r="AP257" s="468"/>
      <c r="AQ257" s="469"/>
      <c r="AR257" s="471">
        <f t="shared" si="101"/>
        <v>0</v>
      </c>
      <c r="AS257" s="468"/>
      <c r="AT257" s="469"/>
      <c r="AU257" s="471">
        <f t="shared" si="125"/>
        <v>0</v>
      </c>
      <c r="AV257" s="468"/>
      <c r="AW257" s="469"/>
      <c r="AX257" s="471">
        <f t="shared" si="126"/>
        <v>0</v>
      </c>
      <c r="AY257" s="468">
        <v>14738</v>
      </c>
      <c r="AZ257" s="469">
        <v>15951</v>
      </c>
      <c r="BA257" s="471">
        <f t="shared" si="127"/>
        <v>8.230424752340888</v>
      </c>
      <c r="BB257" s="468">
        <v>33692</v>
      </c>
      <c r="BC257" s="469">
        <v>35896</v>
      </c>
      <c r="BD257" s="471">
        <f t="shared" si="124"/>
        <v>6.541612252166687</v>
      </c>
    </row>
    <row r="258" spans="1:56" ht="12.75">
      <c r="A258" s="158" t="s">
        <v>534</v>
      </c>
      <c r="B258" s="219" t="s">
        <v>89</v>
      </c>
      <c r="C258" s="457">
        <v>4476</v>
      </c>
      <c r="D258" s="458">
        <v>4722</v>
      </c>
      <c r="E258" s="459">
        <f t="shared" si="98"/>
        <v>5.495978552278821</v>
      </c>
      <c r="F258" s="457">
        <v>13840</v>
      </c>
      <c r="G258" s="458">
        <v>14600</v>
      </c>
      <c r="H258" s="459">
        <f t="shared" si="112"/>
        <v>5.491329479768786</v>
      </c>
      <c r="I258" s="457">
        <v>4926</v>
      </c>
      <c r="J258" s="458">
        <v>5196</v>
      </c>
      <c r="K258" s="459">
        <f t="shared" si="113"/>
        <v>5.481120584652863</v>
      </c>
      <c r="L258" s="457">
        <v>14278</v>
      </c>
      <c r="M258" s="458">
        <v>15064</v>
      </c>
      <c r="N258" s="459">
        <f t="shared" si="114"/>
        <v>5.504972685250035</v>
      </c>
      <c r="O258" s="457"/>
      <c r="P258" s="458"/>
      <c r="Q258" s="459"/>
      <c r="R258" s="457"/>
      <c r="S258" s="458"/>
      <c r="T258" s="459"/>
      <c r="U258" s="457"/>
      <c r="V258" s="458"/>
      <c r="W258" s="459"/>
      <c r="X258" s="457"/>
      <c r="Y258" s="458"/>
      <c r="Z258" s="459"/>
      <c r="AA258" s="457"/>
      <c r="AB258" s="458"/>
      <c r="AC258" s="459">
        <f t="shared" si="99"/>
        <v>0</v>
      </c>
      <c r="AD258" s="457" t="s">
        <v>782</v>
      </c>
      <c r="AE258" s="458"/>
      <c r="AF258" s="459"/>
      <c r="AG258" s="457"/>
      <c r="AH258" s="458"/>
      <c r="AI258" s="459"/>
      <c r="AJ258" s="457"/>
      <c r="AK258" s="458"/>
      <c r="AL258" s="459"/>
      <c r="AM258" s="457"/>
      <c r="AN258" s="458"/>
      <c r="AO258" s="459"/>
      <c r="AP258" s="457"/>
      <c r="AQ258" s="458"/>
      <c r="AR258" s="459"/>
      <c r="AS258" s="457"/>
      <c r="AT258" s="458"/>
      <c r="AU258" s="459"/>
      <c r="AV258" s="457"/>
      <c r="AW258" s="458"/>
      <c r="AX258" s="459"/>
      <c r="AY258" s="457"/>
      <c r="AZ258" s="458"/>
      <c r="BA258" s="459">
        <f aca="true" t="shared" si="131" ref="BA258:BA274">IF(AY258&gt;0,(((AZ258-AY258)/AY258)*100),0)</f>
        <v>0</v>
      </c>
      <c r="BB258" s="457"/>
      <c r="BC258" s="458"/>
      <c r="BD258" s="459">
        <f aca="true" t="shared" si="132" ref="BD258:BD274">IF(BB258&gt;0,(((BC258-BB258)/BB258)*100),0)</f>
        <v>0</v>
      </c>
    </row>
    <row r="259" spans="1:56" ht="12.75">
      <c r="A259" s="160"/>
      <c r="B259" s="219" t="s">
        <v>90</v>
      </c>
      <c r="C259" s="457"/>
      <c r="D259" s="458"/>
      <c r="E259" s="459">
        <f aca="true" t="shared" si="133" ref="E259:E291">IF(C259&gt;0,(((D259-C259)/C259)*100),0)</f>
        <v>0</v>
      </c>
      <c r="F259" s="457"/>
      <c r="G259" s="458"/>
      <c r="H259" s="459">
        <f t="shared" si="112"/>
        <v>0</v>
      </c>
      <c r="I259" s="457"/>
      <c r="J259" s="458"/>
      <c r="K259" s="459">
        <f t="shared" si="113"/>
        <v>0</v>
      </c>
      <c r="L259" s="457"/>
      <c r="M259" s="458"/>
      <c r="N259" s="459">
        <f t="shared" si="114"/>
        <v>0</v>
      </c>
      <c r="O259" s="457"/>
      <c r="P259" s="458"/>
      <c r="Q259" s="459"/>
      <c r="R259" s="457"/>
      <c r="S259" s="458"/>
      <c r="T259" s="459"/>
      <c r="U259" s="457"/>
      <c r="V259" s="458"/>
      <c r="W259" s="459"/>
      <c r="X259" s="457"/>
      <c r="Y259" s="458"/>
      <c r="Z259" s="459"/>
      <c r="AA259" s="457"/>
      <c r="AB259" s="458"/>
      <c r="AC259" s="459">
        <f aca="true" t="shared" si="134" ref="AC259:AC291">IF(AA259&gt;0,(((AB259-AA259)/AA259)*100),0)</f>
        <v>0</v>
      </c>
      <c r="AD259" s="457"/>
      <c r="AE259" s="458"/>
      <c r="AF259" s="459"/>
      <c r="AG259" s="457"/>
      <c r="AH259" s="458"/>
      <c r="AI259" s="459"/>
      <c r="AJ259" s="457"/>
      <c r="AK259" s="458"/>
      <c r="AL259" s="459"/>
      <c r="AM259" s="457"/>
      <c r="AN259" s="458"/>
      <c r="AO259" s="459"/>
      <c r="AP259" s="457"/>
      <c r="AQ259" s="458"/>
      <c r="AR259" s="459"/>
      <c r="AS259" s="457"/>
      <c r="AT259" s="458"/>
      <c r="AU259" s="459"/>
      <c r="AV259" s="457"/>
      <c r="AW259" s="458"/>
      <c r="AX259" s="459"/>
      <c r="AY259" s="457"/>
      <c r="AZ259" s="458"/>
      <c r="BA259" s="459">
        <f t="shared" si="131"/>
        <v>0</v>
      </c>
      <c r="BB259" s="457"/>
      <c r="BC259" s="458"/>
      <c r="BD259" s="459">
        <f t="shared" si="132"/>
        <v>0</v>
      </c>
    </row>
    <row r="260" spans="1:56" ht="12.75">
      <c r="A260" s="160"/>
      <c r="B260" s="219" t="s">
        <v>91</v>
      </c>
      <c r="C260" s="457">
        <v>4150</v>
      </c>
      <c r="D260" s="458">
        <v>4510</v>
      </c>
      <c r="E260" s="459">
        <f t="shared" si="133"/>
        <v>8.674698795180722</v>
      </c>
      <c r="F260" s="457">
        <v>11054</v>
      </c>
      <c r="G260" s="458">
        <v>11414</v>
      </c>
      <c r="H260" s="459">
        <f t="shared" si="112"/>
        <v>3.2567396417586396</v>
      </c>
      <c r="I260" s="457">
        <v>4386</v>
      </c>
      <c r="J260" s="458">
        <v>4606</v>
      </c>
      <c r="K260" s="459">
        <f t="shared" si="113"/>
        <v>5.015959872321021</v>
      </c>
      <c r="L260" s="457">
        <v>12328</v>
      </c>
      <c r="M260" s="458">
        <v>12548</v>
      </c>
      <c r="N260" s="459">
        <f t="shared" si="114"/>
        <v>1.7845554834523036</v>
      </c>
      <c r="O260" s="457"/>
      <c r="P260" s="458"/>
      <c r="Q260" s="459"/>
      <c r="R260" s="457"/>
      <c r="S260" s="458"/>
      <c r="T260" s="459"/>
      <c r="U260" s="457"/>
      <c r="V260" s="458"/>
      <c r="W260" s="459"/>
      <c r="X260" s="457"/>
      <c r="Y260" s="458"/>
      <c r="Z260" s="459"/>
      <c r="AA260" s="457"/>
      <c r="AB260" s="458"/>
      <c r="AC260" s="459">
        <f t="shared" si="134"/>
        <v>0</v>
      </c>
      <c r="AD260" s="457"/>
      <c r="AE260" s="458"/>
      <c r="AF260" s="459"/>
      <c r="AG260" s="457"/>
      <c r="AH260" s="458"/>
      <c r="AI260" s="459"/>
      <c r="AJ260" s="457"/>
      <c r="AK260" s="458"/>
      <c r="AL260" s="459"/>
      <c r="AM260" s="457"/>
      <c r="AN260" s="458"/>
      <c r="AO260" s="459"/>
      <c r="AP260" s="457"/>
      <c r="AQ260" s="458"/>
      <c r="AR260" s="459"/>
      <c r="AS260" s="457"/>
      <c r="AT260" s="458"/>
      <c r="AU260" s="459"/>
      <c r="AV260" s="457"/>
      <c r="AW260" s="458"/>
      <c r="AX260" s="459"/>
      <c r="AY260" s="457"/>
      <c r="AZ260" s="458"/>
      <c r="BA260" s="459">
        <f t="shared" si="131"/>
        <v>0</v>
      </c>
      <c r="BB260" s="457"/>
      <c r="BC260" s="458"/>
      <c r="BD260" s="459">
        <f t="shared" si="132"/>
        <v>0</v>
      </c>
    </row>
    <row r="261" spans="1:56" ht="12.75">
      <c r="A261" s="160"/>
      <c r="B261" s="219" t="s">
        <v>92</v>
      </c>
      <c r="C261" s="457"/>
      <c r="D261" s="458"/>
      <c r="E261" s="459">
        <f t="shared" si="133"/>
        <v>0</v>
      </c>
      <c r="F261" s="457"/>
      <c r="G261" s="458"/>
      <c r="H261" s="459">
        <f t="shared" si="112"/>
        <v>0</v>
      </c>
      <c r="I261" s="457"/>
      <c r="J261" s="458"/>
      <c r="K261" s="459">
        <f t="shared" si="113"/>
        <v>0</v>
      </c>
      <c r="L261" s="457"/>
      <c r="M261" s="458"/>
      <c r="N261" s="459">
        <f t="shared" si="114"/>
        <v>0</v>
      </c>
      <c r="O261" s="457"/>
      <c r="P261" s="458"/>
      <c r="Q261" s="459"/>
      <c r="R261" s="457"/>
      <c r="S261" s="458"/>
      <c r="T261" s="459"/>
      <c r="U261" s="457"/>
      <c r="V261" s="458"/>
      <c r="W261" s="459"/>
      <c r="X261" s="457"/>
      <c r="Y261" s="458"/>
      <c r="Z261" s="459"/>
      <c r="AA261" s="457"/>
      <c r="AB261" s="458"/>
      <c r="AC261" s="459">
        <f t="shared" si="134"/>
        <v>0</v>
      </c>
      <c r="AD261" s="457"/>
      <c r="AE261" s="458"/>
      <c r="AF261" s="459"/>
      <c r="AG261" s="457"/>
      <c r="AH261" s="458"/>
      <c r="AI261" s="459"/>
      <c r="AJ261" s="457"/>
      <c r="AK261" s="458"/>
      <c r="AL261" s="459"/>
      <c r="AM261" s="457"/>
      <c r="AN261" s="458"/>
      <c r="AO261" s="459"/>
      <c r="AP261" s="457"/>
      <c r="AQ261" s="458"/>
      <c r="AR261" s="459"/>
      <c r="AS261" s="457"/>
      <c r="AT261" s="458"/>
      <c r="AU261" s="459"/>
      <c r="AV261" s="457"/>
      <c r="AW261" s="458"/>
      <c r="AX261" s="459"/>
      <c r="AY261" s="457"/>
      <c r="AZ261" s="458"/>
      <c r="BA261" s="459">
        <f t="shared" si="131"/>
        <v>0</v>
      </c>
      <c r="BB261" s="457"/>
      <c r="BC261" s="458"/>
      <c r="BD261" s="459">
        <f t="shared" si="132"/>
        <v>0</v>
      </c>
    </row>
    <row r="262" spans="1:56" ht="12.75">
      <c r="A262" s="160"/>
      <c r="B262" s="219" t="s">
        <v>93</v>
      </c>
      <c r="C262" s="457"/>
      <c r="D262" s="458"/>
      <c r="E262" s="459">
        <f t="shared" si="133"/>
        <v>0</v>
      </c>
      <c r="F262" s="457"/>
      <c r="G262" s="458"/>
      <c r="H262" s="459">
        <f t="shared" si="112"/>
        <v>0</v>
      </c>
      <c r="I262" s="457"/>
      <c r="J262" s="458"/>
      <c r="K262" s="459">
        <f t="shared" si="113"/>
        <v>0</v>
      </c>
      <c r="L262" s="457"/>
      <c r="M262" s="458"/>
      <c r="N262" s="459">
        <f t="shared" si="114"/>
        <v>0</v>
      </c>
      <c r="O262" s="457"/>
      <c r="P262" s="458"/>
      <c r="Q262" s="459"/>
      <c r="R262" s="457"/>
      <c r="S262" s="458"/>
      <c r="T262" s="459"/>
      <c r="U262" s="457"/>
      <c r="V262" s="458"/>
      <c r="W262" s="459"/>
      <c r="X262" s="457"/>
      <c r="Y262" s="458"/>
      <c r="Z262" s="459"/>
      <c r="AA262" s="457"/>
      <c r="AB262" s="458"/>
      <c r="AC262" s="459">
        <f t="shared" si="134"/>
        <v>0</v>
      </c>
      <c r="AD262" s="457"/>
      <c r="AE262" s="458"/>
      <c r="AF262" s="459"/>
      <c r="AG262" s="457"/>
      <c r="AH262" s="458"/>
      <c r="AI262" s="459"/>
      <c r="AJ262" s="457"/>
      <c r="AK262" s="458"/>
      <c r="AL262" s="459"/>
      <c r="AM262" s="457"/>
      <c r="AN262" s="458"/>
      <c r="AO262" s="459"/>
      <c r="AP262" s="457"/>
      <c r="AQ262" s="458"/>
      <c r="AR262" s="459"/>
      <c r="AS262" s="457"/>
      <c r="AT262" s="458"/>
      <c r="AU262" s="459"/>
      <c r="AV262" s="457"/>
      <c r="AW262" s="458"/>
      <c r="AX262" s="459"/>
      <c r="AY262" s="457"/>
      <c r="AZ262" s="458"/>
      <c r="BA262" s="459">
        <f t="shared" si="131"/>
        <v>0</v>
      </c>
      <c r="BB262" s="457"/>
      <c r="BC262" s="458"/>
      <c r="BD262" s="459">
        <f t="shared" si="132"/>
        <v>0</v>
      </c>
    </row>
    <row r="263" spans="1:56" ht="12.75">
      <c r="A263" s="160"/>
      <c r="B263" s="219" t="s">
        <v>94</v>
      </c>
      <c r="C263" s="457">
        <v>4000</v>
      </c>
      <c r="D263" s="458">
        <v>4294</v>
      </c>
      <c r="E263" s="459">
        <f t="shared" si="133"/>
        <v>7.35</v>
      </c>
      <c r="F263" s="457">
        <v>9316</v>
      </c>
      <c r="G263" s="458">
        <v>9975</v>
      </c>
      <c r="H263" s="459">
        <f t="shared" si="112"/>
        <v>7.073851438385573</v>
      </c>
      <c r="I263" s="457">
        <v>4694</v>
      </c>
      <c r="J263" s="458">
        <v>4746</v>
      </c>
      <c r="K263" s="459">
        <f t="shared" si="113"/>
        <v>1.1077971878994461</v>
      </c>
      <c r="L263" s="457">
        <v>9782</v>
      </c>
      <c r="M263" s="458">
        <v>10710</v>
      </c>
      <c r="N263" s="459">
        <f t="shared" si="114"/>
        <v>9.486812512778572</v>
      </c>
      <c r="O263" s="457"/>
      <c r="P263" s="458"/>
      <c r="Q263" s="459"/>
      <c r="R263" s="457"/>
      <c r="S263" s="458"/>
      <c r="T263" s="459"/>
      <c r="U263" s="457"/>
      <c r="V263" s="458"/>
      <c r="W263" s="459"/>
      <c r="X263" s="457"/>
      <c r="Y263" s="458"/>
      <c r="Z263" s="459"/>
      <c r="AA263" s="457"/>
      <c r="AB263" s="458"/>
      <c r="AC263" s="459">
        <f t="shared" si="134"/>
        <v>0</v>
      </c>
      <c r="AD263" s="457"/>
      <c r="AE263" s="458"/>
      <c r="AF263" s="459"/>
      <c r="AG263" s="457"/>
      <c r="AH263" s="458"/>
      <c r="AI263" s="459"/>
      <c r="AJ263" s="457"/>
      <c r="AK263" s="458"/>
      <c r="AL263" s="459"/>
      <c r="AM263" s="457"/>
      <c r="AN263" s="458"/>
      <c r="AO263" s="459"/>
      <c r="AP263" s="457"/>
      <c r="AQ263" s="458"/>
      <c r="AR263" s="459"/>
      <c r="AS263" s="457"/>
      <c r="AT263" s="458"/>
      <c r="AU263" s="459"/>
      <c r="AV263" s="457"/>
      <c r="AW263" s="458"/>
      <c r="AX263" s="459"/>
      <c r="AY263" s="457"/>
      <c r="AZ263" s="458"/>
      <c r="BA263" s="459">
        <f t="shared" si="131"/>
        <v>0</v>
      </c>
      <c r="BB263" s="457"/>
      <c r="BC263" s="458"/>
      <c r="BD263" s="459">
        <f t="shared" si="132"/>
        <v>0</v>
      </c>
    </row>
    <row r="264" spans="1:56" s="465" customFormat="1" ht="19.5" customHeight="1">
      <c r="A264" s="460"/>
      <c r="B264" s="461" t="s">
        <v>821</v>
      </c>
      <c r="C264" s="462">
        <v>4177</v>
      </c>
      <c r="D264" s="463">
        <v>4462</v>
      </c>
      <c r="E264" s="464">
        <f t="shared" si="133"/>
        <v>6.823078764663634</v>
      </c>
      <c r="F264" s="462">
        <v>9485</v>
      </c>
      <c r="G264" s="463">
        <v>10091</v>
      </c>
      <c r="H264" s="464">
        <f t="shared" si="112"/>
        <v>6.389035318924618</v>
      </c>
      <c r="I264" s="462">
        <v>4694</v>
      </c>
      <c r="J264" s="463">
        <v>4746</v>
      </c>
      <c r="K264" s="464">
        <f t="shared" si="113"/>
        <v>1.1077971878994461</v>
      </c>
      <c r="L264" s="462">
        <v>10188</v>
      </c>
      <c r="M264" s="463">
        <v>10982</v>
      </c>
      <c r="N264" s="464">
        <f t="shared" si="114"/>
        <v>7.793482528464861</v>
      </c>
      <c r="O264" s="462"/>
      <c r="P264" s="463"/>
      <c r="Q264" s="464"/>
      <c r="R264" s="462"/>
      <c r="S264" s="463"/>
      <c r="T264" s="464"/>
      <c r="U264" s="462"/>
      <c r="V264" s="463"/>
      <c r="W264" s="464"/>
      <c r="X264" s="462"/>
      <c r="Y264" s="463"/>
      <c r="Z264" s="464"/>
      <c r="AA264" s="462"/>
      <c r="AB264" s="463"/>
      <c r="AC264" s="464">
        <f t="shared" si="134"/>
        <v>0</v>
      </c>
      <c r="AD264" s="462"/>
      <c r="AE264" s="463"/>
      <c r="AF264" s="464"/>
      <c r="AG264" s="462"/>
      <c r="AH264" s="463"/>
      <c r="AI264" s="464"/>
      <c r="AJ264" s="462"/>
      <c r="AK264" s="463"/>
      <c r="AL264" s="464"/>
      <c r="AM264" s="462"/>
      <c r="AN264" s="463"/>
      <c r="AO264" s="464"/>
      <c r="AP264" s="462"/>
      <c r="AQ264" s="463"/>
      <c r="AR264" s="464"/>
      <c r="AS264" s="462"/>
      <c r="AT264" s="463"/>
      <c r="AU264" s="464"/>
      <c r="AV264" s="462"/>
      <c r="AW264" s="463"/>
      <c r="AX264" s="464"/>
      <c r="AY264" s="462"/>
      <c r="AZ264" s="463"/>
      <c r="BA264" s="464">
        <f t="shared" si="131"/>
        <v>0</v>
      </c>
      <c r="BB264" s="462"/>
      <c r="BC264" s="463"/>
      <c r="BD264" s="464">
        <f t="shared" si="132"/>
        <v>0</v>
      </c>
    </row>
    <row r="265" spans="1:56" ht="12.75">
      <c r="A265" s="160"/>
      <c r="B265" s="219" t="s">
        <v>95</v>
      </c>
      <c r="C265" s="457">
        <v>1746</v>
      </c>
      <c r="D265" s="458">
        <v>1825</v>
      </c>
      <c r="E265" s="459">
        <f t="shared" si="133"/>
        <v>4.524627720504009</v>
      </c>
      <c r="F265" s="457">
        <v>6168</v>
      </c>
      <c r="G265" s="458">
        <v>6460</v>
      </c>
      <c r="H265" s="459">
        <f t="shared" si="112"/>
        <v>4.734111543450065</v>
      </c>
      <c r="I265" s="457"/>
      <c r="J265" s="458"/>
      <c r="K265" s="459">
        <f t="shared" si="113"/>
        <v>0</v>
      </c>
      <c r="L265" s="457"/>
      <c r="M265" s="458"/>
      <c r="N265" s="459">
        <f t="shared" si="114"/>
        <v>0</v>
      </c>
      <c r="O265" s="457"/>
      <c r="P265" s="458"/>
      <c r="Q265" s="459"/>
      <c r="R265" s="457"/>
      <c r="S265" s="458"/>
      <c r="T265" s="459"/>
      <c r="U265" s="457"/>
      <c r="V265" s="458"/>
      <c r="W265" s="459"/>
      <c r="X265" s="457"/>
      <c r="Y265" s="458"/>
      <c r="Z265" s="459"/>
      <c r="AA265" s="457"/>
      <c r="AB265" s="458"/>
      <c r="AC265" s="459">
        <f t="shared" si="134"/>
        <v>0</v>
      </c>
      <c r="AD265" s="457"/>
      <c r="AE265" s="458"/>
      <c r="AF265" s="459"/>
      <c r="AG265" s="457"/>
      <c r="AH265" s="458"/>
      <c r="AI265" s="459"/>
      <c r="AJ265" s="457"/>
      <c r="AK265" s="458"/>
      <c r="AL265" s="459"/>
      <c r="AM265" s="457"/>
      <c r="AN265" s="458"/>
      <c r="AO265" s="459"/>
      <c r="AP265" s="457"/>
      <c r="AQ265" s="458"/>
      <c r="AR265" s="459"/>
      <c r="AS265" s="457"/>
      <c r="AT265" s="458"/>
      <c r="AU265" s="459"/>
      <c r="AV265" s="457"/>
      <c r="AW265" s="458"/>
      <c r="AX265" s="459"/>
      <c r="AY265" s="457"/>
      <c r="AZ265" s="458"/>
      <c r="BA265" s="459">
        <f t="shared" si="131"/>
        <v>0</v>
      </c>
      <c r="BB265" s="457"/>
      <c r="BC265" s="458"/>
      <c r="BD265" s="459">
        <f t="shared" si="132"/>
        <v>0</v>
      </c>
    </row>
    <row r="266" spans="1:56" ht="12.75">
      <c r="A266" s="160"/>
      <c r="B266" s="219" t="s">
        <v>96</v>
      </c>
      <c r="C266" s="457"/>
      <c r="D266" s="458"/>
      <c r="E266" s="459">
        <f t="shared" si="133"/>
        <v>0</v>
      </c>
      <c r="F266" s="457"/>
      <c r="G266" s="458"/>
      <c r="H266" s="459">
        <f t="shared" si="112"/>
        <v>0</v>
      </c>
      <c r="I266" s="457"/>
      <c r="J266" s="458"/>
      <c r="K266" s="459">
        <f t="shared" si="113"/>
        <v>0</v>
      </c>
      <c r="L266" s="457"/>
      <c r="M266" s="458"/>
      <c r="N266" s="459">
        <f t="shared" si="114"/>
        <v>0</v>
      </c>
      <c r="O266" s="457"/>
      <c r="P266" s="458"/>
      <c r="Q266" s="459"/>
      <c r="R266" s="457"/>
      <c r="S266" s="458"/>
      <c r="T266" s="459"/>
      <c r="U266" s="457"/>
      <c r="V266" s="458"/>
      <c r="W266" s="459"/>
      <c r="X266" s="457"/>
      <c r="Y266" s="458"/>
      <c r="Z266" s="459"/>
      <c r="AA266" s="457"/>
      <c r="AB266" s="458"/>
      <c r="AC266" s="459">
        <f t="shared" si="134"/>
        <v>0</v>
      </c>
      <c r="AD266" s="457"/>
      <c r="AE266" s="458"/>
      <c r="AF266" s="459"/>
      <c r="AG266" s="457"/>
      <c r="AH266" s="458"/>
      <c r="AI266" s="459"/>
      <c r="AJ266" s="457"/>
      <c r="AK266" s="458"/>
      <c r="AL266" s="459"/>
      <c r="AM266" s="457"/>
      <c r="AN266" s="458"/>
      <c r="AO266" s="459"/>
      <c r="AP266" s="457"/>
      <c r="AQ266" s="458"/>
      <c r="AR266" s="459"/>
      <c r="AS266" s="457"/>
      <c r="AT266" s="458"/>
      <c r="AU266" s="459"/>
      <c r="AV266" s="457"/>
      <c r="AW266" s="458"/>
      <c r="AX266" s="459"/>
      <c r="AY266" s="457"/>
      <c r="AZ266" s="458"/>
      <c r="BA266" s="459">
        <f t="shared" si="131"/>
        <v>0</v>
      </c>
      <c r="BB266" s="457"/>
      <c r="BC266" s="458"/>
      <c r="BD266" s="459">
        <f t="shared" si="132"/>
        <v>0</v>
      </c>
    </row>
    <row r="267" spans="1:56" ht="12.75">
      <c r="A267" s="160"/>
      <c r="B267" s="219" t="s">
        <v>97</v>
      </c>
      <c r="C267" s="457">
        <v>3212</v>
      </c>
      <c r="D267" s="458">
        <v>3212</v>
      </c>
      <c r="E267" s="459">
        <f t="shared" si="133"/>
        <v>0</v>
      </c>
      <c r="F267" s="457">
        <v>7394</v>
      </c>
      <c r="G267" s="458">
        <v>7966</v>
      </c>
      <c r="H267" s="459">
        <f t="shared" si="112"/>
        <v>7.736002163916689</v>
      </c>
      <c r="I267" s="457"/>
      <c r="J267" s="458"/>
      <c r="K267" s="459">
        <f t="shared" si="113"/>
        <v>0</v>
      </c>
      <c r="L267" s="457"/>
      <c r="M267" s="458"/>
      <c r="N267" s="459">
        <f t="shared" si="114"/>
        <v>0</v>
      </c>
      <c r="O267" s="457"/>
      <c r="P267" s="458"/>
      <c r="Q267" s="459"/>
      <c r="R267" s="457"/>
      <c r="S267" s="458"/>
      <c r="T267" s="459"/>
      <c r="U267" s="457"/>
      <c r="V267" s="458"/>
      <c r="W267" s="459"/>
      <c r="X267" s="457"/>
      <c r="Y267" s="458"/>
      <c r="Z267" s="459"/>
      <c r="AA267" s="457"/>
      <c r="AB267" s="458"/>
      <c r="AC267" s="459">
        <f t="shared" si="134"/>
        <v>0</v>
      </c>
      <c r="AD267" s="457"/>
      <c r="AE267" s="458"/>
      <c r="AF267" s="459"/>
      <c r="AG267" s="457"/>
      <c r="AH267" s="458"/>
      <c r="AI267" s="459"/>
      <c r="AJ267" s="457"/>
      <c r="AK267" s="458"/>
      <c r="AL267" s="459"/>
      <c r="AM267" s="457"/>
      <c r="AN267" s="458"/>
      <c r="AO267" s="459"/>
      <c r="AP267" s="457"/>
      <c r="AQ267" s="458"/>
      <c r="AR267" s="459"/>
      <c r="AS267" s="457"/>
      <c r="AT267" s="458"/>
      <c r="AU267" s="459"/>
      <c r="AV267" s="457"/>
      <c r="AW267" s="458"/>
      <c r="AX267" s="459"/>
      <c r="AY267" s="457"/>
      <c r="AZ267" s="458"/>
      <c r="BA267" s="459">
        <f t="shared" si="131"/>
        <v>0</v>
      </c>
      <c r="BB267" s="457"/>
      <c r="BC267" s="458"/>
      <c r="BD267" s="459">
        <f t="shared" si="132"/>
        <v>0</v>
      </c>
    </row>
    <row r="268" spans="1:56" ht="12.75">
      <c r="A268" s="160"/>
      <c r="B268" s="219" t="s">
        <v>778</v>
      </c>
      <c r="C268" s="457">
        <v>2748</v>
      </c>
      <c r="D268" s="458">
        <v>2748</v>
      </c>
      <c r="E268" s="459">
        <f t="shared" si="133"/>
        <v>0</v>
      </c>
      <c r="F268" s="457">
        <v>7718</v>
      </c>
      <c r="G268" s="458">
        <v>8084</v>
      </c>
      <c r="H268" s="459">
        <f t="shared" si="112"/>
        <v>4.7421611816532785</v>
      </c>
      <c r="I268" s="457"/>
      <c r="J268" s="458"/>
      <c r="K268" s="459">
        <f t="shared" si="113"/>
        <v>0</v>
      </c>
      <c r="L268" s="457"/>
      <c r="M268" s="458"/>
      <c r="N268" s="459">
        <f t="shared" si="114"/>
        <v>0</v>
      </c>
      <c r="O268" s="457"/>
      <c r="P268" s="458"/>
      <c r="Q268" s="459">
        <f aca="true" t="shared" si="135" ref="Q268:Q291">IF(O268&gt;0,(((P268-O268)/O268)*100),0)</f>
        <v>0</v>
      </c>
      <c r="R268" s="457"/>
      <c r="S268" s="458"/>
      <c r="T268" s="459">
        <f aca="true" t="shared" si="136" ref="T268:T291">IF(R268&gt;0,(((S268-R268)/R268)*100),0)</f>
        <v>0</v>
      </c>
      <c r="U268" s="457"/>
      <c r="V268" s="458"/>
      <c r="W268" s="459">
        <f aca="true" t="shared" si="137" ref="W268:W274">IF(U268&gt;0,(((V268-U268)/U268)*100),0)</f>
        <v>0</v>
      </c>
      <c r="X268" s="457"/>
      <c r="Y268" s="458"/>
      <c r="Z268" s="459">
        <f aca="true" t="shared" si="138" ref="Z268:Z291">IF(X268&gt;0,(((Y268-X268)/X268)*100),0)</f>
        <v>0</v>
      </c>
      <c r="AA268" s="457"/>
      <c r="AB268" s="458"/>
      <c r="AC268" s="459">
        <f t="shared" si="134"/>
        <v>0</v>
      </c>
      <c r="AD268" s="457"/>
      <c r="AE268" s="458"/>
      <c r="AF268" s="459"/>
      <c r="AG268" s="457"/>
      <c r="AH268" s="458"/>
      <c r="AI268" s="459"/>
      <c r="AJ268" s="457"/>
      <c r="AK268" s="458"/>
      <c r="AL268" s="459"/>
      <c r="AM268" s="457"/>
      <c r="AN268" s="458"/>
      <c r="AO268" s="459"/>
      <c r="AP268" s="457"/>
      <c r="AQ268" s="458"/>
      <c r="AR268" s="459"/>
      <c r="AS268" s="457"/>
      <c r="AT268" s="458"/>
      <c r="AU268" s="459"/>
      <c r="AV268" s="457"/>
      <c r="AW268" s="458"/>
      <c r="AX268" s="459"/>
      <c r="AY268" s="457"/>
      <c r="AZ268" s="458"/>
      <c r="BA268" s="459">
        <f t="shared" si="131"/>
        <v>0</v>
      </c>
      <c r="BB268" s="457"/>
      <c r="BC268" s="458"/>
      <c r="BD268" s="459">
        <f t="shared" si="132"/>
        <v>0</v>
      </c>
    </row>
    <row r="269" spans="1:56" s="465" customFormat="1" ht="20.25" customHeight="1">
      <c r="A269" s="460"/>
      <c r="B269" s="461" t="s">
        <v>426</v>
      </c>
      <c r="C269" s="462">
        <v>2748</v>
      </c>
      <c r="D269" s="463">
        <v>2748</v>
      </c>
      <c r="E269" s="464">
        <f t="shared" si="133"/>
        <v>0</v>
      </c>
      <c r="F269" s="462">
        <v>7394</v>
      </c>
      <c r="G269" s="463">
        <v>7966</v>
      </c>
      <c r="H269" s="464">
        <f t="shared" si="112"/>
        <v>7.736002163916689</v>
      </c>
      <c r="I269" s="462"/>
      <c r="J269" s="463"/>
      <c r="K269" s="464">
        <f t="shared" si="113"/>
        <v>0</v>
      </c>
      <c r="L269" s="462"/>
      <c r="M269" s="463"/>
      <c r="N269" s="464">
        <f t="shared" si="114"/>
        <v>0</v>
      </c>
      <c r="O269" s="462"/>
      <c r="P269" s="463"/>
      <c r="Q269" s="464">
        <f t="shared" si="135"/>
        <v>0</v>
      </c>
      <c r="R269" s="462"/>
      <c r="S269" s="463"/>
      <c r="T269" s="464">
        <f t="shared" si="136"/>
        <v>0</v>
      </c>
      <c r="U269" s="462"/>
      <c r="V269" s="463"/>
      <c r="W269" s="464">
        <f t="shared" si="137"/>
        <v>0</v>
      </c>
      <c r="X269" s="462"/>
      <c r="Y269" s="463"/>
      <c r="Z269" s="464">
        <f t="shared" si="138"/>
        <v>0</v>
      </c>
      <c r="AA269" s="462"/>
      <c r="AB269" s="463"/>
      <c r="AC269" s="464">
        <f t="shared" si="134"/>
        <v>0</v>
      </c>
      <c r="AD269" s="462"/>
      <c r="AE269" s="463"/>
      <c r="AF269" s="464"/>
      <c r="AG269" s="462"/>
      <c r="AH269" s="463"/>
      <c r="AI269" s="464"/>
      <c r="AJ269" s="462"/>
      <c r="AK269" s="463"/>
      <c r="AL269" s="464"/>
      <c r="AM269" s="462"/>
      <c r="AN269" s="463"/>
      <c r="AO269" s="464"/>
      <c r="AP269" s="462"/>
      <c r="AQ269" s="463"/>
      <c r="AR269" s="464"/>
      <c r="AS269" s="462"/>
      <c r="AT269" s="463"/>
      <c r="AU269" s="464"/>
      <c r="AV269" s="462"/>
      <c r="AW269" s="463"/>
      <c r="AX269" s="464"/>
      <c r="AY269" s="462"/>
      <c r="AZ269" s="463"/>
      <c r="BA269" s="464">
        <f t="shared" si="131"/>
        <v>0</v>
      </c>
      <c r="BB269" s="462"/>
      <c r="BC269" s="463"/>
      <c r="BD269" s="464">
        <f t="shared" si="132"/>
        <v>0</v>
      </c>
    </row>
    <row r="270" spans="1:56" ht="12.75">
      <c r="A270" s="160"/>
      <c r="B270" s="219" t="s">
        <v>779</v>
      </c>
      <c r="C270" s="457"/>
      <c r="D270" s="458"/>
      <c r="E270" s="459">
        <f t="shared" si="133"/>
        <v>0</v>
      </c>
      <c r="F270" s="457"/>
      <c r="G270" s="458"/>
      <c r="H270" s="459">
        <f t="shared" si="112"/>
        <v>0</v>
      </c>
      <c r="I270" s="457"/>
      <c r="J270" s="458"/>
      <c r="K270" s="459">
        <f t="shared" si="113"/>
        <v>0</v>
      </c>
      <c r="L270" s="457"/>
      <c r="M270" s="458"/>
      <c r="N270" s="459">
        <f t="shared" si="114"/>
        <v>0</v>
      </c>
      <c r="O270" s="457"/>
      <c r="P270" s="458"/>
      <c r="Q270" s="459">
        <f t="shared" si="135"/>
        <v>0</v>
      </c>
      <c r="R270" s="457"/>
      <c r="S270" s="458"/>
      <c r="T270" s="459">
        <f t="shared" si="136"/>
        <v>0</v>
      </c>
      <c r="U270" s="457"/>
      <c r="V270" s="458"/>
      <c r="W270" s="459">
        <f t="shared" si="137"/>
        <v>0</v>
      </c>
      <c r="X270" s="457"/>
      <c r="Y270" s="458"/>
      <c r="Z270" s="459">
        <f t="shared" si="138"/>
        <v>0</v>
      </c>
      <c r="AA270" s="457"/>
      <c r="AB270" s="458"/>
      <c r="AC270" s="459">
        <f t="shared" si="134"/>
        <v>0</v>
      </c>
      <c r="AD270" s="457"/>
      <c r="AE270" s="458"/>
      <c r="AF270" s="459"/>
      <c r="AG270" s="457"/>
      <c r="AH270" s="458"/>
      <c r="AI270" s="459"/>
      <c r="AJ270" s="457"/>
      <c r="AK270" s="458"/>
      <c r="AL270" s="459"/>
      <c r="AM270" s="457"/>
      <c r="AN270" s="458"/>
      <c r="AO270" s="459"/>
      <c r="AP270" s="457"/>
      <c r="AQ270" s="458"/>
      <c r="AR270" s="459"/>
      <c r="AS270" s="457"/>
      <c r="AT270" s="458"/>
      <c r="AU270" s="459"/>
      <c r="AV270" s="457"/>
      <c r="AW270" s="458"/>
      <c r="AX270" s="459"/>
      <c r="AY270" s="457"/>
      <c r="AZ270" s="458"/>
      <c r="BA270" s="459">
        <f t="shared" si="131"/>
        <v>0</v>
      </c>
      <c r="BB270" s="457"/>
      <c r="BC270" s="458"/>
      <c r="BD270" s="459">
        <f t="shared" si="132"/>
        <v>0</v>
      </c>
    </row>
    <row r="271" spans="1:56" ht="12.75">
      <c r="A271" s="160"/>
      <c r="B271" s="219" t="s">
        <v>1015</v>
      </c>
      <c r="C271" s="457"/>
      <c r="D271" s="458"/>
      <c r="E271" s="459">
        <f t="shared" si="133"/>
        <v>0</v>
      </c>
      <c r="F271" s="457"/>
      <c r="G271" s="458"/>
      <c r="H271" s="459">
        <f t="shared" si="112"/>
        <v>0</v>
      </c>
      <c r="I271" s="457"/>
      <c r="J271" s="458"/>
      <c r="K271" s="459">
        <f t="shared" si="113"/>
        <v>0</v>
      </c>
      <c r="L271" s="457"/>
      <c r="M271" s="458"/>
      <c r="N271" s="459">
        <f t="shared" si="114"/>
        <v>0</v>
      </c>
      <c r="O271" s="457"/>
      <c r="P271" s="458"/>
      <c r="Q271" s="459">
        <f t="shared" si="135"/>
        <v>0</v>
      </c>
      <c r="R271" s="457"/>
      <c r="S271" s="458"/>
      <c r="T271" s="459">
        <f t="shared" si="136"/>
        <v>0</v>
      </c>
      <c r="U271" s="457"/>
      <c r="V271" s="458"/>
      <c r="W271" s="459">
        <f t="shared" si="137"/>
        <v>0</v>
      </c>
      <c r="X271" s="457"/>
      <c r="Y271" s="458"/>
      <c r="Z271" s="459">
        <f t="shared" si="138"/>
        <v>0</v>
      </c>
      <c r="AA271" s="457"/>
      <c r="AB271" s="458"/>
      <c r="AC271" s="459">
        <f t="shared" si="134"/>
        <v>0</v>
      </c>
      <c r="AD271" s="457"/>
      <c r="AE271" s="458"/>
      <c r="AF271" s="459">
        <f>IF(AD271&gt;0,(((AE271-AD271)/AD271)*100),0)</f>
        <v>0</v>
      </c>
      <c r="AG271" s="457"/>
      <c r="AH271" s="458"/>
      <c r="AI271" s="459">
        <f>IF(AG271&gt;0,(((AH271-AG271)/AG271)*100),0)</f>
        <v>0</v>
      </c>
      <c r="AJ271" s="457"/>
      <c r="AK271" s="458"/>
      <c r="AL271" s="459">
        <f>IF(AJ271&gt;0,(((AK271-AJ271)/AJ271)*100),0)</f>
        <v>0</v>
      </c>
      <c r="AM271" s="457"/>
      <c r="AN271" s="458"/>
      <c r="AO271" s="459">
        <f>IF(AM271&gt;0,(((AN271-AM271)/AM271)*100),0)</f>
        <v>0</v>
      </c>
      <c r="AP271" s="457"/>
      <c r="AQ271" s="458"/>
      <c r="AR271" s="459">
        <f>IF(AP271&gt;0,(((AQ271-AP271)/AP271)*100),0)</f>
        <v>0</v>
      </c>
      <c r="AS271" s="457"/>
      <c r="AT271" s="458"/>
      <c r="AU271" s="459">
        <f>IF(AS271&gt;0,(((AT271-AS271)/AS271)*100),0)</f>
        <v>0</v>
      </c>
      <c r="AV271" s="457"/>
      <c r="AW271" s="458"/>
      <c r="AX271" s="459">
        <f>IF(AV271&gt;0,(((AW271-AV271)/AV271)*100),0)</f>
        <v>0</v>
      </c>
      <c r="AY271" s="457"/>
      <c r="AZ271" s="458"/>
      <c r="BA271" s="459">
        <f t="shared" si="131"/>
        <v>0</v>
      </c>
      <c r="BB271" s="457"/>
      <c r="BC271" s="458"/>
      <c r="BD271" s="459">
        <f t="shared" si="132"/>
        <v>0</v>
      </c>
    </row>
    <row r="272" spans="1:56" ht="12.75">
      <c r="A272" s="160"/>
      <c r="B272" s="219" t="s">
        <v>1016</v>
      </c>
      <c r="C272" s="457"/>
      <c r="D272" s="458"/>
      <c r="E272" s="459">
        <f t="shared" si="133"/>
        <v>0</v>
      </c>
      <c r="F272" s="457"/>
      <c r="G272" s="458"/>
      <c r="H272" s="459">
        <f t="shared" si="112"/>
        <v>0</v>
      </c>
      <c r="I272" s="457"/>
      <c r="J272" s="458"/>
      <c r="K272" s="459">
        <f t="shared" si="113"/>
        <v>0</v>
      </c>
      <c r="L272" s="457"/>
      <c r="M272" s="458"/>
      <c r="N272" s="459">
        <f t="shared" si="114"/>
        <v>0</v>
      </c>
      <c r="O272" s="457"/>
      <c r="P272" s="458"/>
      <c r="Q272" s="459">
        <f t="shared" si="135"/>
        <v>0</v>
      </c>
      <c r="R272" s="457"/>
      <c r="S272" s="458"/>
      <c r="T272" s="459">
        <f t="shared" si="136"/>
        <v>0</v>
      </c>
      <c r="U272" s="457"/>
      <c r="V272" s="458"/>
      <c r="W272" s="459">
        <f t="shared" si="137"/>
        <v>0</v>
      </c>
      <c r="X272" s="457"/>
      <c r="Y272" s="458"/>
      <c r="Z272" s="459">
        <f t="shared" si="138"/>
        <v>0</v>
      </c>
      <c r="AA272" s="457"/>
      <c r="AB272" s="458"/>
      <c r="AC272" s="459">
        <f t="shared" si="134"/>
        <v>0</v>
      </c>
      <c r="AD272" s="457"/>
      <c r="AE272" s="458"/>
      <c r="AF272" s="459">
        <f>IF(AD272&gt;0,(((AE272-AD272)/AD272)*100),0)</f>
        <v>0</v>
      </c>
      <c r="AG272" s="457"/>
      <c r="AH272" s="458"/>
      <c r="AI272" s="459">
        <f>IF(AG272&gt;0,(((AH272-AG272)/AG272)*100),0)</f>
        <v>0</v>
      </c>
      <c r="AJ272" s="457"/>
      <c r="AK272" s="458"/>
      <c r="AL272" s="459">
        <f>IF(AJ272&gt;0,(((AK272-AJ272)/AJ272)*100),0)</f>
        <v>0</v>
      </c>
      <c r="AM272" s="457"/>
      <c r="AN272" s="458"/>
      <c r="AO272" s="459">
        <f>IF(AM272&gt;0,(((AN272-AM272)/AM272)*100),0)</f>
        <v>0</v>
      </c>
      <c r="AP272" s="457"/>
      <c r="AQ272" s="458"/>
      <c r="AR272" s="459">
        <f>IF(AP272&gt;0,(((AQ272-AP272)/AP272)*100),0)</f>
        <v>0</v>
      </c>
      <c r="AS272" s="457"/>
      <c r="AT272" s="458"/>
      <c r="AU272" s="459">
        <f>IF(AS272&gt;0,(((AT272-AS272)/AS272)*100),0)</f>
        <v>0</v>
      </c>
      <c r="AV272" s="457"/>
      <c r="AW272" s="458"/>
      <c r="AX272" s="459">
        <f>IF(AV272&gt;0,(((AW272-AV272)/AV272)*100),0)</f>
        <v>0</v>
      </c>
      <c r="AY272" s="457"/>
      <c r="AZ272" s="458"/>
      <c r="BA272" s="459">
        <f t="shared" si="131"/>
        <v>0</v>
      </c>
      <c r="BB272" s="457"/>
      <c r="BC272" s="458"/>
      <c r="BD272" s="459">
        <f t="shared" si="132"/>
        <v>0</v>
      </c>
    </row>
    <row r="273" spans="1:56" s="465" customFormat="1" ht="21.75" customHeight="1">
      <c r="A273" s="460"/>
      <c r="B273" s="461" t="s">
        <v>978</v>
      </c>
      <c r="C273" s="462"/>
      <c r="D273" s="463"/>
      <c r="E273" s="464">
        <f t="shared" si="133"/>
        <v>0</v>
      </c>
      <c r="F273" s="462"/>
      <c r="G273" s="463"/>
      <c r="H273" s="464">
        <f t="shared" si="112"/>
        <v>0</v>
      </c>
      <c r="I273" s="462"/>
      <c r="J273" s="463"/>
      <c r="K273" s="464">
        <f t="shared" si="113"/>
        <v>0</v>
      </c>
      <c r="L273" s="462"/>
      <c r="M273" s="463"/>
      <c r="N273" s="464">
        <f t="shared" si="114"/>
        <v>0</v>
      </c>
      <c r="O273" s="462"/>
      <c r="P273" s="463"/>
      <c r="Q273" s="464">
        <f t="shared" si="135"/>
        <v>0</v>
      </c>
      <c r="R273" s="462"/>
      <c r="S273" s="463"/>
      <c r="T273" s="464">
        <f t="shared" si="136"/>
        <v>0</v>
      </c>
      <c r="U273" s="462"/>
      <c r="V273" s="463"/>
      <c r="W273" s="464">
        <f t="shared" si="137"/>
        <v>0</v>
      </c>
      <c r="X273" s="462"/>
      <c r="Y273" s="463"/>
      <c r="Z273" s="464">
        <f t="shared" si="138"/>
        <v>0</v>
      </c>
      <c r="AA273" s="462"/>
      <c r="AB273" s="463"/>
      <c r="AC273" s="464">
        <f t="shared" si="134"/>
        <v>0</v>
      </c>
      <c r="AD273" s="462"/>
      <c r="AE273" s="463"/>
      <c r="AF273" s="464">
        <f>IF(AD273&gt;0,(((AE273-AD273)/AD273)*100),0)</f>
        <v>0</v>
      </c>
      <c r="AG273" s="462"/>
      <c r="AH273" s="463"/>
      <c r="AI273" s="464">
        <f>IF(AG273&gt;0,(((AH273-AG273)/AG273)*100),0)</f>
        <v>0</v>
      </c>
      <c r="AJ273" s="462"/>
      <c r="AK273" s="463"/>
      <c r="AL273" s="464">
        <f>IF(AJ273&gt;0,(((AK273-AJ273)/AJ273)*100),0)</f>
        <v>0</v>
      </c>
      <c r="AM273" s="462"/>
      <c r="AN273" s="463"/>
      <c r="AO273" s="464">
        <f>IF(AM273&gt;0,(((AN273-AM273)/AM273)*100),0)</f>
        <v>0</v>
      </c>
      <c r="AP273" s="462"/>
      <c r="AQ273" s="463"/>
      <c r="AR273" s="464">
        <f>IF(AP273&gt;0,(((AQ273-AP273)/AP273)*100),0)</f>
        <v>0</v>
      </c>
      <c r="AS273" s="462"/>
      <c r="AT273" s="463"/>
      <c r="AU273" s="464">
        <f>IF(AS273&gt;0,(((AT273-AS273)/AS273)*100),0)</f>
        <v>0</v>
      </c>
      <c r="AV273" s="462"/>
      <c r="AW273" s="463"/>
      <c r="AX273" s="464">
        <f>IF(AV273&gt;0,(((AW273-AV273)/AV273)*100),0)</f>
        <v>0</v>
      </c>
      <c r="AY273" s="462"/>
      <c r="AZ273" s="463"/>
      <c r="BA273" s="464">
        <f t="shared" si="131"/>
        <v>0</v>
      </c>
      <c r="BB273" s="462"/>
      <c r="BC273" s="463"/>
      <c r="BD273" s="464">
        <f t="shared" si="132"/>
        <v>0</v>
      </c>
    </row>
    <row r="274" spans="1:56" ht="12.75">
      <c r="A274" s="466"/>
      <c r="B274" s="467" t="s">
        <v>781</v>
      </c>
      <c r="C274" s="468"/>
      <c r="D274" s="469"/>
      <c r="E274" s="471">
        <f t="shared" si="133"/>
        <v>0</v>
      </c>
      <c r="F274" s="468"/>
      <c r="G274" s="469"/>
      <c r="H274" s="471">
        <f t="shared" si="112"/>
        <v>0</v>
      </c>
      <c r="I274" s="468"/>
      <c r="J274" s="469"/>
      <c r="K274" s="471">
        <f t="shared" si="113"/>
        <v>0</v>
      </c>
      <c r="L274" s="468"/>
      <c r="M274" s="469"/>
      <c r="N274" s="471">
        <f t="shared" si="114"/>
        <v>0</v>
      </c>
      <c r="O274" s="468">
        <v>9342</v>
      </c>
      <c r="P274" s="469">
        <v>9856</v>
      </c>
      <c r="Q274" s="471">
        <f t="shared" si="135"/>
        <v>5.502033825733248</v>
      </c>
      <c r="R274" s="468">
        <v>21710</v>
      </c>
      <c r="S274" s="469">
        <v>22432</v>
      </c>
      <c r="T274" s="471">
        <f t="shared" si="136"/>
        <v>3.325656379548595</v>
      </c>
      <c r="U274" s="468">
        <v>16959</v>
      </c>
      <c r="V274" s="469">
        <v>16193</v>
      </c>
      <c r="W274" s="471">
        <f t="shared" si="137"/>
        <v>-4.51677575328734</v>
      </c>
      <c r="X274" s="468">
        <v>39816</v>
      </c>
      <c r="Y274" s="469">
        <v>38368</v>
      </c>
      <c r="Z274" s="471">
        <f t="shared" si="138"/>
        <v>-3.6367289531846496</v>
      </c>
      <c r="AA274" s="468">
        <v>11340</v>
      </c>
      <c r="AB274" s="469">
        <v>11920</v>
      </c>
      <c r="AC274" s="471">
        <f t="shared" si="134"/>
        <v>5.114638447971781</v>
      </c>
      <c r="AD274" s="468">
        <v>27318</v>
      </c>
      <c r="AE274" s="469">
        <v>37518</v>
      </c>
      <c r="AF274" s="471">
        <f>IF(AD274&gt;0,(((AE274-AD274)/AD274)*100),0)</f>
        <v>37.33801888864485</v>
      </c>
      <c r="AG274" s="468">
        <v>8960</v>
      </c>
      <c r="AH274" s="469">
        <v>12450</v>
      </c>
      <c r="AI274" s="471">
        <f>IF(AG274&gt;0,(((AH274-AG274)/AG274)*100),0)</f>
        <v>38.950892857142854</v>
      </c>
      <c r="AJ274" s="468">
        <v>23412</v>
      </c>
      <c r="AK274" s="469">
        <v>24838</v>
      </c>
      <c r="AL274" s="471">
        <f>IF(AJ274&gt;0,(((AK274-AJ274)/AJ274)*100),0)</f>
        <v>6.090893558858705</v>
      </c>
      <c r="AM274" s="468"/>
      <c r="AN274" s="469"/>
      <c r="AO274" s="471">
        <f>IF(AM274&gt;0,(((AN274-AM274)/AM274)*100),0)</f>
        <v>0</v>
      </c>
      <c r="AP274" s="468"/>
      <c r="AQ274" s="469"/>
      <c r="AR274" s="471">
        <f>IF(AP274&gt;0,(((AQ274-AP274)/AP274)*100),0)</f>
        <v>0</v>
      </c>
      <c r="AS274" s="468">
        <v>18886</v>
      </c>
      <c r="AT274" s="469">
        <v>19830</v>
      </c>
      <c r="AU274" s="471">
        <f>IF(AS274&gt;0,(((AT274-AS274)/AS274)*100),0)</f>
        <v>4.998411521762152</v>
      </c>
      <c r="AV274" s="468">
        <v>46736</v>
      </c>
      <c r="AW274" s="469">
        <v>49073</v>
      </c>
      <c r="AX274" s="471">
        <f>IF(AV274&gt;0,(((AW274-AV274)/AV274)*100),0)</f>
        <v>5.000427935638481</v>
      </c>
      <c r="AY274" s="468"/>
      <c r="AZ274" s="469"/>
      <c r="BA274" s="471">
        <f t="shared" si="131"/>
        <v>0</v>
      </c>
      <c r="BB274" s="468"/>
      <c r="BC274" s="469"/>
      <c r="BD274" s="471">
        <f t="shared" si="132"/>
        <v>0</v>
      </c>
    </row>
    <row r="275" spans="1:56" ht="12.75">
      <c r="A275" s="158" t="s">
        <v>822</v>
      </c>
      <c r="B275" s="219" t="s">
        <v>89</v>
      </c>
      <c r="C275" s="457">
        <v>5387</v>
      </c>
      <c r="D275" s="458">
        <v>5767</v>
      </c>
      <c r="E275" s="459">
        <f t="shared" si="133"/>
        <v>7.054018934471877</v>
      </c>
      <c r="F275" s="457">
        <v>16175.5</v>
      </c>
      <c r="G275" s="458">
        <v>16531.2</v>
      </c>
      <c r="H275" s="459">
        <f t="shared" si="112"/>
        <v>2.199004667552785</v>
      </c>
      <c r="I275" s="457">
        <v>6266.52</v>
      </c>
      <c r="J275" s="458">
        <v>6367</v>
      </c>
      <c r="K275" s="459">
        <f t="shared" si="113"/>
        <v>1.6034417826800131</v>
      </c>
      <c r="L275" s="457">
        <v>16019</v>
      </c>
      <c r="M275" s="458">
        <v>16206</v>
      </c>
      <c r="N275" s="459">
        <f t="shared" si="114"/>
        <v>1.1673637555402958</v>
      </c>
      <c r="O275" s="457"/>
      <c r="P275" s="458"/>
      <c r="Q275" s="459"/>
      <c r="R275" s="457"/>
      <c r="S275" s="458"/>
      <c r="T275" s="459"/>
      <c r="U275" s="457"/>
      <c r="V275" s="458"/>
      <c r="W275" s="459"/>
      <c r="X275" s="457"/>
      <c r="Y275" s="458"/>
      <c r="Z275" s="459"/>
      <c r="AA275" s="457"/>
      <c r="AB275" s="458"/>
      <c r="AC275" s="459">
        <f t="shared" si="134"/>
        <v>0</v>
      </c>
      <c r="AD275" s="457"/>
      <c r="AE275" s="458"/>
      <c r="AF275" s="459"/>
      <c r="AG275" s="457"/>
      <c r="AH275" s="458"/>
      <c r="AI275" s="459"/>
      <c r="AJ275" s="457"/>
      <c r="AK275" s="458"/>
      <c r="AL275" s="459"/>
      <c r="AM275" s="457"/>
      <c r="AN275" s="458"/>
      <c r="AO275" s="459"/>
      <c r="AP275" s="457"/>
      <c r="AQ275" s="458"/>
      <c r="AR275" s="459"/>
      <c r="AS275" s="457"/>
      <c r="AT275" s="458"/>
      <c r="AU275" s="459"/>
      <c r="AV275" s="457"/>
      <c r="AW275" s="458"/>
      <c r="AX275" s="459"/>
      <c r="AY275" s="457"/>
      <c r="AZ275" s="458"/>
      <c r="BA275" s="459"/>
      <c r="BB275" s="457"/>
      <c r="BC275" s="458"/>
      <c r="BD275" s="459"/>
    </row>
    <row r="276" spans="1:56" ht="12.75">
      <c r="A276" s="160"/>
      <c r="B276" s="219" t="s">
        <v>90</v>
      </c>
      <c r="C276" s="457">
        <v>4887</v>
      </c>
      <c r="D276" s="458">
        <v>5429</v>
      </c>
      <c r="E276" s="459">
        <f t="shared" si="133"/>
        <v>11.090648659709434</v>
      </c>
      <c r="F276" s="457">
        <v>15276.5</v>
      </c>
      <c r="G276" s="458">
        <v>15606.95</v>
      </c>
      <c r="H276" s="459">
        <f aca="true" t="shared" si="139" ref="H276:H291">IF(F276&gt;0,(((G276-F276)/F276)*100),0)</f>
        <v>2.16312637056918</v>
      </c>
      <c r="I276" s="457">
        <v>6015.44</v>
      </c>
      <c r="J276" s="458">
        <v>6353.64</v>
      </c>
      <c r="K276" s="459">
        <f aca="true" t="shared" si="140" ref="K276:K291">IF(I276&gt;0,(((J276-I276)/I276)*100),0)</f>
        <v>5.622198874895282</v>
      </c>
      <c r="L276" s="457">
        <v>15917.5</v>
      </c>
      <c r="M276" s="458">
        <v>16607.5</v>
      </c>
      <c r="N276" s="459">
        <f aca="true" t="shared" si="141" ref="N276:N291">IF(L276&gt;0,(((M276-L276)/L276)*100),0)</f>
        <v>4.33485157845139</v>
      </c>
      <c r="O276" s="457"/>
      <c r="P276" s="458"/>
      <c r="Q276" s="459"/>
      <c r="R276" s="457"/>
      <c r="S276" s="458"/>
      <c r="T276" s="459"/>
      <c r="U276" s="457"/>
      <c r="V276" s="458"/>
      <c r="W276" s="459"/>
      <c r="X276" s="457"/>
      <c r="Y276" s="458"/>
      <c r="Z276" s="459"/>
      <c r="AA276" s="457"/>
      <c r="AB276" s="458"/>
      <c r="AC276" s="459">
        <f t="shared" si="134"/>
        <v>0</v>
      </c>
      <c r="AD276" s="457"/>
      <c r="AE276" s="458"/>
      <c r="AF276" s="459"/>
      <c r="AG276" s="457"/>
      <c r="AH276" s="458"/>
      <c r="AI276" s="459"/>
      <c r="AJ276" s="457"/>
      <c r="AK276" s="458"/>
      <c r="AL276" s="459"/>
      <c r="AM276" s="457"/>
      <c r="AN276" s="458"/>
      <c r="AO276" s="459"/>
      <c r="AP276" s="457"/>
      <c r="AQ276" s="458"/>
      <c r="AR276" s="459"/>
      <c r="AS276" s="457"/>
      <c r="AT276" s="458"/>
      <c r="AU276" s="459"/>
      <c r="AV276" s="457"/>
      <c r="AW276" s="458"/>
      <c r="AX276" s="459"/>
      <c r="AY276" s="457"/>
      <c r="AZ276" s="458"/>
      <c r="BA276" s="459"/>
      <c r="BB276" s="457"/>
      <c r="BC276" s="458"/>
      <c r="BD276" s="459"/>
    </row>
    <row r="277" spans="1:56" ht="12.75">
      <c r="A277" s="160"/>
      <c r="B277" s="219" t="s">
        <v>91</v>
      </c>
      <c r="C277" s="457">
        <v>4631</v>
      </c>
      <c r="D277" s="458">
        <v>4996</v>
      </c>
      <c r="E277" s="459">
        <f t="shared" si="133"/>
        <v>7.881667026560138</v>
      </c>
      <c r="F277" s="457">
        <v>13152</v>
      </c>
      <c r="G277" s="458">
        <v>13715</v>
      </c>
      <c r="H277" s="459">
        <f t="shared" si="139"/>
        <v>4.280717761557177</v>
      </c>
      <c r="I277" s="457">
        <v>5018</v>
      </c>
      <c r="J277" s="458">
        <v>4774.5</v>
      </c>
      <c r="K277" s="459">
        <f t="shared" si="140"/>
        <v>-4.8525308888003185</v>
      </c>
      <c r="L277" s="457">
        <v>12028</v>
      </c>
      <c r="M277" s="458">
        <v>12384</v>
      </c>
      <c r="N277" s="459">
        <f t="shared" si="141"/>
        <v>2.959760558696375</v>
      </c>
      <c r="O277" s="457"/>
      <c r="P277" s="458"/>
      <c r="Q277" s="459"/>
      <c r="R277" s="457"/>
      <c r="S277" s="458"/>
      <c r="T277" s="459"/>
      <c r="U277" s="457"/>
      <c r="V277" s="458"/>
      <c r="W277" s="459"/>
      <c r="X277" s="457"/>
      <c r="Y277" s="458"/>
      <c r="Z277" s="459"/>
      <c r="AA277" s="457"/>
      <c r="AB277" s="458"/>
      <c r="AC277" s="459">
        <f t="shared" si="134"/>
        <v>0</v>
      </c>
      <c r="AD277" s="457"/>
      <c r="AE277" s="458"/>
      <c r="AF277" s="459"/>
      <c r="AG277" s="457"/>
      <c r="AH277" s="458"/>
      <c r="AI277" s="459"/>
      <c r="AJ277" s="457"/>
      <c r="AK277" s="458"/>
      <c r="AL277" s="459"/>
      <c r="AM277" s="457"/>
      <c r="AN277" s="458"/>
      <c r="AO277" s="459"/>
      <c r="AP277" s="457"/>
      <c r="AQ277" s="458"/>
      <c r="AR277" s="459"/>
      <c r="AS277" s="457"/>
      <c r="AT277" s="458"/>
      <c r="AU277" s="459"/>
      <c r="AV277" s="457"/>
      <c r="AW277" s="458"/>
      <c r="AX277" s="459"/>
      <c r="AY277" s="457"/>
      <c r="AZ277" s="458"/>
      <c r="BA277" s="459"/>
      <c r="BB277" s="457"/>
      <c r="BC277" s="458"/>
      <c r="BD277" s="459"/>
    </row>
    <row r="278" spans="1:56" ht="12.75">
      <c r="A278" s="160"/>
      <c r="B278" s="219" t="s">
        <v>92</v>
      </c>
      <c r="C278" s="457">
        <v>4674</v>
      </c>
      <c r="D278" s="458">
        <v>5024</v>
      </c>
      <c r="E278" s="459">
        <f t="shared" si="133"/>
        <v>7.488232777064613</v>
      </c>
      <c r="F278" s="457">
        <v>12259.5</v>
      </c>
      <c r="G278" s="458">
        <v>12736.5</v>
      </c>
      <c r="H278" s="459">
        <f t="shared" si="139"/>
        <v>3.890860149271993</v>
      </c>
      <c r="I278" s="457">
        <v>4608</v>
      </c>
      <c r="J278" s="458">
        <v>5108</v>
      </c>
      <c r="K278" s="459">
        <f t="shared" si="140"/>
        <v>10.850694444444445</v>
      </c>
      <c r="L278" s="457">
        <v>11967</v>
      </c>
      <c r="M278" s="458">
        <v>12926</v>
      </c>
      <c r="N278" s="459">
        <f t="shared" si="141"/>
        <v>8.013704353639174</v>
      </c>
      <c r="O278" s="457"/>
      <c r="P278" s="458"/>
      <c r="Q278" s="459"/>
      <c r="R278" s="457"/>
      <c r="S278" s="458"/>
      <c r="T278" s="459"/>
      <c r="U278" s="457"/>
      <c r="V278" s="458"/>
      <c r="W278" s="459"/>
      <c r="X278" s="457"/>
      <c r="Y278" s="458"/>
      <c r="Z278" s="459"/>
      <c r="AA278" s="457"/>
      <c r="AB278" s="458"/>
      <c r="AC278" s="459">
        <f t="shared" si="134"/>
        <v>0</v>
      </c>
      <c r="AD278" s="457"/>
      <c r="AE278" s="458"/>
      <c r="AF278" s="459"/>
      <c r="AG278" s="457"/>
      <c r="AH278" s="458"/>
      <c r="AI278" s="459"/>
      <c r="AJ278" s="457"/>
      <c r="AK278" s="458"/>
      <c r="AL278" s="459"/>
      <c r="AM278" s="457"/>
      <c r="AN278" s="458"/>
      <c r="AO278" s="459"/>
      <c r="AP278" s="457"/>
      <c r="AQ278" s="458"/>
      <c r="AR278" s="459"/>
      <c r="AS278" s="457"/>
      <c r="AT278" s="458"/>
      <c r="AU278" s="459"/>
      <c r="AV278" s="457"/>
      <c r="AW278" s="458"/>
      <c r="AX278" s="459"/>
      <c r="AY278" s="457"/>
      <c r="AZ278" s="458"/>
      <c r="BA278" s="459"/>
      <c r="BB278" s="457"/>
      <c r="BC278" s="458"/>
      <c r="BD278" s="459"/>
    </row>
    <row r="279" spans="1:56" ht="12.75">
      <c r="A279" s="160"/>
      <c r="B279" s="219" t="s">
        <v>93</v>
      </c>
      <c r="C279" s="457">
        <v>4041.5</v>
      </c>
      <c r="D279" s="458">
        <v>4254.5</v>
      </c>
      <c r="E279" s="459">
        <f t="shared" si="133"/>
        <v>5.27032042558456</v>
      </c>
      <c r="F279" s="457">
        <v>10918</v>
      </c>
      <c r="G279" s="458">
        <v>12120</v>
      </c>
      <c r="H279" s="459">
        <f t="shared" si="139"/>
        <v>11.009342370397508</v>
      </c>
      <c r="I279" s="457">
        <v>4126.5</v>
      </c>
      <c r="J279" s="458">
        <v>4196.5</v>
      </c>
      <c r="K279" s="459">
        <f t="shared" si="140"/>
        <v>1.6963528413910092</v>
      </c>
      <c r="L279" s="457">
        <v>10610.5</v>
      </c>
      <c r="M279" s="458">
        <v>10575.5</v>
      </c>
      <c r="N279" s="459">
        <f t="shared" si="141"/>
        <v>-0.3298619292210546</v>
      </c>
      <c r="O279" s="457"/>
      <c r="P279" s="458"/>
      <c r="Q279" s="459"/>
      <c r="R279" s="457"/>
      <c r="S279" s="458"/>
      <c r="T279" s="459"/>
      <c r="U279" s="457"/>
      <c r="V279" s="458"/>
      <c r="W279" s="459"/>
      <c r="X279" s="457"/>
      <c r="Y279" s="458"/>
      <c r="Z279" s="459"/>
      <c r="AA279" s="457"/>
      <c r="AB279" s="458"/>
      <c r="AC279" s="459">
        <f t="shared" si="134"/>
        <v>0</v>
      </c>
      <c r="AD279" s="457"/>
      <c r="AE279" s="458"/>
      <c r="AF279" s="459"/>
      <c r="AG279" s="457"/>
      <c r="AH279" s="458"/>
      <c r="AI279" s="459"/>
      <c r="AJ279" s="457"/>
      <c r="AK279" s="458"/>
      <c r="AL279" s="459"/>
      <c r="AM279" s="457"/>
      <c r="AN279" s="458"/>
      <c r="AO279" s="459"/>
      <c r="AP279" s="457"/>
      <c r="AQ279" s="458"/>
      <c r="AR279" s="459"/>
      <c r="AS279" s="457"/>
      <c r="AT279" s="458"/>
      <c r="AU279" s="459"/>
      <c r="AV279" s="457"/>
      <c r="AW279" s="458"/>
      <c r="AX279" s="459"/>
      <c r="AY279" s="457"/>
      <c r="AZ279" s="458"/>
      <c r="BA279" s="459"/>
      <c r="BB279" s="457"/>
      <c r="BC279" s="458"/>
      <c r="BD279" s="459"/>
    </row>
    <row r="280" spans="1:56" ht="12.75">
      <c r="A280" s="160"/>
      <c r="B280" s="219" t="s">
        <v>94</v>
      </c>
      <c r="C280" s="457">
        <v>3811</v>
      </c>
      <c r="D280" s="458">
        <v>4172</v>
      </c>
      <c r="E280" s="459">
        <f t="shared" si="133"/>
        <v>9.472579375491996</v>
      </c>
      <c r="F280" s="457">
        <v>9632</v>
      </c>
      <c r="G280" s="458">
        <v>10192</v>
      </c>
      <c r="H280" s="459">
        <f t="shared" si="139"/>
        <v>5.813953488372093</v>
      </c>
      <c r="I280" s="457">
        <v>4765</v>
      </c>
      <c r="J280" s="458">
        <v>4746</v>
      </c>
      <c r="K280" s="459">
        <f t="shared" si="140"/>
        <v>-0.39874081846799586</v>
      </c>
      <c r="L280" s="457">
        <v>11317</v>
      </c>
      <c r="M280" s="458">
        <v>12214.5</v>
      </c>
      <c r="N280" s="459">
        <f t="shared" si="141"/>
        <v>7.930546964743307</v>
      </c>
      <c r="O280" s="457"/>
      <c r="P280" s="458"/>
      <c r="Q280" s="459"/>
      <c r="R280" s="457"/>
      <c r="S280" s="458"/>
      <c r="T280" s="459"/>
      <c r="U280" s="457"/>
      <c r="V280" s="458"/>
      <c r="W280" s="459"/>
      <c r="X280" s="457"/>
      <c r="Y280" s="458"/>
      <c r="Z280" s="459"/>
      <c r="AA280" s="457"/>
      <c r="AB280" s="458"/>
      <c r="AC280" s="459">
        <f t="shared" si="134"/>
        <v>0</v>
      </c>
      <c r="AD280" s="457"/>
      <c r="AE280" s="458"/>
      <c r="AF280" s="459"/>
      <c r="AG280" s="457"/>
      <c r="AH280" s="458"/>
      <c r="AI280" s="459"/>
      <c r="AJ280" s="457"/>
      <c r="AK280" s="458"/>
      <c r="AL280" s="459"/>
      <c r="AM280" s="457"/>
      <c r="AN280" s="458"/>
      <c r="AO280" s="459"/>
      <c r="AP280" s="457"/>
      <c r="AQ280" s="458"/>
      <c r="AR280" s="459"/>
      <c r="AS280" s="457"/>
      <c r="AT280" s="458"/>
      <c r="AU280" s="459"/>
      <c r="AV280" s="457"/>
      <c r="AW280" s="458"/>
      <c r="AX280" s="459"/>
      <c r="AY280" s="457"/>
      <c r="AZ280" s="458"/>
      <c r="BA280" s="459"/>
      <c r="BB280" s="457"/>
      <c r="BC280" s="458"/>
      <c r="BD280" s="459"/>
    </row>
    <row r="281" spans="1:56" s="465" customFormat="1" ht="19.5" customHeight="1">
      <c r="A281" s="460"/>
      <c r="B281" s="461" t="s">
        <v>821</v>
      </c>
      <c r="C281" s="462">
        <v>4626</v>
      </c>
      <c r="D281" s="463">
        <v>4980</v>
      </c>
      <c r="E281" s="464">
        <f t="shared" si="133"/>
        <v>7.652399481193256</v>
      </c>
      <c r="F281" s="462">
        <v>12950</v>
      </c>
      <c r="G281" s="463">
        <v>13440</v>
      </c>
      <c r="H281" s="464">
        <f t="shared" si="139"/>
        <v>3.783783783783784</v>
      </c>
      <c r="I281" s="462">
        <v>5232</v>
      </c>
      <c r="J281" s="463">
        <v>5194</v>
      </c>
      <c r="K281" s="464">
        <f t="shared" si="140"/>
        <v>-0.7262996941896025</v>
      </c>
      <c r="L281" s="462">
        <v>12795</v>
      </c>
      <c r="M281" s="463">
        <v>13159</v>
      </c>
      <c r="N281" s="464">
        <f t="shared" si="141"/>
        <v>2.844861273935131</v>
      </c>
      <c r="O281" s="462"/>
      <c r="P281" s="463"/>
      <c r="Q281" s="464"/>
      <c r="R281" s="462"/>
      <c r="S281" s="463"/>
      <c r="T281" s="464"/>
      <c r="U281" s="462"/>
      <c r="V281" s="463"/>
      <c r="W281" s="464"/>
      <c r="X281" s="462"/>
      <c r="Y281" s="463"/>
      <c r="Z281" s="464"/>
      <c r="AA281" s="462"/>
      <c r="AB281" s="463"/>
      <c r="AC281" s="464">
        <f t="shared" si="134"/>
        <v>0</v>
      </c>
      <c r="AD281" s="462"/>
      <c r="AE281" s="463"/>
      <c r="AF281" s="464"/>
      <c r="AG281" s="462"/>
      <c r="AH281" s="463"/>
      <c r="AI281" s="464"/>
      <c r="AJ281" s="462"/>
      <c r="AK281" s="463"/>
      <c r="AL281" s="464"/>
      <c r="AM281" s="462"/>
      <c r="AN281" s="463"/>
      <c r="AO281" s="464"/>
      <c r="AP281" s="462"/>
      <c r="AQ281" s="463"/>
      <c r="AR281" s="464"/>
      <c r="AS281" s="462"/>
      <c r="AT281" s="463"/>
      <c r="AU281" s="464"/>
      <c r="AV281" s="462"/>
      <c r="AW281" s="463"/>
      <c r="AX281" s="464"/>
      <c r="AY281" s="462"/>
      <c r="AZ281" s="463"/>
      <c r="BA281" s="464"/>
      <c r="BB281" s="462"/>
      <c r="BC281" s="463"/>
      <c r="BD281" s="464"/>
    </row>
    <row r="282" spans="1:56" ht="12.75">
      <c r="A282" s="160"/>
      <c r="B282" s="219" t="s">
        <v>95</v>
      </c>
      <c r="C282" s="457">
        <v>2079.45</v>
      </c>
      <c r="D282" s="458">
        <v>2089.35</v>
      </c>
      <c r="E282" s="459">
        <f t="shared" si="133"/>
        <v>0.4760874269638651</v>
      </c>
      <c r="F282" s="457">
        <v>6716.4</v>
      </c>
      <c r="G282" s="458">
        <v>7210.65</v>
      </c>
      <c r="H282" s="459">
        <f t="shared" si="139"/>
        <v>7.358852956941218</v>
      </c>
      <c r="I282" s="457"/>
      <c r="J282" s="458"/>
      <c r="K282" s="459">
        <f t="shared" si="140"/>
        <v>0</v>
      </c>
      <c r="L282" s="457"/>
      <c r="M282" s="458"/>
      <c r="N282" s="459">
        <f t="shared" si="141"/>
        <v>0</v>
      </c>
      <c r="O282" s="457"/>
      <c r="P282" s="458"/>
      <c r="Q282" s="459"/>
      <c r="R282" s="457"/>
      <c r="S282" s="458"/>
      <c r="T282" s="459"/>
      <c r="U282" s="457"/>
      <c r="V282" s="458"/>
      <c r="W282" s="459"/>
      <c r="X282" s="457"/>
      <c r="Y282" s="458"/>
      <c r="Z282" s="459"/>
      <c r="AA282" s="457"/>
      <c r="AB282" s="458"/>
      <c r="AC282" s="459">
        <f t="shared" si="134"/>
        <v>0</v>
      </c>
      <c r="AD282" s="457"/>
      <c r="AE282" s="458"/>
      <c r="AF282" s="459"/>
      <c r="AG282" s="457"/>
      <c r="AH282" s="458"/>
      <c r="AI282" s="459"/>
      <c r="AJ282" s="457"/>
      <c r="AK282" s="458"/>
      <c r="AL282" s="459"/>
      <c r="AM282" s="457"/>
      <c r="AN282" s="458"/>
      <c r="AO282" s="459"/>
      <c r="AP282" s="457"/>
      <c r="AQ282" s="458"/>
      <c r="AR282" s="459"/>
      <c r="AS282" s="457"/>
      <c r="AT282" s="458"/>
      <c r="AU282" s="459"/>
      <c r="AV282" s="457"/>
      <c r="AW282" s="458"/>
      <c r="AX282" s="459"/>
      <c r="AY282" s="457"/>
      <c r="AZ282" s="458"/>
      <c r="BA282" s="459"/>
      <c r="BB282" s="457"/>
      <c r="BC282" s="458"/>
      <c r="BD282" s="459"/>
    </row>
    <row r="283" spans="1:56" ht="12.75">
      <c r="A283" s="160"/>
      <c r="B283" s="219" t="s">
        <v>96</v>
      </c>
      <c r="C283" s="457">
        <v>1962.3</v>
      </c>
      <c r="D283" s="458">
        <v>1921</v>
      </c>
      <c r="E283" s="459">
        <f t="shared" si="133"/>
        <v>-2.104673087703203</v>
      </c>
      <c r="F283" s="457">
        <v>6973.5</v>
      </c>
      <c r="G283" s="458">
        <v>7116.3</v>
      </c>
      <c r="H283" s="459">
        <f t="shared" si="139"/>
        <v>2.047752204775223</v>
      </c>
      <c r="I283" s="457"/>
      <c r="J283" s="458"/>
      <c r="K283" s="459">
        <f t="shared" si="140"/>
        <v>0</v>
      </c>
      <c r="L283" s="457"/>
      <c r="M283" s="458"/>
      <c r="N283" s="459">
        <f t="shared" si="141"/>
        <v>0</v>
      </c>
      <c r="O283" s="457"/>
      <c r="P283" s="458"/>
      <c r="Q283" s="459">
        <f t="shared" si="135"/>
        <v>0</v>
      </c>
      <c r="R283" s="457"/>
      <c r="S283" s="458"/>
      <c r="T283" s="459">
        <f t="shared" si="136"/>
        <v>0</v>
      </c>
      <c r="U283" s="457"/>
      <c r="V283" s="458"/>
      <c r="W283" s="459">
        <f aca="true" t="shared" si="142" ref="W283:W291">IF(U283&gt;0,(((V283-U283)/U283)*100),0)</f>
        <v>0</v>
      </c>
      <c r="X283" s="457"/>
      <c r="Y283" s="458"/>
      <c r="Z283" s="459">
        <f t="shared" si="138"/>
        <v>0</v>
      </c>
      <c r="AA283" s="457"/>
      <c r="AB283" s="458"/>
      <c r="AC283" s="459">
        <f t="shared" si="134"/>
        <v>0</v>
      </c>
      <c r="AD283" s="457"/>
      <c r="AE283" s="458"/>
      <c r="AF283" s="459">
        <f aca="true" t="shared" si="143" ref="AF283:AF291">IF(AD283&gt;0,(((AE283-AD283)/AD283)*100),0)</f>
        <v>0</v>
      </c>
      <c r="AG283" s="457"/>
      <c r="AH283" s="458"/>
      <c r="AI283" s="459">
        <f aca="true" t="shared" si="144" ref="AI283:AI291">IF(AG283&gt;0,(((AH283-AG283)/AG283)*100),0)</f>
        <v>0</v>
      </c>
      <c r="AJ283" s="457"/>
      <c r="AK283" s="458"/>
      <c r="AL283" s="459">
        <f aca="true" t="shared" si="145" ref="AL283:AL291">IF(AJ283&gt;0,(((AK283-AJ283)/AJ283)*100),0)</f>
        <v>0</v>
      </c>
      <c r="AM283" s="457"/>
      <c r="AN283" s="458"/>
      <c r="AO283" s="459">
        <f aca="true" t="shared" si="146" ref="AO283:AO291">IF(AM283&gt;0,(((AN283-AM283)/AM283)*100),0)</f>
        <v>0</v>
      </c>
      <c r="AP283" s="457"/>
      <c r="AQ283" s="458"/>
      <c r="AR283" s="459">
        <f aca="true" t="shared" si="147" ref="AR283:AR291">IF(AP283&gt;0,(((AQ283-AP283)/AP283)*100),0)</f>
        <v>0</v>
      </c>
      <c r="AS283" s="457"/>
      <c r="AT283" s="458"/>
      <c r="AU283" s="459">
        <f aca="true" t="shared" si="148" ref="AU283:AU291">IF(AS283&gt;0,(((AT283-AS283)/AS283)*100),0)</f>
        <v>0</v>
      </c>
      <c r="AV283" s="457"/>
      <c r="AW283" s="458"/>
      <c r="AX283" s="459">
        <f aca="true" t="shared" si="149" ref="AX283:AX291">IF(AV283&gt;0,(((AW283-AV283)/AV283)*100),0)</f>
        <v>0</v>
      </c>
      <c r="AY283" s="457"/>
      <c r="AZ283" s="458"/>
      <c r="BA283" s="459">
        <f aca="true" t="shared" si="150" ref="BA283:BA291">IF(AY283&gt;0,(((AZ283-AY283)/AY283)*100),0)</f>
        <v>0</v>
      </c>
      <c r="BB283" s="457"/>
      <c r="BC283" s="458"/>
      <c r="BD283" s="459">
        <f aca="true" t="shared" si="151" ref="BD283:BD291">IF(BB283&gt;0,(((BC283-BB283)/BB283)*100),0)</f>
        <v>0</v>
      </c>
    </row>
    <row r="284" spans="1:56" ht="12.75">
      <c r="A284" s="160"/>
      <c r="B284" s="219" t="s">
        <v>97</v>
      </c>
      <c r="C284" s="457">
        <v>1999.05</v>
      </c>
      <c r="D284" s="458">
        <v>2038.35</v>
      </c>
      <c r="E284" s="459">
        <f t="shared" si="133"/>
        <v>1.9659338185638155</v>
      </c>
      <c r="F284" s="457">
        <v>7051</v>
      </c>
      <c r="G284" s="458">
        <v>7494.5</v>
      </c>
      <c r="H284" s="459">
        <f t="shared" si="139"/>
        <v>6.28988795915473</v>
      </c>
      <c r="I284" s="457"/>
      <c r="J284" s="458"/>
      <c r="K284" s="459">
        <f t="shared" si="140"/>
        <v>0</v>
      </c>
      <c r="L284" s="457"/>
      <c r="M284" s="458"/>
      <c r="N284" s="459">
        <f t="shared" si="141"/>
        <v>0</v>
      </c>
      <c r="O284" s="457"/>
      <c r="P284" s="458"/>
      <c r="Q284" s="459">
        <f t="shared" si="135"/>
        <v>0</v>
      </c>
      <c r="R284" s="457"/>
      <c r="S284" s="458"/>
      <c r="T284" s="459">
        <f t="shared" si="136"/>
        <v>0</v>
      </c>
      <c r="U284" s="457"/>
      <c r="V284" s="458"/>
      <c r="W284" s="459">
        <f t="shared" si="142"/>
        <v>0</v>
      </c>
      <c r="X284" s="457"/>
      <c r="Y284" s="458"/>
      <c r="Z284" s="459">
        <f t="shared" si="138"/>
        <v>0</v>
      </c>
      <c r="AA284" s="457"/>
      <c r="AB284" s="458"/>
      <c r="AC284" s="459">
        <f t="shared" si="134"/>
        <v>0</v>
      </c>
      <c r="AD284" s="457"/>
      <c r="AE284" s="458"/>
      <c r="AF284" s="459">
        <f t="shared" si="143"/>
        <v>0</v>
      </c>
      <c r="AG284" s="457"/>
      <c r="AH284" s="458"/>
      <c r="AI284" s="459">
        <f t="shared" si="144"/>
        <v>0</v>
      </c>
      <c r="AJ284" s="457"/>
      <c r="AK284" s="458"/>
      <c r="AL284" s="459">
        <f t="shared" si="145"/>
        <v>0</v>
      </c>
      <c r="AM284" s="457"/>
      <c r="AN284" s="458"/>
      <c r="AO284" s="459">
        <f t="shared" si="146"/>
        <v>0</v>
      </c>
      <c r="AP284" s="457"/>
      <c r="AQ284" s="458"/>
      <c r="AR284" s="459">
        <f t="shared" si="147"/>
        <v>0</v>
      </c>
      <c r="AS284" s="457"/>
      <c r="AT284" s="458"/>
      <c r="AU284" s="459">
        <f t="shared" si="148"/>
        <v>0</v>
      </c>
      <c r="AV284" s="457"/>
      <c r="AW284" s="458"/>
      <c r="AX284" s="459">
        <f t="shared" si="149"/>
        <v>0</v>
      </c>
      <c r="AY284" s="457"/>
      <c r="AZ284" s="458"/>
      <c r="BA284" s="459">
        <f t="shared" si="150"/>
        <v>0</v>
      </c>
      <c r="BB284" s="457"/>
      <c r="BC284" s="458"/>
      <c r="BD284" s="459">
        <f t="shared" si="151"/>
        <v>0</v>
      </c>
    </row>
    <row r="285" spans="1:56" ht="12.75">
      <c r="A285" s="160"/>
      <c r="B285" s="219" t="s">
        <v>778</v>
      </c>
      <c r="C285" s="457">
        <v>2269</v>
      </c>
      <c r="D285" s="458">
        <v>2352.5</v>
      </c>
      <c r="E285" s="459">
        <f t="shared" si="133"/>
        <v>3.6800352578228295</v>
      </c>
      <c r="F285" s="457">
        <v>5827.55</v>
      </c>
      <c r="G285" s="458">
        <v>6095.55</v>
      </c>
      <c r="H285" s="459">
        <f t="shared" si="139"/>
        <v>4.598845140753833</v>
      </c>
      <c r="I285" s="457"/>
      <c r="J285" s="458"/>
      <c r="K285" s="459">
        <f t="shared" si="140"/>
        <v>0</v>
      </c>
      <c r="L285" s="457"/>
      <c r="M285" s="458"/>
      <c r="N285" s="459">
        <f t="shared" si="141"/>
        <v>0</v>
      </c>
      <c r="O285" s="457"/>
      <c r="P285" s="458"/>
      <c r="Q285" s="459">
        <f t="shared" si="135"/>
        <v>0</v>
      </c>
      <c r="R285" s="457"/>
      <c r="S285" s="458"/>
      <c r="T285" s="459">
        <f t="shared" si="136"/>
        <v>0</v>
      </c>
      <c r="U285" s="457"/>
      <c r="V285" s="458"/>
      <c r="W285" s="459">
        <f t="shared" si="142"/>
        <v>0</v>
      </c>
      <c r="X285" s="457"/>
      <c r="Y285" s="458"/>
      <c r="Z285" s="459">
        <f t="shared" si="138"/>
        <v>0</v>
      </c>
      <c r="AA285" s="457"/>
      <c r="AB285" s="458"/>
      <c r="AC285" s="459">
        <f t="shared" si="134"/>
        <v>0</v>
      </c>
      <c r="AD285" s="457"/>
      <c r="AE285" s="458"/>
      <c r="AF285" s="459">
        <f t="shared" si="143"/>
        <v>0</v>
      </c>
      <c r="AG285" s="457"/>
      <c r="AH285" s="458"/>
      <c r="AI285" s="459">
        <f t="shared" si="144"/>
        <v>0</v>
      </c>
      <c r="AJ285" s="457"/>
      <c r="AK285" s="458"/>
      <c r="AL285" s="459">
        <f t="shared" si="145"/>
        <v>0</v>
      </c>
      <c r="AM285" s="457"/>
      <c r="AN285" s="458"/>
      <c r="AO285" s="459">
        <f t="shared" si="146"/>
        <v>0</v>
      </c>
      <c r="AP285" s="457"/>
      <c r="AQ285" s="458"/>
      <c r="AR285" s="459">
        <f t="shared" si="147"/>
        <v>0</v>
      </c>
      <c r="AS285" s="457"/>
      <c r="AT285" s="458"/>
      <c r="AU285" s="459">
        <f t="shared" si="148"/>
        <v>0</v>
      </c>
      <c r="AV285" s="457"/>
      <c r="AW285" s="458"/>
      <c r="AX285" s="459">
        <f t="shared" si="149"/>
        <v>0</v>
      </c>
      <c r="AY285" s="457"/>
      <c r="AZ285" s="458"/>
      <c r="BA285" s="459">
        <f t="shared" si="150"/>
        <v>0</v>
      </c>
      <c r="BB285" s="457"/>
      <c r="BC285" s="458"/>
      <c r="BD285" s="459">
        <f t="shared" si="151"/>
        <v>0</v>
      </c>
    </row>
    <row r="286" spans="1:56" s="465" customFormat="1" ht="20.25" customHeight="1">
      <c r="A286" s="460"/>
      <c r="B286" s="461" t="s">
        <v>426</v>
      </c>
      <c r="C286" s="462">
        <v>2030.25</v>
      </c>
      <c r="D286" s="463">
        <v>2069.1</v>
      </c>
      <c r="E286" s="464">
        <f t="shared" si="133"/>
        <v>1.9135574436645688</v>
      </c>
      <c r="F286" s="462">
        <v>6670</v>
      </c>
      <c r="G286" s="463">
        <v>7010</v>
      </c>
      <c r="H286" s="464">
        <f t="shared" si="139"/>
        <v>5.097451274362818</v>
      </c>
      <c r="I286" s="462"/>
      <c r="J286" s="463"/>
      <c r="K286" s="464">
        <f t="shared" si="140"/>
        <v>0</v>
      </c>
      <c r="L286" s="462"/>
      <c r="M286" s="463"/>
      <c r="N286" s="464">
        <f t="shared" si="141"/>
        <v>0</v>
      </c>
      <c r="O286" s="462"/>
      <c r="P286" s="463"/>
      <c r="Q286" s="464">
        <f t="shared" si="135"/>
        <v>0</v>
      </c>
      <c r="R286" s="462"/>
      <c r="S286" s="463"/>
      <c r="T286" s="464">
        <f t="shared" si="136"/>
        <v>0</v>
      </c>
      <c r="U286" s="462"/>
      <c r="V286" s="463"/>
      <c r="W286" s="464">
        <f t="shared" si="142"/>
        <v>0</v>
      </c>
      <c r="X286" s="462"/>
      <c r="Y286" s="463"/>
      <c r="Z286" s="464">
        <f t="shared" si="138"/>
        <v>0</v>
      </c>
      <c r="AA286" s="462"/>
      <c r="AB286" s="463"/>
      <c r="AC286" s="464">
        <f t="shared" si="134"/>
        <v>0</v>
      </c>
      <c r="AD286" s="462"/>
      <c r="AE286" s="463"/>
      <c r="AF286" s="464">
        <f t="shared" si="143"/>
        <v>0</v>
      </c>
      <c r="AG286" s="462"/>
      <c r="AH286" s="463"/>
      <c r="AI286" s="464">
        <f t="shared" si="144"/>
        <v>0</v>
      </c>
      <c r="AJ286" s="462"/>
      <c r="AK286" s="463"/>
      <c r="AL286" s="464">
        <f t="shared" si="145"/>
        <v>0</v>
      </c>
      <c r="AM286" s="462"/>
      <c r="AN286" s="463"/>
      <c r="AO286" s="464">
        <f t="shared" si="146"/>
        <v>0</v>
      </c>
      <c r="AP286" s="462"/>
      <c r="AQ286" s="463"/>
      <c r="AR286" s="464">
        <f t="shared" si="147"/>
        <v>0</v>
      </c>
      <c r="AS286" s="462"/>
      <c r="AT286" s="463"/>
      <c r="AU286" s="464">
        <f t="shared" si="148"/>
        <v>0</v>
      </c>
      <c r="AV286" s="462"/>
      <c r="AW286" s="463"/>
      <c r="AX286" s="464">
        <f t="shared" si="149"/>
        <v>0</v>
      </c>
      <c r="AY286" s="462"/>
      <c r="AZ286" s="463"/>
      <c r="BA286" s="464">
        <f t="shared" si="150"/>
        <v>0</v>
      </c>
      <c r="BB286" s="462"/>
      <c r="BC286" s="463"/>
      <c r="BD286" s="464">
        <f t="shared" si="151"/>
        <v>0</v>
      </c>
    </row>
    <row r="287" spans="1:56" ht="12.75">
      <c r="A287" s="160"/>
      <c r="B287" s="219" t="s">
        <v>779</v>
      </c>
      <c r="C287" s="457">
        <v>1364</v>
      </c>
      <c r="D287" s="458">
        <v>1542</v>
      </c>
      <c r="E287" s="459">
        <f t="shared" si="133"/>
        <v>13.049853372434017</v>
      </c>
      <c r="F287" s="457">
        <v>2487</v>
      </c>
      <c r="G287" s="458">
        <v>2838</v>
      </c>
      <c r="H287" s="459">
        <f t="shared" si="139"/>
        <v>14.11338962605549</v>
      </c>
      <c r="I287" s="457"/>
      <c r="J287" s="458"/>
      <c r="K287" s="459">
        <f t="shared" si="140"/>
        <v>0</v>
      </c>
      <c r="L287" s="457"/>
      <c r="M287" s="458"/>
      <c r="N287" s="459">
        <f t="shared" si="141"/>
        <v>0</v>
      </c>
      <c r="O287" s="457"/>
      <c r="P287" s="458"/>
      <c r="Q287" s="459">
        <f t="shared" si="135"/>
        <v>0</v>
      </c>
      <c r="R287" s="457"/>
      <c r="S287" s="458"/>
      <c r="T287" s="459">
        <f t="shared" si="136"/>
        <v>0</v>
      </c>
      <c r="U287" s="457"/>
      <c r="V287" s="458"/>
      <c r="W287" s="459">
        <f t="shared" si="142"/>
        <v>0</v>
      </c>
      <c r="X287" s="457"/>
      <c r="Y287" s="458"/>
      <c r="Z287" s="459">
        <f t="shared" si="138"/>
        <v>0</v>
      </c>
      <c r="AA287" s="457"/>
      <c r="AB287" s="458"/>
      <c r="AC287" s="459">
        <f t="shared" si="134"/>
        <v>0</v>
      </c>
      <c r="AD287" s="457"/>
      <c r="AE287" s="458"/>
      <c r="AF287" s="459">
        <f t="shared" si="143"/>
        <v>0</v>
      </c>
      <c r="AG287" s="457"/>
      <c r="AH287" s="458"/>
      <c r="AI287" s="459">
        <f t="shared" si="144"/>
        <v>0</v>
      </c>
      <c r="AJ287" s="457"/>
      <c r="AK287" s="458"/>
      <c r="AL287" s="459">
        <f t="shared" si="145"/>
        <v>0</v>
      </c>
      <c r="AM287" s="457"/>
      <c r="AN287" s="458"/>
      <c r="AO287" s="459">
        <f t="shared" si="146"/>
        <v>0</v>
      </c>
      <c r="AP287" s="457"/>
      <c r="AQ287" s="458"/>
      <c r="AR287" s="459">
        <f t="shared" si="147"/>
        <v>0</v>
      </c>
      <c r="AS287" s="457"/>
      <c r="AT287" s="458"/>
      <c r="AU287" s="459">
        <f t="shared" si="148"/>
        <v>0</v>
      </c>
      <c r="AV287" s="457"/>
      <c r="AW287" s="458"/>
      <c r="AX287" s="459">
        <f t="shared" si="149"/>
        <v>0</v>
      </c>
      <c r="AY287" s="457"/>
      <c r="AZ287" s="458"/>
      <c r="BA287" s="459">
        <f t="shared" si="150"/>
        <v>0</v>
      </c>
      <c r="BB287" s="457"/>
      <c r="BC287" s="458"/>
      <c r="BD287" s="459">
        <f t="shared" si="151"/>
        <v>0</v>
      </c>
    </row>
    <row r="288" spans="1:56" ht="12.75">
      <c r="A288" s="160"/>
      <c r="B288" s="219" t="s">
        <v>1015</v>
      </c>
      <c r="C288" s="457">
        <v>1800</v>
      </c>
      <c r="D288" s="458">
        <v>1817.5</v>
      </c>
      <c r="E288" s="459">
        <f t="shared" si="133"/>
        <v>0.9722222222222222</v>
      </c>
      <c r="F288" s="457">
        <v>2475</v>
      </c>
      <c r="G288" s="458">
        <v>2745</v>
      </c>
      <c r="H288" s="459">
        <f t="shared" si="139"/>
        <v>10.909090909090908</v>
      </c>
      <c r="I288" s="457"/>
      <c r="J288" s="458"/>
      <c r="K288" s="459">
        <f t="shared" si="140"/>
        <v>0</v>
      </c>
      <c r="L288" s="457"/>
      <c r="M288" s="458"/>
      <c r="N288" s="459">
        <f t="shared" si="141"/>
        <v>0</v>
      </c>
      <c r="O288" s="457"/>
      <c r="P288" s="458"/>
      <c r="Q288" s="459">
        <f t="shared" si="135"/>
        <v>0</v>
      </c>
      <c r="R288" s="457"/>
      <c r="S288" s="458"/>
      <c r="T288" s="459">
        <f t="shared" si="136"/>
        <v>0</v>
      </c>
      <c r="U288" s="457"/>
      <c r="V288" s="458"/>
      <c r="W288" s="459">
        <f t="shared" si="142"/>
        <v>0</v>
      </c>
      <c r="X288" s="457"/>
      <c r="Y288" s="458"/>
      <c r="Z288" s="459">
        <f t="shared" si="138"/>
        <v>0</v>
      </c>
      <c r="AA288" s="457"/>
      <c r="AB288" s="458"/>
      <c r="AC288" s="459">
        <f t="shared" si="134"/>
        <v>0</v>
      </c>
      <c r="AD288" s="457"/>
      <c r="AE288" s="458"/>
      <c r="AF288" s="459">
        <f t="shared" si="143"/>
        <v>0</v>
      </c>
      <c r="AG288" s="457"/>
      <c r="AH288" s="458"/>
      <c r="AI288" s="459">
        <f t="shared" si="144"/>
        <v>0</v>
      </c>
      <c r="AJ288" s="457"/>
      <c r="AK288" s="458"/>
      <c r="AL288" s="459">
        <f t="shared" si="145"/>
        <v>0</v>
      </c>
      <c r="AM288" s="457"/>
      <c r="AN288" s="458"/>
      <c r="AO288" s="459">
        <f t="shared" si="146"/>
        <v>0</v>
      </c>
      <c r="AP288" s="457"/>
      <c r="AQ288" s="458"/>
      <c r="AR288" s="459">
        <f t="shared" si="147"/>
        <v>0</v>
      </c>
      <c r="AS288" s="457"/>
      <c r="AT288" s="458"/>
      <c r="AU288" s="459">
        <f t="shared" si="148"/>
        <v>0</v>
      </c>
      <c r="AV288" s="457"/>
      <c r="AW288" s="458"/>
      <c r="AX288" s="459">
        <f t="shared" si="149"/>
        <v>0</v>
      </c>
      <c r="AY288" s="457"/>
      <c r="AZ288" s="458"/>
      <c r="BA288" s="459">
        <f t="shared" si="150"/>
        <v>0</v>
      </c>
      <c r="BB288" s="457"/>
      <c r="BC288" s="458"/>
      <c r="BD288" s="459">
        <f t="shared" si="151"/>
        <v>0</v>
      </c>
    </row>
    <row r="289" spans="1:56" ht="12.75">
      <c r="A289" s="160"/>
      <c r="B289" s="219" t="s">
        <v>1016</v>
      </c>
      <c r="C289" s="457">
        <v>886</v>
      </c>
      <c r="D289" s="458">
        <v>886</v>
      </c>
      <c r="E289" s="459">
        <f t="shared" si="133"/>
        <v>0</v>
      </c>
      <c r="F289" s="457">
        <v>1438</v>
      </c>
      <c r="G289" s="458">
        <v>1438</v>
      </c>
      <c r="H289" s="459">
        <f t="shared" si="139"/>
        <v>0</v>
      </c>
      <c r="I289" s="457"/>
      <c r="J289" s="458"/>
      <c r="K289" s="459">
        <f t="shared" si="140"/>
        <v>0</v>
      </c>
      <c r="L289" s="457"/>
      <c r="M289" s="458"/>
      <c r="N289" s="459">
        <f t="shared" si="141"/>
        <v>0</v>
      </c>
      <c r="O289" s="457"/>
      <c r="P289" s="458"/>
      <c r="Q289" s="459">
        <f t="shared" si="135"/>
        <v>0</v>
      </c>
      <c r="R289" s="457"/>
      <c r="S289" s="458"/>
      <c r="T289" s="459">
        <f t="shared" si="136"/>
        <v>0</v>
      </c>
      <c r="U289" s="457"/>
      <c r="V289" s="458"/>
      <c r="W289" s="459">
        <f t="shared" si="142"/>
        <v>0</v>
      </c>
      <c r="X289" s="457"/>
      <c r="Y289" s="458"/>
      <c r="Z289" s="459">
        <f t="shared" si="138"/>
        <v>0</v>
      </c>
      <c r="AA289" s="457"/>
      <c r="AB289" s="458"/>
      <c r="AC289" s="459">
        <f t="shared" si="134"/>
        <v>0</v>
      </c>
      <c r="AD289" s="457"/>
      <c r="AE289" s="458"/>
      <c r="AF289" s="459">
        <f t="shared" si="143"/>
        <v>0</v>
      </c>
      <c r="AG289" s="457"/>
      <c r="AH289" s="458"/>
      <c r="AI289" s="459">
        <f t="shared" si="144"/>
        <v>0</v>
      </c>
      <c r="AJ289" s="457"/>
      <c r="AK289" s="458"/>
      <c r="AL289" s="459">
        <f t="shared" si="145"/>
        <v>0</v>
      </c>
      <c r="AM289" s="457"/>
      <c r="AN289" s="458"/>
      <c r="AO289" s="459">
        <f t="shared" si="146"/>
        <v>0</v>
      </c>
      <c r="AP289" s="457"/>
      <c r="AQ289" s="458"/>
      <c r="AR289" s="459">
        <f t="shared" si="147"/>
        <v>0</v>
      </c>
      <c r="AS289" s="457"/>
      <c r="AT289" s="458"/>
      <c r="AU289" s="459">
        <f t="shared" si="148"/>
        <v>0</v>
      </c>
      <c r="AV289" s="457"/>
      <c r="AW289" s="458"/>
      <c r="AX289" s="459">
        <f t="shared" si="149"/>
        <v>0</v>
      </c>
      <c r="AY289" s="457"/>
      <c r="AZ289" s="458"/>
      <c r="BA289" s="459">
        <f t="shared" si="150"/>
        <v>0</v>
      </c>
      <c r="BB289" s="457"/>
      <c r="BC289" s="458"/>
      <c r="BD289" s="459">
        <f t="shared" si="151"/>
        <v>0</v>
      </c>
    </row>
    <row r="290" spans="1:56" s="465" customFormat="1" ht="21.75" customHeight="1">
      <c r="A290" s="460"/>
      <c r="B290" s="461" t="s">
        <v>978</v>
      </c>
      <c r="C290" s="462">
        <v>1359</v>
      </c>
      <c r="D290" s="463">
        <v>1539</v>
      </c>
      <c r="E290" s="464">
        <f t="shared" si="133"/>
        <v>13.245033112582782</v>
      </c>
      <c r="F290" s="462">
        <v>2250</v>
      </c>
      <c r="G290" s="463">
        <v>2609</v>
      </c>
      <c r="H290" s="464">
        <f t="shared" si="139"/>
        <v>15.955555555555556</v>
      </c>
      <c r="I290" s="462"/>
      <c r="J290" s="463"/>
      <c r="K290" s="464">
        <f t="shared" si="140"/>
        <v>0</v>
      </c>
      <c r="L290" s="462"/>
      <c r="M290" s="463"/>
      <c r="N290" s="464">
        <f t="shared" si="141"/>
        <v>0</v>
      </c>
      <c r="O290" s="462"/>
      <c r="P290" s="463"/>
      <c r="Q290" s="464">
        <f t="shared" si="135"/>
        <v>0</v>
      </c>
      <c r="R290" s="462"/>
      <c r="S290" s="463"/>
      <c r="T290" s="464">
        <f t="shared" si="136"/>
        <v>0</v>
      </c>
      <c r="U290" s="462"/>
      <c r="V290" s="463"/>
      <c r="W290" s="464">
        <f t="shared" si="142"/>
        <v>0</v>
      </c>
      <c r="X290" s="462"/>
      <c r="Y290" s="463"/>
      <c r="Z290" s="464">
        <f t="shared" si="138"/>
        <v>0</v>
      </c>
      <c r="AA290" s="462"/>
      <c r="AB290" s="463"/>
      <c r="AC290" s="464">
        <f t="shared" si="134"/>
        <v>0</v>
      </c>
      <c r="AD290" s="462"/>
      <c r="AE290" s="463"/>
      <c r="AF290" s="464">
        <f t="shared" si="143"/>
        <v>0</v>
      </c>
      <c r="AG290" s="462"/>
      <c r="AH290" s="463"/>
      <c r="AI290" s="464">
        <f t="shared" si="144"/>
        <v>0</v>
      </c>
      <c r="AJ290" s="462"/>
      <c r="AK290" s="463"/>
      <c r="AL290" s="464">
        <f t="shared" si="145"/>
        <v>0</v>
      </c>
      <c r="AM290" s="462"/>
      <c r="AN290" s="463"/>
      <c r="AO290" s="464">
        <f t="shared" si="146"/>
        <v>0</v>
      </c>
      <c r="AP290" s="462"/>
      <c r="AQ290" s="463"/>
      <c r="AR290" s="464">
        <f t="shared" si="147"/>
        <v>0</v>
      </c>
      <c r="AS290" s="462"/>
      <c r="AT290" s="463"/>
      <c r="AU290" s="464">
        <f t="shared" si="148"/>
        <v>0</v>
      </c>
      <c r="AV290" s="462"/>
      <c r="AW290" s="463"/>
      <c r="AX290" s="464">
        <f t="shared" si="149"/>
        <v>0</v>
      </c>
      <c r="AY290" s="462"/>
      <c r="AZ290" s="463"/>
      <c r="BA290" s="464">
        <f t="shared" si="150"/>
        <v>0</v>
      </c>
      <c r="BB290" s="462"/>
      <c r="BC290" s="463"/>
      <c r="BD290" s="464">
        <f t="shared" si="151"/>
        <v>0</v>
      </c>
    </row>
    <row r="291" spans="1:56" ht="12.75">
      <c r="A291" s="466"/>
      <c r="B291" s="467" t="s">
        <v>781</v>
      </c>
      <c r="C291" s="468"/>
      <c r="D291" s="469"/>
      <c r="E291" s="471">
        <f t="shared" si="133"/>
        <v>0</v>
      </c>
      <c r="F291" s="468"/>
      <c r="G291" s="469"/>
      <c r="H291" s="471">
        <f t="shared" si="139"/>
        <v>0</v>
      </c>
      <c r="I291" s="468"/>
      <c r="J291" s="469"/>
      <c r="K291" s="471">
        <f t="shared" si="140"/>
        <v>0</v>
      </c>
      <c r="L291" s="468"/>
      <c r="M291" s="469"/>
      <c r="N291" s="471">
        <f t="shared" si="141"/>
        <v>0</v>
      </c>
      <c r="O291" s="468">
        <v>11112</v>
      </c>
      <c r="P291" s="469">
        <v>12058</v>
      </c>
      <c r="Q291" s="471">
        <f t="shared" si="135"/>
        <v>8.513318934485241</v>
      </c>
      <c r="R291" s="468">
        <v>23380.32</v>
      </c>
      <c r="S291" s="469">
        <v>24625.68</v>
      </c>
      <c r="T291" s="471">
        <f t="shared" si="136"/>
        <v>5.326531031226265</v>
      </c>
      <c r="U291" s="468">
        <v>14923</v>
      </c>
      <c r="V291" s="469">
        <v>16110</v>
      </c>
      <c r="W291" s="471">
        <f t="shared" si="142"/>
        <v>7.954164712189238</v>
      </c>
      <c r="X291" s="468">
        <v>36199</v>
      </c>
      <c r="Y291" s="469">
        <v>36778</v>
      </c>
      <c r="Z291" s="471">
        <f t="shared" si="138"/>
        <v>1.599491698665709</v>
      </c>
      <c r="AA291" s="468">
        <v>15275</v>
      </c>
      <c r="AB291" s="469">
        <v>15649</v>
      </c>
      <c r="AC291" s="471">
        <f t="shared" si="134"/>
        <v>2.448445171849427</v>
      </c>
      <c r="AD291" s="468">
        <v>35695</v>
      </c>
      <c r="AE291" s="469">
        <v>37518</v>
      </c>
      <c r="AF291" s="471">
        <f t="shared" si="143"/>
        <v>5.107157865247233</v>
      </c>
      <c r="AG291" s="468">
        <v>11371.4</v>
      </c>
      <c r="AH291" s="469">
        <v>12450</v>
      </c>
      <c r="AI291" s="471">
        <f t="shared" si="144"/>
        <v>9.485199711557067</v>
      </c>
      <c r="AJ291" s="468">
        <v>23509</v>
      </c>
      <c r="AK291" s="469">
        <v>25554.5</v>
      </c>
      <c r="AL291" s="471">
        <f t="shared" si="145"/>
        <v>8.700923050746523</v>
      </c>
      <c r="AM291" s="468">
        <v>11406.4</v>
      </c>
      <c r="AN291" s="469">
        <v>15227</v>
      </c>
      <c r="AO291" s="471">
        <f t="shared" si="146"/>
        <v>33.495230747650446</v>
      </c>
      <c r="AP291" s="468">
        <v>23156.4</v>
      </c>
      <c r="AQ291" s="469">
        <v>26082</v>
      </c>
      <c r="AR291" s="471">
        <f t="shared" si="147"/>
        <v>12.634088200238372</v>
      </c>
      <c r="AS291" s="468">
        <v>16488</v>
      </c>
      <c r="AT291" s="469">
        <v>17700</v>
      </c>
      <c r="AU291" s="471">
        <f t="shared" si="148"/>
        <v>7.3508005822416305</v>
      </c>
      <c r="AV291" s="468">
        <v>31708</v>
      </c>
      <c r="AW291" s="469">
        <v>34061</v>
      </c>
      <c r="AX291" s="471">
        <f t="shared" si="149"/>
        <v>7.420840166519491</v>
      </c>
      <c r="AY291" s="468">
        <v>12119.115</v>
      </c>
      <c r="AZ291" s="469">
        <v>13048.44</v>
      </c>
      <c r="BA291" s="471">
        <f t="shared" si="150"/>
        <v>7.668257954479356</v>
      </c>
      <c r="BB291" s="468">
        <v>32040</v>
      </c>
      <c r="BC291" s="469">
        <v>32750</v>
      </c>
      <c r="BD291" s="471">
        <f t="shared" si="151"/>
        <v>2.215980024968789</v>
      </c>
    </row>
    <row r="292" spans="5:56" ht="12.75">
      <c r="E292" s="161"/>
      <c r="H292" s="161"/>
      <c r="K292" s="161"/>
      <c r="N292" s="161"/>
      <c r="Q292" s="161"/>
      <c r="T292" s="161"/>
      <c r="W292" s="161"/>
      <c r="Z292" s="161"/>
      <c r="AC292" s="161"/>
      <c r="AF292" s="161"/>
      <c r="AI292" s="161"/>
      <c r="AL292" s="161"/>
      <c r="AO292" s="161"/>
      <c r="AR292" s="161"/>
      <c r="AU292" s="161"/>
      <c r="AX292" s="161"/>
      <c r="BA292" s="161"/>
      <c r="BD292" s="161"/>
    </row>
    <row r="293" spans="1:56" ht="12.75">
      <c r="A293" s="162"/>
      <c r="E293" s="161"/>
      <c r="H293" s="161"/>
      <c r="K293" s="161"/>
      <c r="N293" s="161"/>
      <c r="Q293" s="161"/>
      <c r="T293" s="161"/>
      <c r="W293" s="161"/>
      <c r="Z293" s="161"/>
      <c r="AC293" s="161"/>
      <c r="AF293" s="161"/>
      <c r="AI293" s="161"/>
      <c r="AL293" s="161"/>
      <c r="AO293" s="161"/>
      <c r="AR293" s="161"/>
      <c r="AU293" s="161"/>
      <c r="AX293" s="161"/>
      <c r="BA293" s="161"/>
      <c r="BD293" s="161"/>
    </row>
  </sheetData>
  <sheetProtection/>
  <conditionalFormatting sqref="BA3:BA291 Z3:Z291 AI3:AI291 AF3:AF291 AC3:AC291 AR3:AR291 AO3:AO291 AL3:AL291 W3:W291 E3:E291 T3:T291 Q3:Q291 N3:N291 AU3:AU291 H3:H291 K3:K291 AX3:AX291 BD3:BD291">
    <cfRule type="cellIs" priority="1" dxfId="2" operator="greaterThanOrEqual" stopIfTrue="1">
      <formula>10</formula>
    </cfRule>
    <cfRule type="cellIs" priority="2" dxfId="2" operator="lessThanOrEqual" stopIfTrue="1">
      <formula>-0.5</formula>
    </cfRule>
  </conditionalFormatting>
  <printOptions horizontalCentered="1"/>
  <pageMargins left="0.5" right="0.5" top="1" bottom="1" header="0.5" footer="0.75"/>
  <pageSetup horizontalDpi="600" verticalDpi="600" orientation="landscape" pageOrder="overThenDown" scale="80" r:id="rId3"/>
  <headerFooter alignWithMargins="0">
    <oddHeader>&amp;L&amp;"Arial,Bold"&amp;10SREB-State Data Exchange&amp;C&amp;"Arial,Bold"&amp;10Preliminary Tables&amp;R&amp;"Arial,Bold"&amp;10Part 6: Median Annual Tuition and Fees</oddHeader>
    <oddFooter>&amp;L&amp;"Arial,Bold"&amp;10For Agency Review Only&amp;R&amp;"Arial,Bold"&amp;10October 2008</oddFooter>
  </headerFooter>
  <rowBreaks count="15" manualBreakCount="15">
    <brk id="19" min="2" max="55" man="1"/>
    <brk id="36" min="2" max="55" man="1"/>
    <brk id="53" min="2" max="55" man="1"/>
    <brk id="70" max="255" man="1"/>
    <brk id="87" max="255" man="1"/>
    <brk id="104" max="255" man="1"/>
    <brk id="121" max="255" man="1"/>
    <brk id="138" max="255" man="1"/>
    <brk id="155" max="255" man="1"/>
    <brk id="172" max="255" man="1"/>
    <brk id="189" max="255" man="1"/>
    <brk id="206" max="255" man="1"/>
    <brk id="223" min="2" max="55" man="1"/>
    <brk id="240" max="255" man="1"/>
    <brk id="257" max="255" man="1"/>
  </rowBreaks>
  <colBreaks count="1" manualBreakCount="1">
    <brk id="20" min="2" max="273" man="1"/>
  </colBreaks>
  <legacyDrawing r:id="rId2"/>
</worksheet>
</file>

<file path=xl/worksheets/sheet12.xml><?xml version="1.0" encoding="utf-8"?>
<worksheet xmlns="http://schemas.openxmlformats.org/spreadsheetml/2006/main" xmlns:r="http://schemas.openxmlformats.org/officeDocument/2006/relationships">
  <sheetPr>
    <tabColor indexed="13"/>
  </sheetPr>
  <dimension ref="A1:E27"/>
  <sheetViews>
    <sheetView view="pageBreakPreview" zoomScale="75" zoomScaleSheetLayoutView="75" zoomScalePageLayoutView="0" workbookViewId="0" topLeftCell="A1">
      <pane ySplit="2" topLeftCell="A19" activePane="bottomLeft" state="frozen"/>
      <selection pane="topLeft" activeCell="A24" sqref="A24:E24"/>
      <selection pane="bottomLeft" activeCell="I20" sqref="I20"/>
    </sheetView>
  </sheetViews>
  <sheetFormatPr defaultColWidth="8.796875" defaultRowHeight="15"/>
  <cols>
    <col min="1" max="1" width="17.5" style="50" customWidth="1"/>
    <col min="2" max="2" width="16.69921875" style="50" customWidth="1"/>
    <col min="3" max="3" width="26.3984375" style="50" customWidth="1"/>
    <col min="4" max="4" width="18.5" style="50" customWidth="1"/>
    <col min="5" max="5" width="40.3984375" style="50" customWidth="1"/>
    <col min="6" max="16384" width="9" style="52" customWidth="1"/>
  </cols>
  <sheetData>
    <row r="1" spans="1:5" s="149" customFormat="1" ht="18">
      <c r="A1" s="532" t="s">
        <v>990</v>
      </c>
      <c r="B1" s="532"/>
      <c r="C1" s="532"/>
      <c r="D1" s="532"/>
      <c r="E1" s="532"/>
    </row>
    <row r="2" spans="1:5" s="122" customFormat="1" ht="48">
      <c r="A2" s="48" t="s">
        <v>525</v>
      </c>
      <c r="B2" s="48" t="s">
        <v>542</v>
      </c>
      <c r="C2" s="48" t="s">
        <v>543</v>
      </c>
      <c r="D2" s="49" t="s">
        <v>544</v>
      </c>
      <c r="E2" s="48" t="s">
        <v>106</v>
      </c>
    </row>
    <row r="3" spans="1:5" s="127" customFormat="1" ht="101.25">
      <c r="A3" s="123" t="s">
        <v>427</v>
      </c>
      <c r="B3" s="124" t="s">
        <v>784</v>
      </c>
      <c r="C3" s="125" t="s">
        <v>785</v>
      </c>
      <c r="D3" s="126" t="s">
        <v>1014</v>
      </c>
      <c r="E3" s="125" t="s">
        <v>789</v>
      </c>
    </row>
    <row r="4" spans="1:5" s="127" customFormat="1" ht="78.75">
      <c r="A4" s="123" t="s">
        <v>431</v>
      </c>
      <c r="B4" s="124" t="s">
        <v>938</v>
      </c>
      <c r="C4" s="125" t="s">
        <v>421</v>
      </c>
      <c r="D4" s="130" t="s">
        <v>824</v>
      </c>
      <c r="E4" s="125" t="s">
        <v>939</v>
      </c>
    </row>
    <row r="5" spans="1:5" s="127" customFormat="1" ht="45">
      <c r="A5" s="414" t="s">
        <v>1085</v>
      </c>
      <c r="B5" s="415" t="s">
        <v>794</v>
      </c>
      <c r="C5" s="416" t="s">
        <v>795</v>
      </c>
      <c r="D5" s="130" t="s">
        <v>824</v>
      </c>
      <c r="E5" s="416" t="s">
        <v>423</v>
      </c>
    </row>
    <row r="6" spans="1:5" s="127" customFormat="1" ht="78.75">
      <c r="A6" s="174" t="s">
        <v>1007</v>
      </c>
      <c r="B6" s="231" t="s">
        <v>304</v>
      </c>
      <c r="C6" s="129" t="s">
        <v>971</v>
      </c>
      <c r="D6" s="126" t="s">
        <v>991</v>
      </c>
      <c r="E6" s="129" t="s">
        <v>290</v>
      </c>
    </row>
    <row r="7" spans="1:5" s="127" customFormat="1" ht="45">
      <c r="A7" s="174" t="s">
        <v>418</v>
      </c>
      <c r="B7" s="309" t="s">
        <v>1038</v>
      </c>
      <c r="C7" s="129" t="s">
        <v>552</v>
      </c>
      <c r="D7" s="130" t="s">
        <v>824</v>
      </c>
      <c r="E7" s="310" t="s">
        <v>374</v>
      </c>
    </row>
    <row r="8" spans="1:5" s="127" customFormat="1" ht="258.75">
      <c r="A8" s="348" t="s">
        <v>882</v>
      </c>
      <c r="B8" s="349" t="s">
        <v>288</v>
      </c>
      <c r="C8" s="350" t="s">
        <v>832</v>
      </c>
      <c r="D8" s="347" t="s">
        <v>289</v>
      </c>
      <c r="E8" s="350" t="s">
        <v>594</v>
      </c>
    </row>
    <row r="9" spans="1:5" s="127" customFormat="1" ht="180">
      <c r="A9" s="351"/>
      <c r="B9" s="352"/>
      <c r="C9" s="353"/>
      <c r="D9" s="354"/>
      <c r="E9" s="353" t="s">
        <v>102</v>
      </c>
    </row>
    <row r="10" spans="1:5" ht="225">
      <c r="A10" s="174" t="s">
        <v>940</v>
      </c>
      <c r="B10" s="174" t="s">
        <v>918</v>
      </c>
      <c r="C10" s="129" t="s">
        <v>902</v>
      </c>
      <c r="D10" s="130" t="s">
        <v>903</v>
      </c>
      <c r="E10" s="129" t="s">
        <v>798</v>
      </c>
    </row>
    <row r="11" spans="1:5" s="133" customFormat="1" ht="213.75">
      <c r="A11" s="123" t="s">
        <v>949</v>
      </c>
      <c r="B11" s="124" t="s">
        <v>780</v>
      </c>
      <c r="C11" s="125" t="s">
        <v>189</v>
      </c>
      <c r="D11" s="417" t="s">
        <v>876</v>
      </c>
      <c r="E11" s="125" t="s">
        <v>246</v>
      </c>
    </row>
    <row r="12" spans="1:5" s="36" customFormat="1" ht="202.5">
      <c r="A12" s="174" t="s">
        <v>1082</v>
      </c>
      <c r="B12" s="129" t="s">
        <v>1073</v>
      </c>
      <c r="C12" s="126" t="s">
        <v>1018</v>
      </c>
      <c r="D12" s="129" t="s">
        <v>1074</v>
      </c>
      <c r="E12" s="129" t="s">
        <v>1075</v>
      </c>
    </row>
    <row r="13" spans="1:5" s="127" customFormat="1" ht="67.5">
      <c r="A13" s="123" t="s">
        <v>1083</v>
      </c>
      <c r="B13" s="124" t="s">
        <v>550</v>
      </c>
      <c r="C13" s="125" t="s">
        <v>947</v>
      </c>
      <c r="D13" s="299" t="s">
        <v>285</v>
      </c>
      <c r="E13" s="125" t="s">
        <v>549</v>
      </c>
    </row>
    <row r="14" spans="1:5" s="127" customFormat="1" ht="191.25">
      <c r="A14" s="123" t="s">
        <v>924</v>
      </c>
      <c r="B14" s="125" t="s">
        <v>550</v>
      </c>
      <c r="C14" s="125" t="s">
        <v>412</v>
      </c>
      <c r="D14" s="299" t="s">
        <v>285</v>
      </c>
      <c r="E14" s="125" t="s">
        <v>549</v>
      </c>
    </row>
    <row r="15" spans="1:5" s="36" customFormat="1" ht="29.25" customHeight="1">
      <c r="A15" s="123" t="s">
        <v>413</v>
      </c>
      <c r="B15" s="124" t="s">
        <v>550</v>
      </c>
      <c r="C15" s="125" t="s">
        <v>414</v>
      </c>
      <c r="D15" s="126" t="s">
        <v>285</v>
      </c>
      <c r="E15" s="125" t="s">
        <v>285</v>
      </c>
    </row>
    <row r="16" spans="1:5" s="36" customFormat="1" ht="90">
      <c r="A16" s="123" t="s">
        <v>786</v>
      </c>
      <c r="B16" s="124" t="s">
        <v>1005</v>
      </c>
      <c r="C16" s="125" t="s">
        <v>191</v>
      </c>
      <c r="D16" s="126" t="s">
        <v>192</v>
      </c>
      <c r="E16" s="125" t="s">
        <v>301</v>
      </c>
    </row>
    <row r="17" spans="1:5" s="127" customFormat="1" ht="101.25">
      <c r="A17" s="123" t="s">
        <v>1084</v>
      </c>
      <c r="B17" s="124" t="s">
        <v>250</v>
      </c>
      <c r="C17" s="125" t="s">
        <v>1004</v>
      </c>
      <c r="D17" s="132" t="s">
        <v>98</v>
      </c>
      <c r="E17" s="125" t="s">
        <v>251</v>
      </c>
    </row>
    <row r="18" spans="1:5" s="127" customFormat="1" ht="112.5">
      <c r="A18" s="123" t="s">
        <v>515</v>
      </c>
      <c r="B18" s="137" t="s">
        <v>99</v>
      </c>
      <c r="C18" s="125" t="s">
        <v>100</v>
      </c>
      <c r="D18" s="132"/>
      <c r="E18" s="125" t="s">
        <v>972</v>
      </c>
    </row>
    <row r="19" spans="1:5" s="127" customFormat="1" ht="300.75" customHeight="1">
      <c r="A19" s="346" t="s">
        <v>514</v>
      </c>
      <c r="B19" s="480" t="s">
        <v>952</v>
      </c>
      <c r="C19" s="480" t="s">
        <v>103</v>
      </c>
      <c r="D19" s="480" t="s">
        <v>255</v>
      </c>
      <c r="E19" s="480" t="s">
        <v>256</v>
      </c>
    </row>
    <row r="20" spans="1:5" s="127" customFormat="1" ht="69" customHeight="1">
      <c r="A20" s="355"/>
      <c r="B20" s="478"/>
      <c r="C20" s="479" t="s">
        <v>104</v>
      </c>
      <c r="D20" s="479"/>
      <c r="E20" s="479"/>
    </row>
    <row r="21" spans="1:5" s="138" customFormat="1" ht="90">
      <c r="A21" s="123" t="s">
        <v>1081</v>
      </c>
      <c r="B21" s="124" t="s">
        <v>974</v>
      </c>
      <c r="C21" s="129" t="s">
        <v>105</v>
      </c>
      <c r="D21" s="125" t="s">
        <v>1013</v>
      </c>
      <c r="E21" s="125" t="s">
        <v>975</v>
      </c>
    </row>
    <row r="22" spans="1:5" s="138" customFormat="1" ht="33.75">
      <c r="A22" s="123" t="s">
        <v>896</v>
      </c>
      <c r="B22" s="124" t="s">
        <v>907</v>
      </c>
      <c r="C22" s="125" t="s">
        <v>908</v>
      </c>
      <c r="D22" s="125" t="s">
        <v>909</v>
      </c>
      <c r="E22" s="125" t="s">
        <v>910</v>
      </c>
    </row>
    <row r="23" spans="1:5" s="127" customFormat="1" ht="135">
      <c r="A23" s="123" t="s">
        <v>516</v>
      </c>
      <c r="B23" s="137" t="s">
        <v>897</v>
      </c>
      <c r="C23" s="125" t="s">
        <v>247</v>
      </c>
      <c r="D23" s="132"/>
      <c r="E23" s="125" t="s">
        <v>110</v>
      </c>
    </row>
    <row r="24" spans="1:5" s="127" customFormat="1" ht="135">
      <c r="A24" s="123" t="s">
        <v>518</v>
      </c>
      <c r="B24" s="308" t="s">
        <v>987</v>
      </c>
      <c r="C24" s="301" t="s">
        <v>372</v>
      </c>
      <c r="D24" s="132"/>
      <c r="E24" s="301" t="s">
        <v>1077</v>
      </c>
    </row>
    <row r="25" spans="1:5" s="127" customFormat="1" ht="247.5">
      <c r="A25" s="174" t="s">
        <v>948</v>
      </c>
      <c r="B25" s="357" t="s">
        <v>1076</v>
      </c>
      <c r="C25" s="358" t="s">
        <v>284</v>
      </c>
      <c r="D25" s="359" t="s">
        <v>283</v>
      </c>
      <c r="E25" s="360" t="s">
        <v>963</v>
      </c>
    </row>
    <row r="26" spans="1:5" s="127" customFormat="1" ht="315">
      <c r="A26" s="123" t="s">
        <v>517</v>
      </c>
      <c r="B26" s="124" t="s">
        <v>898</v>
      </c>
      <c r="C26" s="301" t="s">
        <v>1035</v>
      </c>
      <c r="D26" s="302" t="s">
        <v>419</v>
      </c>
      <c r="E26" s="125" t="s">
        <v>101</v>
      </c>
    </row>
    <row r="27" spans="1:5" s="139" customFormat="1" ht="112.5">
      <c r="A27" s="197" t="s">
        <v>85</v>
      </c>
      <c r="B27" s="198" t="s">
        <v>86</v>
      </c>
      <c r="C27" s="198" t="s">
        <v>545</v>
      </c>
      <c r="D27" s="199" t="s">
        <v>87</v>
      </c>
      <c r="E27" s="198" t="s">
        <v>1036</v>
      </c>
    </row>
  </sheetData>
  <sheetProtection/>
  <mergeCells count="1">
    <mergeCell ref="A1:E1"/>
  </mergeCells>
  <printOptions horizontalCentered="1"/>
  <pageMargins left="0.5" right="0.5" top="0.9" bottom="0.5" header="0.75" footer="0.25"/>
  <pageSetup firstPageNumber="115" useFirstPageNumber="1" horizontalDpi="600" verticalDpi="600" orientation="landscape" r:id="rId3"/>
  <headerFooter alignWithMargins="0">
    <oddHeader>&amp;R&amp;"Arial,Regular"&amp;10SREB-State Data Exchange</oddHeader>
    <oddFooter>&amp;C&amp;"Arial,Regular"&amp;10&amp;P&amp;R&amp;"Arial,Regular"&amp;10December 2008</oddFooter>
  </headerFooter>
  <rowBreaks count="2" manualBreakCount="2">
    <brk id="7" max="255" man="1"/>
    <brk id="9" max="4" man="1"/>
  </rowBreaks>
  <legacyDrawing r:id="rId2"/>
</worksheet>
</file>

<file path=xl/worksheets/sheet13.xml><?xml version="1.0" encoding="utf-8"?>
<worksheet xmlns="http://schemas.openxmlformats.org/spreadsheetml/2006/main" xmlns:r="http://schemas.openxmlformats.org/officeDocument/2006/relationships">
  <sheetPr>
    <tabColor indexed="13"/>
  </sheetPr>
  <dimension ref="A1:F25"/>
  <sheetViews>
    <sheetView view="pageBreakPreview" zoomScale="60" zoomScalePageLayoutView="0" workbookViewId="0" topLeftCell="A1">
      <pane ySplit="2" topLeftCell="A9" activePane="bottomLeft" state="frozen"/>
      <selection pane="topLeft" activeCell="A24" sqref="A24:E24"/>
      <selection pane="bottomLeft" activeCell="I12" sqref="I12"/>
    </sheetView>
  </sheetViews>
  <sheetFormatPr defaultColWidth="8.796875" defaultRowHeight="15"/>
  <cols>
    <col min="1" max="1" width="17.5" style="50" customWidth="1"/>
    <col min="2" max="2" width="16.8984375" style="50" customWidth="1"/>
    <col min="3" max="3" width="17.19921875" style="51" customWidth="1"/>
    <col min="4" max="4" width="17.5" style="50" customWidth="1"/>
    <col min="5" max="5" width="25.59765625" style="50" customWidth="1"/>
    <col min="6" max="6" width="24.59765625" style="50" customWidth="1"/>
    <col min="7" max="16384" width="9" style="52" customWidth="1"/>
  </cols>
  <sheetData>
    <row r="1" spans="1:6" s="149" customFormat="1" ht="18">
      <c r="A1" s="175" t="s">
        <v>992</v>
      </c>
      <c r="B1" s="176"/>
      <c r="C1" s="177"/>
      <c r="D1" s="177"/>
      <c r="E1" s="177"/>
      <c r="F1" s="177"/>
    </row>
    <row r="2" spans="1:6" s="122" customFormat="1" ht="48">
      <c r="A2" s="48" t="s">
        <v>525</v>
      </c>
      <c r="B2" s="48" t="s">
        <v>107</v>
      </c>
      <c r="C2" s="49" t="s">
        <v>108</v>
      </c>
      <c r="D2" s="49" t="s">
        <v>109</v>
      </c>
      <c r="E2" s="49" t="s">
        <v>375</v>
      </c>
      <c r="F2" s="49" t="s">
        <v>595</v>
      </c>
    </row>
    <row r="3" spans="1:6" s="127" customFormat="1" ht="90">
      <c r="A3" s="123" t="s">
        <v>427</v>
      </c>
      <c r="B3" s="125" t="s">
        <v>790</v>
      </c>
      <c r="C3" s="126" t="s">
        <v>285</v>
      </c>
      <c r="D3" s="126" t="s">
        <v>286</v>
      </c>
      <c r="E3" s="126" t="s">
        <v>420</v>
      </c>
      <c r="F3" s="126" t="s">
        <v>787</v>
      </c>
    </row>
    <row r="4" spans="1:6" s="127" customFormat="1" ht="33.75">
      <c r="A4" s="123" t="s">
        <v>431</v>
      </c>
      <c r="B4" s="125" t="s">
        <v>422</v>
      </c>
      <c r="C4" s="126" t="s">
        <v>793</v>
      </c>
      <c r="D4" s="126" t="s">
        <v>286</v>
      </c>
      <c r="E4" s="126" t="s">
        <v>923</v>
      </c>
      <c r="F4" s="126" t="s">
        <v>285</v>
      </c>
    </row>
    <row r="5" spans="1:6" s="127" customFormat="1" ht="45">
      <c r="A5" s="174" t="s">
        <v>1085</v>
      </c>
      <c r="B5" s="129" t="s">
        <v>790</v>
      </c>
      <c r="C5" s="126" t="s">
        <v>285</v>
      </c>
      <c r="D5" s="126" t="s">
        <v>286</v>
      </c>
      <c r="E5" s="126" t="s">
        <v>1006</v>
      </c>
      <c r="F5" s="126" t="s">
        <v>287</v>
      </c>
    </row>
    <row r="6" spans="1:6" s="127" customFormat="1" ht="202.5">
      <c r="A6" s="123" t="s">
        <v>1007</v>
      </c>
      <c r="B6" s="128" t="s">
        <v>877</v>
      </c>
      <c r="C6" s="126" t="s">
        <v>993</v>
      </c>
      <c r="D6" s="126" t="s">
        <v>1011</v>
      </c>
      <c r="E6" s="126" t="s">
        <v>1037</v>
      </c>
      <c r="F6" s="126" t="s">
        <v>291</v>
      </c>
    </row>
    <row r="7" spans="1:6" s="127" customFormat="1" ht="180">
      <c r="A7" s="174" t="s">
        <v>418</v>
      </c>
      <c r="B7" s="310" t="s">
        <v>374</v>
      </c>
      <c r="C7" s="126" t="s">
        <v>937</v>
      </c>
      <c r="D7" s="126" t="s">
        <v>1012</v>
      </c>
      <c r="E7" s="130" t="s">
        <v>922</v>
      </c>
      <c r="F7" s="126" t="s">
        <v>285</v>
      </c>
    </row>
    <row r="8" spans="1:6" s="127" customFormat="1" ht="146.25">
      <c r="A8" s="123" t="s">
        <v>882</v>
      </c>
      <c r="B8" s="131" t="s">
        <v>788</v>
      </c>
      <c r="C8" s="126" t="s">
        <v>285</v>
      </c>
      <c r="D8" s="126" t="s">
        <v>286</v>
      </c>
      <c r="E8" s="126" t="s">
        <v>988</v>
      </c>
      <c r="F8" s="126" t="s">
        <v>946</v>
      </c>
    </row>
    <row r="9" spans="1:6" s="278" customFormat="1" ht="270">
      <c r="A9" s="174" t="s">
        <v>940</v>
      </c>
      <c r="B9" s="129" t="s">
        <v>1039</v>
      </c>
      <c r="C9" s="130" t="s">
        <v>1040</v>
      </c>
      <c r="D9" s="126" t="s">
        <v>1012</v>
      </c>
      <c r="E9" s="130" t="s">
        <v>904</v>
      </c>
      <c r="F9" s="126" t="s">
        <v>285</v>
      </c>
    </row>
    <row r="10" spans="1:6" s="133" customFormat="1" ht="67.5">
      <c r="A10" s="123" t="s">
        <v>949</v>
      </c>
      <c r="B10" s="125" t="s">
        <v>422</v>
      </c>
      <c r="C10" s="420" t="s">
        <v>547</v>
      </c>
      <c r="D10" s="420" t="s">
        <v>286</v>
      </c>
      <c r="E10" s="417" t="s">
        <v>548</v>
      </c>
      <c r="F10" s="420" t="s">
        <v>905</v>
      </c>
    </row>
    <row r="11" spans="1:6" s="36" customFormat="1" ht="146.25">
      <c r="A11" s="174" t="s">
        <v>1082</v>
      </c>
      <c r="B11" s="126" t="s">
        <v>422</v>
      </c>
      <c r="C11" s="126" t="s">
        <v>1019</v>
      </c>
      <c r="D11" s="126" t="s">
        <v>286</v>
      </c>
      <c r="E11" s="126" t="s">
        <v>83</v>
      </c>
      <c r="F11" s="126" t="s">
        <v>84</v>
      </c>
    </row>
    <row r="12" spans="1:6" s="127" customFormat="1" ht="78.75">
      <c r="A12" s="123" t="s">
        <v>1083</v>
      </c>
      <c r="B12" s="125" t="s">
        <v>247</v>
      </c>
      <c r="C12" s="299" t="s">
        <v>190</v>
      </c>
      <c r="D12" s="126" t="s">
        <v>286</v>
      </c>
      <c r="E12" s="125" t="s">
        <v>830</v>
      </c>
      <c r="F12" s="126" t="s">
        <v>285</v>
      </c>
    </row>
    <row r="13" spans="1:6" s="127" customFormat="1" ht="101.25">
      <c r="A13" s="123" t="s">
        <v>924</v>
      </c>
      <c r="B13" s="300" t="s">
        <v>415</v>
      </c>
      <c r="C13" s="299" t="s">
        <v>190</v>
      </c>
      <c r="D13" s="126" t="s">
        <v>286</v>
      </c>
      <c r="E13" s="125" t="s">
        <v>416</v>
      </c>
      <c r="F13" s="126"/>
    </row>
    <row r="14" spans="1:6" s="127" customFormat="1" ht="22.5">
      <c r="A14" s="136" t="s">
        <v>413</v>
      </c>
      <c r="B14" s="481"/>
      <c r="C14" s="482" t="s">
        <v>285</v>
      </c>
      <c r="D14" s="482" t="s">
        <v>285</v>
      </c>
      <c r="E14" s="482" t="s">
        <v>417</v>
      </c>
      <c r="F14" s="482" t="s">
        <v>285</v>
      </c>
    </row>
    <row r="15" spans="1:6" s="36" customFormat="1" ht="45">
      <c r="A15" s="123" t="s">
        <v>786</v>
      </c>
      <c r="B15" s="125" t="s">
        <v>422</v>
      </c>
      <c r="C15" s="126" t="s">
        <v>248</v>
      </c>
      <c r="D15" s="126" t="s">
        <v>286</v>
      </c>
      <c r="E15" s="126" t="s">
        <v>249</v>
      </c>
      <c r="F15" s="126" t="s">
        <v>1010</v>
      </c>
    </row>
    <row r="16" spans="1:6" s="127" customFormat="1" ht="67.5">
      <c r="A16" s="123" t="s">
        <v>1084</v>
      </c>
      <c r="B16" s="125" t="s">
        <v>252</v>
      </c>
      <c r="C16" s="132" t="s">
        <v>285</v>
      </c>
      <c r="D16" s="126" t="s">
        <v>1012</v>
      </c>
      <c r="E16" s="132" t="s">
        <v>875</v>
      </c>
      <c r="F16" s="126" t="s">
        <v>285</v>
      </c>
    </row>
    <row r="17" spans="1:6" s="127" customFormat="1" ht="22.5">
      <c r="A17" s="123" t="s">
        <v>515</v>
      </c>
      <c r="B17" s="131" t="s">
        <v>973</v>
      </c>
      <c r="C17" s="132" t="s">
        <v>906</v>
      </c>
      <c r="D17" s="136" t="s">
        <v>1012</v>
      </c>
      <c r="E17" s="132"/>
      <c r="F17" s="126" t="s">
        <v>285</v>
      </c>
    </row>
    <row r="18" spans="1:6" s="127" customFormat="1" ht="123.75">
      <c r="A18" s="123" t="s">
        <v>514</v>
      </c>
      <c r="B18" s="134" t="s">
        <v>257</v>
      </c>
      <c r="C18" s="135" t="s">
        <v>432</v>
      </c>
      <c r="D18" s="136" t="s">
        <v>286</v>
      </c>
      <c r="E18" s="135" t="s">
        <v>432</v>
      </c>
      <c r="F18" s="136" t="s">
        <v>285</v>
      </c>
    </row>
    <row r="19" spans="1:6" s="138" customFormat="1" ht="45">
      <c r="A19" s="123" t="s">
        <v>1081</v>
      </c>
      <c r="B19" s="125" t="s">
        <v>422</v>
      </c>
      <c r="C19" s="132"/>
      <c r="D19" s="126" t="s">
        <v>286</v>
      </c>
      <c r="E19" s="125" t="s">
        <v>980</v>
      </c>
      <c r="F19" s="126" t="s">
        <v>287</v>
      </c>
    </row>
    <row r="20" spans="1:6" s="138" customFormat="1" ht="33.75">
      <c r="A20" s="123" t="s">
        <v>896</v>
      </c>
      <c r="B20" s="125" t="s">
        <v>908</v>
      </c>
      <c r="C20" s="132" t="s">
        <v>799</v>
      </c>
      <c r="D20" s="126" t="s">
        <v>800</v>
      </c>
      <c r="E20" s="125" t="s">
        <v>801</v>
      </c>
      <c r="F20" s="126" t="s">
        <v>908</v>
      </c>
    </row>
    <row r="21" spans="1:6" s="127" customFormat="1" ht="157.5">
      <c r="A21" s="123" t="s">
        <v>516</v>
      </c>
      <c r="B21" s="131" t="s">
        <v>986</v>
      </c>
      <c r="C21" s="132" t="s">
        <v>941</v>
      </c>
      <c r="D21" s="126" t="s">
        <v>286</v>
      </c>
      <c r="E21" s="132" t="s">
        <v>373</v>
      </c>
      <c r="F21" s="126" t="s">
        <v>285</v>
      </c>
    </row>
    <row r="22" spans="1:6" s="127" customFormat="1" ht="56.25">
      <c r="A22" s="123" t="s">
        <v>518</v>
      </c>
      <c r="B22" s="301" t="s">
        <v>1078</v>
      </c>
      <c r="C22" s="126" t="s">
        <v>874</v>
      </c>
      <c r="D22" s="126" t="s">
        <v>286</v>
      </c>
      <c r="E22" s="132"/>
      <c r="F22" s="126" t="s">
        <v>287</v>
      </c>
    </row>
    <row r="23" spans="1:6" s="127" customFormat="1" ht="326.25">
      <c r="A23" s="123" t="s">
        <v>948</v>
      </c>
      <c r="B23" s="301" t="s">
        <v>954</v>
      </c>
      <c r="C23" s="126" t="s">
        <v>964</v>
      </c>
      <c r="D23" s="126" t="s">
        <v>1011</v>
      </c>
      <c r="E23" s="356" t="s">
        <v>970</v>
      </c>
      <c r="F23" s="361" t="s">
        <v>955</v>
      </c>
    </row>
    <row r="24" spans="1:6" s="127" customFormat="1" ht="157.5">
      <c r="A24" s="123" t="s">
        <v>517</v>
      </c>
      <c r="B24" s="125" t="s">
        <v>1080</v>
      </c>
      <c r="C24" s="126" t="s">
        <v>796</v>
      </c>
      <c r="D24" s="126" t="s">
        <v>286</v>
      </c>
      <c r="E24" s="126" t="s">
        <v>911</v>
      </c>
      <c r="F24" s="126" t="s">
        <v>797</v>
      </c>
    </row>
    <row r="25" spans="1:6" s="139" customFormat="1" ht="67.5">
      <c r="A25" s="279" t="s">
        <v>85</v>
      </c>
      <c r="B25" s="198" t="s">
        <v>422</v>
      </c>
      <c r="C25" s="199" t="s">
        <v>1079</v>
      </c>
      <c r="D25" s="199" t="s">
        <v>286</v>
      </c>
      <c r="E25" s="199" t="s">
        <v>546</v>
      </c>
      <c r="F25" s="199" t="s">
        <v>88</v>
      </c>
    </row>
  </sheetData>
  <sheetProtection/>
  <printOptions/>
  <pageMargins left="0.5" right="0.5" top="0.9" bottom="0.5" header="0.75" footer="0.25"/>
  <pageSetup firstPageNumber="124" useFirstPageNumber="1" horizontalDpi="600" verticalDpi="600" orientation="landscape" r:id="rId1"/>
  <headerFooter alignWithMargins="0">
    <oddHeader>&amp;R&amp;"Arial,Regular"&amp;10SREB-State Data Exchange</oddHeader>
    <oddFooter>&amp;C&amp;"Arial,Regular"&amp;10&amp;P&amp;R&amp;"Arial,Regular"&amp;10December 2008</oddFooter>
  </headerFooter>
  <rowBreaks count="6" manualBreakCount="6">
    <brk id="6" max="5" man="1"/>
    <brk id="8" max="5" man="1"/>
    <brk id="10" max="5" man="1"/>
    <brk id="15" max="5" man="1"/>
    <brk id="21" max="5" man="1"/>
    <brk id="23" max="5" man="1"/>
  </rowBreaks>
</worksheet>
</file>

<file path=xl/worksheets/sheet14.xml><?xml version="1.0" encoding="utf-8"?>
<worksheet xmlns="http://schemas.openxmlformats.org/spreadsheetml/2006/main" xmlns:r="http://schemas.openxmlformats.org/officeDocument/2006/relationships">
  <sheetPr>
    <tabColor indexed="17"/>
  </sheetPr>
  <dimension ref="A1:M32"/>
  <sheetViews>
    <sheetView zoomScalePageLayoutView="0" workbookViewId="0" topLeftCell="A1">
      <selection activeCell="A32" sqref="A32:K32"/>
    </sheetView>
  </sheetViews>
  <sheetFormatPr defaultColWidth="8" defaultRowHeight="15"/>
  <cols>
    <col min="1" max="1" width="12.5" style="282" customWidth="1"/>
    <col min="2" max="2" width="26.8984375" style="282" bestFit="1" customWidth="1"/>
    <col min="3" max="3" width="1.4921875" style="282" customWidth="1"/>
    <col min="4" max="4" width="10.19921875" style="282" bestFit="1" customWidth="1"/>
    <col min="5" max="5" width="8" style="282" customWidth="1"/>
    <col min="6" max="6" width="9.8984375" style="282" customWidth="1"/>
    <col min="7" max="7" width="8" style="282" customWidth="1"/>
    <col min="8" max="8" width="1.203125" style="282" customWidth="1"/>
    <col min="9" max="9" width="8" style="282" customWidth="1"/>
    <col min="10" max="10" width="1.59765625" style="282" customWidth="1"/>
    <col min="11" max="11" width="8" style="282" customWidth="1"/>
    <col min="12" max="12" width="1.203125" style="282" customWidth="1"/>
    <col min="13" max="13" width="9.8984375" style="282" customWidth="1"/>
    <col min="14" max="16384" width="8" style="282" customWidth="1"/>
  </cols>
  <sheetData>
    <row r="1" spans="1:13" ht="18">
      <c r="A1" s="34" t="s">
        <v>435</v>
      </c>
      <c r="B1" s="34"/>
      <c r="C1" s="280"/>
      <c r="D1" s="34"/>
      <c r="E1" s="34"/>
      <c r="F1" s="34"/>
      <c r="G1" s="280"/>
      <c r="H1" s="280"/>
      <c r="I1" s="280"/>
      <c r="J1" s="280"/>
      <c r="K1" s="280"/>
      <c r="L1" s="280"/>
      <c r="M1" s="281"/>
    </row>
    <row r="2" spans="1:13" ht="12.75">
      <c r="A2" s="108"/>
      <c r="B2" s="108"/>
      <c r="C2" s="283"/>
      <c r="D2" s="108"/>
      <c r="E2" s="108"/>
      <c r="F2" s="108"/>
      <c r="G2" s="283"/>
      <c r="H2" s="283"/>
      <c r="I2" s="283"/>
      <c r="J2" s="283"/>
      <c r="K2" s="283"/>
      <c r="L2" s="283"/>
      <c r="M2" s="284"/>
    </row>
    <row r="3" spans="1:13" ht="15.75">
      <c r="A3" s="35" t="s">
        <v>899</v>
      </c>
      <c r="B3" s="35"/>
      <c r="C3" s="280"/>
      <c r="D3" s="35"/>
      <c r="E3" s="35"/>
      <c r="F3" s="35"/>
      <c r="G3" s="280"/>
      <c r="H3" s="280"/>
      <c r="I3" s="280"/>
      <c r="J3" s="280"/>
      <c r="K3" s="280"/>
      <c r="L3" s="280"/>
      <c r="M3" s="281"/>
    </row>
    <row r="4" spans="1:13" ht="15.75">
      <c r="A4" s="35" t="s">
        <v>994</v>
      </c>
      <c r="B4" s="35"/>
      <c r="C4" s="35"/>
      <c r="D4" s="35"/>
      <c r="E4" s="35"/>
      <c r="F4" s="35"/>
      <c r="G4" s="35"/>
      <c r="H4" s="35"/>
      <c r="I4" s="35"/>
      <c r="J4" s="35"/>
      <c r="K4" s="35"/>
      <c r="L4" s="35"/>
      <c r="M4" s="281"/>
    </row>
    <row r="5" spans="1:13" ht="15">
      <c r="A5" s="142"/>
      <c r="B5" s="83"/>
      <c r="C5" s="285"/>
      <c r="D5" s="83"/>
      <c r="E5" s="83"/>
      <c r="F5" s="83"/>
      <c r="G5" s="285"/>
      <c r="H5" s="285"/>
      <c r="I5" s="285"/>
      <c r="J5" s="285"/>
      <c r="K5" s="285"/>
      <c r="L5" s="285"/>
      <c r="M5" s="286"/>
    </row>
    <row r="6" spans="1:13" ht="12.75">
      <c r="A6" s="5"/>
      <c r="B6" s="117" t="s">
        <v>985</v>
      </c>
      <c r="C6" s="120"/>
      <c r="D6" s="117"/>
      <c r="E6" s="117"/>
      <c r="F6" s="117"/>
      <c r="G6" s="118" t="s">
        <v>1005</v>
      </c>
      <c r="H6" s="220"/>
      <c r="I6" s="287"/>
      <c r="J6" s="220"/>
      <c r="K6" s="118" t="s">
        <v>434</v>
      </c>
      <c r="L6" s="220"/>
      <c r="M6" s="288"/>
    </row>
    <row r="7" spans="1:13" ht="12.75">
      <c r="A7" s="5"/>
      <c r="B7" s="120" t="s">
        <v>538</v>
      </c>
      <c r="C7" s="117"/>
      <c r="D7" s="120"/>
      <c r="E7" s="121" t="s">
        <v>539</v>
      </c>
      <c r="F7" s="120"/>
      <c r="G7" s="106" t="s">
        <v>984</v>
      </c>
      <c r="H7" s="117"/>
      <c r="I7" s="289"/>
      <c r="J7" s="117"/>
      <c r="K7" s="106" t="s">
        <v>433</v>
      </c>
      <c r="L7" s="117"/>
      <c r="M7" s="290"/>
    </row>
    <row r="8" spans="1:13" ht="12.75">
      <c r="A8" s="81"/>
      <c r="B8" s="82" t="s">
        <v>982</v>
      </c>
      <c r="C8" s="82"/>
      <c r="D8" s="82" t="s">
        <v>983</v>
      </c>
      <c r="E8" s="80" t="s">
        <v>982</v>
      </c>
      <c r="F8" s="82" t="s">
        <v>983</v>
      </c>
      <c r="G8" s="221" t="s">
        <v>982</v>
      </c>
      <c r="H8" s="82"/>
      <c r="I8" s="222" t="s">
        <v>983</v>
      </c>
      <c r="J8" s="82"/>
      <c r="K8" s="80" t="s">
        <v>982</v>
      </c>
      <c r="L8" s="82"/>
      <c r="M8" s="82" t="s">
        <v>983</v>
      </c>
    </row>
    <row r="9" spans="1:13" ht="12.75">
      <c r="A9" s="2" t="s">
        <v>600</v>
      </c>
      <c r="B9" s="291" t="s">
        <v>945</v>
      </c>
      <c r="C9" s="291"/>
      <c r="D9" s="93" t="s">
        <v>945</v>
      </c>
      <c r="E9" s="291" t="s">
        <v>945</v>
      </c>
      <c r="F9" s="93" t="s">
        <v>945</v>
      </c>
      <c r="G9" s="291" t="s">
        <v>945</v>
      </c>
      <c r="H9" s="291"/>
      <c r="I9" s="291" t="s">
        <v>945</v>
      </c>
      <c r="J9" s="93"/>
      <c r="K9" s="291" t="s">
        <v>945</v>
      </c>
      <c r="L9" s="291"/>
      <c r="M9" s="345" t="s">
        <v>945</v>
      </c>
    </row>
    <row r="10" spans="1:13" ht="12.75">
      <c r="A10" s="2" t="s">
        <v>601</v>
      </c>
      <c r="B10" s="89" t="s">
        <v>945</v>
      </c>
      <c r="C10" s="89"/>
      <c r="D10" s="88" t="s">
        <v>945</v>
      </c>
      <c r="E10" s="89" t="s">
        <v>945</v>
      </c>
      <c r="F10" s="88" t="s">
        <v>945</v>
      </c>
      <c r="G10" s="89" t="s">
        <v>945</v>
      </c>
      <c r="H10" s="89"/>
      <c r="I10" s="89" t="s">
        <v>945</v>
      </c>
      <c r="J10" s="88"/>
      <c r="K10" s="89" t="s">
        <v>945</v>
      </c>
      <c r="L10" s="89"/>
      <c r="M10" s="87" t="s">
        <v>945</v>
      </c>
    </row>
    <row r="11" spans="1:13" ht="12.75">
      <c r="A11" s="2" t="s">
        <v>811</v>
      </c>
      <c r="B11" s="410" t="s">
        <v>945</v>
      </c>
      <c r="C11" s="410"/>
      <c r="D11" s="411" t="s">
        <v>945</v>
      </c>
      <c r="E11" s="410" t="s">
        <v>945</v>
      </c>
      <c r="F11" s="411" t="s">
        <v>945</v>
      </c>
      <c r="G11" s="410" t="s">
        <v>945</v>
      </c>
      <c r="H11" s="410"/>
      <c r="I11" s="412" t="s">
        <v>945</v>
      </c>
      <c r="J11" s="411"/>
      <c r="K11" s="412" t="s">
        <v>1008</v>
      </c>
      <c r="L11" s="410"/>
      <c r="M11" s="413" t="s">
        <v>1008</v>
      </c>
    </row>
    <row r="12" spans="1:13" s="292" customFormat="1" ht="12.75">
      <c r="A12" s="6" t="s">
        <v>602</v>
      </c>
      <c r="B12" s="85" t="s">
        <v>995</v>
      </c>
      <c r="C12" s="85"/>
      <c r="D12" s="86" t="s">
        <v>945</v>
      </c>
      <c r="E12" s="85" t="s">
        <v>945</v>
      </c>
      <c r="F12" s="86" t="s">
        <v>945</v>
      </c>
      <c r="G12" s="84" t="s">
        <v>945</v>
      </c>
      <c r="H12" s="84"/>
      <c r="I12" s="89" t="s">
        <v>945</v>
      </c>
      <c r="J12" s="88"/>
      <c r="K12" s="85" t="s">
        <v>533</v>
      </c>
      <c r="L12" s="84"/>
      <c r="M12" s="85" t="s">
        <v>533</v>
      </c>
    </row>
    <row r="13" spans="1:13" ht="12.75">
      <c r="A13" s="6"/>
      <c r="B13" s="85"/>
      <c r="C13" s="89"/>
      <c r="D13" s="86"/>
      <c r="E13" s="87"/>
      <c r="F13" s="86"/>
      <c r="G13" s="89"/>
      <c r="H13" s="89"/>
      <c r="I13" s="87"/>
      <c r="J13" s="88"/>
      <c r="K13" s="89"/>
      <c r="L13" s="89"/>
      <c r="M13" s="85"/>
    </row>
    <row r="14" spans="1:13" ht="12.75">
      <c r="A14" s="6" t="s">
        <v>603</v>
      </c>
      <c r="B14" s="84" t="s">
        <v>945</v>
      </c>
      <c r="C14" s="84"/>
      <c r="D14" s="88" t="s">
        <v>945</v>
      </c>
      <c r="E14" s="84" t="s">
        <v>945</v>
      </c>
      <c r="F14" s="88" t="s">
        <v>945</v>
      </c>
      <c r="G14" s="84" t="s">
        <v>945</v>
      </c>
      <c r="H14" s="84"/>
      <c r="I14" s="89" t="s">
        <v>945</v>
      </c>
      <c r="J14" s="88"/>
      <c r="K14" s="89" t="s">
        <v>777</v>
      </c>
      <c r="L14" s="84"/>
      <c r="M14" s="87" t="s">
        <v>777</v>
      </c>
    </row>
    <row r="15" spans="1:13" ht="12.75">
      <c r="A15" s="6" t="s">
        <v>604</v>
      </c>
      <c r="B15" s="84" t="s">
        <v>945</v>
      </c>
      <c r="C15" s="84"/>
      <c r="D15" s="88" t="s">
        <v>945</v>
      </c>
      <c r="E15" s="84" t="s">
        <v>945</v>
      </c>
      <c r="F15" s="88" t="s">
        <v>945</v>
      </c>
      <c r="G15" s="84" t="s">
        <v>945</v>
      </c>
      <c r="H15" s="84"/>
      <c r="I15" s="89" t="s">
        <v>945</v>
      </c>
      <c r="J15" s="88"/>
      <c r="K15" s="89" t="s">
        <v>945</v>
      </c>
      <c r="L15" s="84"/>
      <c r="M15" s="87" t="s">
        <v>945</v>
      </c>
    </row>
    <row r="16" spans="1:13" ht="12.75">
      <c r="A16" s="6" t="s">
        <v>605</v>
      </c>
      <c r="B16" s="84" t="s">
        <v>945</v>
      </c>
      <c r="C16" s="84"/>
      <c r="D16" s="88" t="s">
        <v>945</v>
      </c>
      <c r="E16" s="84" t="s">
        <v>945</v>
      </c>
      <c r="F16" s="88" t="s">
        <v>945</v>
      </c>
      <c r="G16" s="84" t="s">
        <v>945</v>
      </c>
      <c r="H16" s="84"/>
      <c r="I16" s="89" t="s">
        <v>945</v>
      </c>
      <c r="J16" s="88"/>
      <c r="K16" s="89" t="s">
        <v>945</v>
      </c>
      <c r="L16" s="84"/>
      <c r="M16" s="87" t="s">
        <v>945</v>
      </c>
    </row>
    <row r="17" spans="1:13" ht="12.75">
      <c r="A17" s="2" t="s">
        <v>606</v>
      </c>
      <c r="B17" s="84" t="s">
        <v>945</v>
      </c>
      <c r="C17" s="84"/>
      <c r="D17" s="88" t="s">
        <v>945</v>
      </c>
      <c r="E17" s="84" t="s">
        <v>945</v>
      </c>
      <c r="F17" s="88" t="s">
        <v>945</v>
      </c>
      <c r="G17" s="84" t="s">
        <v>945</v>
      </c>
      <c r="H17" s="84"/>
      <c r="I17" s="89" t="s">
        <v>945</v>
      </c>
      <c r="J17" s="88"/>
      <c r="K17" s="89" t="s">
        <v>1008</v>
      </c>
      <c r="L17" s="84"/>
      <c r="M17" s="87" t="s">
        <v>1008</v>
      </c>
    </row>
    <row r="18" spans="1:13" ht="12.75">
      <c r="A18" s="6"/>
      <c r="B18" s="85"/>
      <c r="C18" s="89"/>
      <c r="D18" s="86"/>
      <c r="E18" s="87"/>
      <c r="F18" s="86"/>
      <c r="G18" s="89"/>
      <c r="H18" s="89"/>
      <c r="I18" s="87"/>
      <c r="J18" s="88"/>
      <c r="K18" s="89"/>
      <c r="L18" s="89"/>
      <c r="M18" s="85"/>
    </row>
    <row r="19" spans="1:13" ht="15">
      <c r="A19" s="6" t="s">
        <v>607</v>
      </c>
      <c r="B19" s="84" t="s">
        <v>945</v>
      </c>
      <c r="C19" s="84"/>
      <c r="D19" s="88" t="s">
        <v>945</v>
      </c>
      <c r="E19" s="84" t="s">
        <v>945</v>
      </c>
      <c r="F19" s="89" t="s">
        <v>945</v>
      </c>
      <c r="G19" s="263" t="s">
        <v>945</v>
      </c>
      <c r="H19" s="85"/>
      <c r="I19" s="87" t="s">
        <v>945</v>
      </c>
      <c r="J19" s="86"/>
      <c r="K19" s="87" t="s">
        <v>1008</v>
      </c>
      <c r="L19" s="85"/>
      <c r="M19" s="87" t="s">
        <v>1008</v>
      </c>
    </row>
    <row r="20" spans="1:13" ht="12.75">
      <c r="A20" s="6" t="s">
        <v>608</v>
      </c>
      <c r="B20" s="85" t="s">
        <v>945</v>
      </c>
      <c r="C20" s="85"/>
      <c r="D20" s="86" t="s">
        <v>945</v>
      </c>
      <c r="E20" s="85" t="s">
        <v>945</v>
      </c>
      <c r="F20" s="86" t="s">
        <v>945</v>
      </c>
      <c r="G20" s="293" t="s">
        <v>945</v>
      </c>
      <c r="H20" s="89"/>
      <c r="I20" s="87" t="s">
        <v>945</v>
      </c>
      <c r="J20" s="88"/>
      <c r="K20" s="87" t="s">
        <v>1008</v>
      </c>
      <c r="L20" s="85"/>
      <c r="M20" s="87" t="s">
        <v>1008</v>
      </c>
    </row>
    <row r="21" spans="1:13" ht="12.75">
      <c r="A21" s="2" t="s">
        <v>609</v>
      </c>
      <c r="B21" s="85" t="s">
        <v>945</v>
      </c>
      <c r="C21" s="85"/>
      <c r="D21" s="86" t="s">
        <v>945</v>
      </c>
      <c r="E21" s="85" t="s">
        <v>945</v>
      </c>
      <c r="F21" s="86" t="s">
        <v>945</v>
      </c>
      <c r="G21" s="293" t="s">
        <v>945</v>
      </c>
      <c r="H21" s="89"/>
      <c r="I21" s="87" t="s">
        <v>945</v>
      </c>
      <c r="J21" s="88"/>
      <c r="K21" s="89" t="s">
        <v>945</v>
      </c>
      <c r="L21" s="84"/>
      <c r="M21" s="87" t="s">
        <v>945</v>
      </c>
    </row>
    <row r="22" spans="1:13" ht="14.25">
      <c r="A22" s="2" t="s">
        <v>610</v>
      </c>
      <c r="B22" s="84" t="s">
        <v>945</v>
      </c>
      <c r="C22" s="294"/>
      <c r="D22" s="88" t="s">
        <v>945</v>
      </c>
      <c r="E22" s="84" t="s">
        <v>945</v>
      </c>
      <c r="F22" s="88" t="s">
        <v>945</v>
      </c>
      <c r="G22" s="293" t="s">
        <v>945</v>
      </c>
      <c r="H22" s="344"/>
      <c r="I22" s="89" t="s">
        <v>945</v>
      </c>
      <c r="J22" s="295"/>
      <c r="K22" s="89" t="s">
        <v>1008</v>
      </c>
      <c r="L22" s="344"/>
      <c r="M22" s="87" t="s">
        <v>1008</v>
      </c>
    </row>
    <row r="23" spans="1:13" ht="12.75">
      <c r="A23" s="2"/>
      <c r="B23" s="84"/>
      <c r="C23" s="89"/>
      <c r="D23" s="88"/>
      <c r="E23" s="89"/>
      <c r="F23" s="88"/>
      <c r="G23" s="89"/>
      <c r="H23" s="89"/>
      <c r="I23" s="87"/>
      <c r="J23" s="88"/>
      <c r="K23" s="89"/>
      <c r="L23" s="89"/>
      <c r="M23" s="85"/>
    </row>
    <row r="24" spans="1:13" ht="12.75">
      <c r="A24" s="6" t="s">
        <v>611</v>
      </c>
      <c r="B24" s="84" t="s">
        <v>945</v>
      </c>
      <c r="C24" s="84"/>
      <c r="D24" s="88" t="s">
        <v>945</v>
      </c>
      <c r="E24" s="84" t="s">
        <v>945</v>
      </c>
      <c r="F24" s="88" t="s">
        <v>945</v>
      </c>
      <c r="G24" s="84" t="s">
        <v>945</v>
      </c>
      <c r="H24" s="84"/>
      <c r="I24" s="89" t="s">
        <v>945</v>
      </c>
      <c r="J24" s="88"/>
      <c r="K24" s="89" t="s">
        <v>1008</v>
      </c>
      <c r="L24" s="84"/>
      <c r="M24" s="87" t="s">
        <v>1008</v>
      </c>
    </row>
    <row r="25" spans="1:13" s="292" customFormat="1" ht="14.25">
      <c r="A25" s="439" t="s">
        <v>612</v>
      </c>
      <c r="B25" s="440" t="s">
        <v>551</v>
      </c>
      <c r="C25" s="441" t="s">
        <v>878</v>
      </c>
      <c r="D25" s="86" t="s">
        <v>945</v>
      </c>
      <c r="E25" s="87" t="s">
        <v>945</v>
      </c>
      <c r="F25" s="86" t="s">
        <v>945</v>
      </c>
      <c r="G25" s="440" t="s">
        <v>551</v>
      </c>
      <c r="H25" s="441" t="s">
        <v>879</v>
      </c>
      <c r="I25" s="87" t="s">
        <v>945</v>
      </c>
      <c r="J25" s="442"/>
      <c r="K25" s="440" t="s">
        <v>551</v>
      </c>
      <c r="L25" s="441" t="s">
        <v>881</v>
      </c>
      <c r="M25" s="443" t="s">
        <v>1008</v>
      </c>
    </row>
    <row r="26" spans="1:13" ht="12.75">
      <c r="A26" s="2" t="s">
        <v>613</v>
      </c>
      <c r="B26" s="85" t="s">
        <v>945</v>
      </c>
      <c r="C26" s="85"/>
      <c r="D26" s="86" t="s">
        <v>945</v>
      </c>
      <c r="E26" s="85" t="s">
        <v>945</v>
      </c>
      <c r="F26" s="86" t="s">
        <v>945</v>
      </c>
      <c r="G26" s="85" t="s">
        <v>945</v>
      </c>
      <c r="H26" s="85"/>
      <c r="I26" s="87" t="s">
        <v>945</v>
      </c>
      <c r="J26" s="86"/>
      <c r="K26" s="87" t="s">
        <v>945</v>
      </c>
      <c r="L26" s="85"/>
      <c r="M26" s="87" t="s">
        <v>945</v>
      </c>
    </row>
    <row r="27" spans="1:13" ht="12.75">
      <c r="A27" s="166" t="s">
        <v>614</v>
      </c>
      <c r="B27" s="140" t="s">
        <v>945</v>
      </c>
      <c r="C27" s="140"/>
      <c r="D27" s="141" t="s">
        <v>945</v>
      </c>
      <c r="E27" s="169" t="s">
        <v>945</v>
      </c>
      <c r="F27" s="141" t="s">
        <v>945</v>
      </c>
      <c r="G27" s="140" t="s">
        <v>945</v>
      </c>
      <c r="H27" s="140"/>
      <c r="I27" s="140" t="s">
        <v>945</v>
      </c>
      <c r="J27" s="141"/>
      <c r="K27" s="169" t="s">
        <v>533</v>
      </c>
      <c r="L27" s="94"/>
      <c r="M27" s="140" t="s">
        <v>533</v>
      </c>
    </row>
    <row r="28" spans="1:13" ht="12.75">
      <c r="A28" s="90" t="s">
        <v>944</v>
      </c>
      <c r="B28" s="87"/>
      <c r="C28" s="89"/>
      <c r="D28" s="87"/>
      <c r="E28" s="87"/>
      <c r="F28" s="87"/>
      <c r="G28" s="89"/>
      <c r="H28" s="89"/>
      <c r="I28" s="87"/>
      <c r="J28" s="89"/>
      <c r="K28" s="89"/>
      <c r="L28" s="89"/>
      <c r="M28" s="87"/>
    </row>
    <row r="29" spans="1:13" ht="15">
      <c r="A29" s="90" t="s">
        <v>532</v>
      </c>
      <c r="B29" s="11"/>
      <c r="C29" s="296"/>
      <c r="D29" s="11"/>
      <c r="E29" s="11"/>
      <c r="F29" s="11"/>
      <c r="G29" s="296"/>
      <c r="H29" s="296"/>
      <c r="I29" s="297"/>
      <c r="J29" s="296"/>
      <c r="K29" s="296"/>
      <c r="L29" s="296"/>
      <c r="M29" s="298"/>
    </row>
    <row r="30" spans="1:11" ht="12.75">
      <c r="A30" s="524" t="s">
        <v>732</v>
      </c>
      <c r="B30" s="525"/>
      <c r="C30" s="525"/>
      <c r="D30" s="525"/>
      <c r="E30" s="525"/>
      <c r="F30" s="525"/>
      <c r="G30" s="525"/>
      <c r="H30" s="525"/>
      <c r="I30" s="525"/>
      <c r="J30" s="525"/>
      <c r="K30" s="525"/>
    </row>
    <row r="31" spans="1:11" ht="12.75">
      <c r="A31" s="524" t="s">
        <v>733</v>
      </c>
      <c r="B31" s="525"/>
      <c r="C31" s="525"/>
      <c r="D31" s="525"/>
      <c r="E31" s="525"/>
      <c r="F31" s="525"/>
      <c r="G31" s="525"/>
      <c r="H31" s="525"/>
      <c r="I31" s="525"/>
      <c r="J31" s="525"/>
      <c r="K31" s="525"/>
    </row>
    <row r="32" spans="1:11" ht="12.75">
      <c r="A32" s="524" t="s">
        <v>734</v>
      </c>
      <c r="B32" s="525"/>
      <c r="C32" s="525"/>
      <c r="D32" s="525"/>
      <c r="E32" s="525"/>
      <c r="F32" s="525"/>
      <c r="G32" s="525"/>
      <c r="H32" s="525"/>
      <c r="I32" s="525"/>
      <c r="J32" s="525"/>
      <c r="K32" s="525"/>
    </row>
  </sheetData>
  <sheetProtection/>
  <mergeCells count="3">
    <mergeCell ref="A30:K30"/>
    <mergeCell ref="A31:K31"/>
    <mergeCell ref="A32:K32"/>
  </mergeCell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tabColor indexed="16"/>
  </sheetPr>
  <dimension ref="A1:U34"/>
  <sheetViews>
    <sheetView showGridLines="0" showZeros="0" tabSelected="1" view="pageBreakPreview" zoomScale="75" zoomScaleSheetLayoutView="75" zoomScalePageLayoutView="0" workbookViewId="0" topLeftCell="A1">
      <selection activeCell="S9" sqref="S9"/>
    </sheetView>
  </sheetViews>
  <sheetFormatPr defaultColWidth="8.796875" defaultRowHeight="15"/>
  <cols>
    <col min="1" max="1" width="12" style="18" customWidth="1"/>
    <col min="2" max="2" width="6.69921875" style="18" customWidth="1"/>
    <col min="3" max="3" width="1.59765625" style="18" customWidth="1"/>
    <col min="4" max="4" width="6.69921875" style="18" customWidth="1"/>
    <col min="5" max="7" width="6.8984375" style="18" customWidth="1"/>
    <col min="8" max="8" width="1.59765625" style="18" customWidth="1"/>
    <col min="9" max="9" width="6.69921875" style="18" customWidth="1"/>
    <col min="10" max="10" width="1.4921875" style="18" bestFit="1" customWidth="1"/>
    <col min="11" max="11" width="6.69921875" style="18" customWidth="1"/>
    <col min="12" max="12" width="1.59765625" style="18" customWidth="1"/>
    <col min="13" max="13" width="6.69921875" style="18" customWidth="1"/>
    <col min="14" max="14" width="1.59765625" style="18" customWidth="1"/>
    <col min="15" max="15" width="3.5" style="104" bestFit="1" customWidth="1"/>
    <col min="16" max="16" width="9.19921875" style="104" bestFit="1" customWidth="1"/>
    <col min="17" max="16384" width="9" style="104" customWidth="1"/>
  </cols>
  <sheetData>
    <row r="1" spans="1:14" ht="18">
      <c r="A1" s="34" t="s">
        <v>435</v>
      </c>
      <c r="B1" s="34"/>
      <c r="C1" s="91"/>
      <c r="D1" s="34"/>
      <c r="E1" s="34"/>
      <c r="F1" s="34"/>
      <c r="G1" s="91"/>
      <c r="H1" s="91"/>
      <c r="I1" s="91"/>
      <c r="J1" s="91"/>
      <c r="K1" s="91"/>
      <c r="L1" s="91"/>
      <c r="M1" s="91"/>
      <c r="N1" s="91"/>
    </row>
    <row r="2" spans="1:14" s="112" customFormat="1" ht="12.75">
      <c r="A2" s="108"/>
      <c r="B2" s="108"/>
      <c r="C2" s="111"/>
      <c r="D2" s="108"/>
      <c r="E2" s="108"/>
      <c r="F2" s="108"/>
      <c r="G2" s="111"/>
      <c r="H2" s="111"/>
      <c r="I2" s="111"/>
      <c r="J2" s="111"/>
      <c r="K2" s="111"/>
      <c r="L2" s="111"/>
      <c r="M2" s="111"/>
      <c r="N2" s="111"/>
    </row>
    <row r="3" spans="1:14" ht="15.75">
      <c r="A3" s="35" t="s">
        <v>899</v>
      </c>
      <c r="B3" s="35"/>
      <c r="C3" s="91"/>
      <c r="D3" s="35"/>
      <c r="E3" s="35"/>
      <c r="F3" s="35"/>
      <c r="G3" s="91"/>
      <c r="H3" s="91"/>
      <c r="I3" s="91"/>
      <c r="J3" s="91"/>
      <c r="K3" s="91"/>
      <c r="L3" s="91"/>
      <c r="M3" s="91"/>
      <c r="N3" s="91"/>
    </row>
    <row r="4" spans="1:14" ht="15.75">
      <c r="A4" s="35" t="s">
        <v>994</v>
      </c>
      <c r="B4" s="35"/>
      <c r="C4" s="35"/>
      <c r="D4" s="35"/>
      <c r="E4" s="35"/>
      <c r="F4" s="35"/>
      <c r="G4" s="35"/>
      <c r="H4" s="35"/>
      <c r="I4" s="35"/>
      <c r="J4" s="35"/>
      <c r="K4" s="35"/>
      <c r="L4" s="35"/>
      <c r="M4" s="35"/>
      <c r="N4" s="35"/>
    </row>
    <row r="5" spans="1:14" ht="5.25" customHeight="1">
      <c r="A5" s="142"/>
      <c r="B5" s="83"/>
      <c r="C5" s="92"/>
      <c r="D5" s="83"/>
      <c r="E5" s="83"/>
      <c r="F5" s="83"/>
      <c r="G5" s="92"/>
      <c r="H5" s="92"/>
      <c r="I5" s="92"/>
      <c r="J5" s="92"/>
      <c r="K5" s="92"/>
      <c r="L5" s="92"/>
      <c r="M5" s="92"/>
      <c r="N5" s="92"/>
    </row>
    <row r="6" spans="1:14" s="112" customFormat="1" ht="12.75">
      <c r="A6" s="5"/>
      <c r="B6" s="117" t="s">
        <v>985</v>
      </c>
      <c r="C6" s="120"/>
      <c r="D6" s="117"/>
      <c r="E6" s="117"/>
      <c r="F6" s="117"/>
      <c r="G6" s="118" t="s">
        <v>1005</v>
      </c>
      <c r="H6" s="220"/>
      <c r="I6" s="119"/>
      <c r="J6" s="220"/>
      <c r="K6" s="118" t="s">
        <v>434</v>
      </c>
      <c r="L6" s="220"/>
      <c r="M6" s="119"/>
      <c r="N6" s="220"/>
    </row>
    <row r="7" spans="1:14" s="112" customFormat="1" ht="15" customHeight="1">
      <c r="A7" s="5"/>
      <c r="B7" s="120" t="s">
        <v>538</v>
      </c>
      <c r="C7" s="117"/>
      <c r="D7" s="120"/>
      <c r="E7" s="121" t="s">
        <v>539</v>
      </c>
      <c r="F7" s="120"/>
      <c r="G7" s="106" t="s">
        <v>984</v>
      </c>
      <c r="H7" s="117"/>
      <c r="I7" s="107"/>
      <c r="J7" s="117"/>
      <c r="K7" s="106" t="s">
        <v>433</v>
      </c>
      <c r="L7" s="117"/>
      <c r="M7" s="107"/>
      <c r="N7" s="117"/>
    </row>
    <row r="8" spans="1:14" s="112" customFormat="1" ht="30.75" customHeight="1">
      <c r="A8" s="81"/>
      <c r="B8" s="508" t="s">
        <v>982</v>
      </c>
      <c r="C8" s="508"/>
      <c r="D8" s="508" t="s">
        <v>983</v>
      </c>
      <c r="E8" s="509" t="s">
        <v>982</v>
      </c>
      <c r="F8" s="508" t="s">
        <v>983</v>
      </c>
      <c r="G8" s="509" t="s">
        <v>982</v>
      </c>
      <c r="H8" s="508"/>
      <c r="I8" s="508" t="s">
        <v>983</v>
      </c>
      <c r="J8" s="508"/>
      <c r="K8" s="509" t="s">
        <v>982</v>
      </c>
      <c r="L8" s="508"/>
      <c r="M8" s="508" t="s">
        <v>983</v>
      </c>
      <c r="N8" s="508"/>
    </row>
    <row r="9" spans="1:14" ht="15">
      <c r="A9" s="2" t="s">
        <v>600</v>
      </c>
      <c r="B9" s="483" t="s">
        <v>945</v>
      </c>
      <c r="C9" s="483"/>
      <c r="D9" s="484" t="s">
        <v>945</v>
      </c>
      <c r="E9" s="483" t="s">
        <v>945</v>
      </c>
      <c r="F9" s="484" t="s">
        <v>945</v>
      </c>
      <c r="G9" s="483" t="s">
        <v>945</v>
      </c>
      <c r="H9" s="483"/>
      <c r="I9" s="483" t="s">
        <v>945</v>
      </c>
      <c r="J9" s="484"/>
      <c r="K9" s="483" t="s">
        <v>945</v>
      </c>
      <c r="L9" s="483"/>
      <c r="M9" s="485" t="s">
        <v>945</v>
      </c>
      <c r="N9" s="291"/>
    </row>
    <row r="10" spans="1:14" ht="15">
      <c r="A10" s="2" t="s">
        <v>601</v>
      </c>
      <c r="B10" s="486" t="s">
        <v>945</v>
      </c>
      <c r="C10" s="486"/>
      <c r="D10" s="487" t="s">
        <v>945</v>
      </c>
      <c r="E10" s="486" t="s">
        <v>945</v>
      </c>
      <c r="F10" s="487" t="s">
        <v>945</v>
      </c>
      <c r="G10" s="486" t="s">
        <v>945</v>
      </c>
      <c r="H10" s="486"/>
      <c r="I10" s="486" t="s">
        <v>945</v>
      </c>
      <c r="J10" s="487"/>
      <c r="K10" s="486" t="s">
        <v>945</v>
      </c>
      <c r="L10" s="486"/>
      <c r="M10" s="488" t="s">
        <v>945</v>
      </c>
      <c r="N10" s="89"/>
    </row>
    <row r="11" spans="1:15" ht="15">
      <c r="A11" s="2" t="s">
        <v>811</v>
      </c>
      <c r="B11" s="489" t="s">
        <v>945</v>
      </c>
      <c r="C11" s="489"/>
      <c r="D11" s="490" t="s">
        <v>945</v>
      </c>
      <c r="E11" s="489" t="s">
        <v>945</v>
      </c>
      <c r="F11" s="490" t="s">
        <v>945</v>
      </c>
      <c r="G11" s="489" t="s">
        <v>945</v>
      </c>
      <c r="H11" s="489"/>
      <c r="I11" s="491" t="s">
        <v>945</v>
      </c>
      <c r="J11" s="490"/>
      <c r="K11" s="491" t="s">
        <v>1008</v>
      </c>
      <c r="L11" s="489"/>
      <c r="M11" s="492" t="s">
        <v>1008</v>
      </c>
      <c r="N11" s="410"/>
      <c r="O11" s="168"/>
    </row>
    <row r="12" spans="1:15" ht="15">
      <c r="A12" s="6" t="s">
        <v>602</v>
      </c>
      <c r="B12" s="493">
        <v>0.05</v>
      </c>
      <c r="C12" s="494" t="s">
        <v>878</v>
      </c>
      <c r="D12" s="495" t="s">
        <v>945</v>
      </c>
      <c r="E12" s="493" t="s">
        <v>945</v>
      </c>
      <c r="F12" s="495" t="s">
        <v>945</v>
      </c>
      <c r="G12" s="477" t="s">
        <v>945</v>
      </c>
      <c r="H12" s="477"/>
      <c r="I12" s="486" t="s">
        <v>945</v>
      </c>
      <c r="J12" s="487"/>
      <c r="K12" s="493" t="s">
        <v>533</v>
      </c>
      <c r="L12" s="477"/>
      <c r="M12" s="493" t="s">
        <v>533</v>
      </c>
      <c r="N12" s="84"/>
      <c r="O12" s="168"/>
    </row>
    <row r="13" spans="1:14" ht="15">
      <c r="A13" s="6"/>
      <c r="B13" s="493"/>
      <c r="C13" s="486"/>
      <c r="D13" s="495"/>
      <c r="E13" s="488"/>
      <c r="F13" s="495"/>
      <c r="G13" s="486"/>
      <c r="H13" s="486"/>
      <c r="I13" s="488"/>
      <c r="J13" s="487"/>
      <c r="K13" s="486"/>
      <c r="L13" s="486"/>
      <c r="M13" s="493"/>
      <c r="N13" s="89"/>
    </row>
    <row r="14" spans="1:15" ht="15">
      <c r="A14" s="6" t="s">
        <v>603</v>
      </c>
      <c r="B14" s="477" t="s">
        <v>945</v>
      </c>
      <c r="C14" s="477"/>
      <c r="D14" s="487" t="s">
        <v>945</v>
      </c>
      <c r="E14" s="477" t="s">
        <v>945</v>
      </c>
      <c r="F14" s="487" t="s">
        <v>945</v>
      </c>
      <c r="G14" s="477" t="s">
        <v>945</v>
      </c>
      <c r="H14" s="477"/>
      <c r="I14" s="486" t="s">
        <v>945</v>
      </c>
      <c r="J14" s="487"/>
      <c r="K14" s="486">
        <v>0.16</v>
      </c>
      <c r="L14" s="477"/>
      <c r="M14" s="488">
        <v>0.18</v>
      </c>
      <c r="N14" s="441" t="s">
        <v>879</v>
      </c>
      <c r="O14" s="168"/>
    </row>
    <row r="15" spans="1:16" ht="15">
      <c r="A15" s="6" t="s">
        <v>604</v>
      </c>
      <c r="B15" s="477" t="s">
        <v>945</v>
      </c>
      <c r="C15" s="477"/>
      <c r="D15" s="487" t="s">
        <v>945</v>
      </c>
      <c r="E15" s="477" t="s">
        <v>945</v>
      </c>
      <c r="F15" s="487" t="s">
        <v>945</v>
      </c>
      <c r="G15" s="477" t="s">
        <v>945</v>
      </c>
      <c r="H15" s="477"/>
      <c r="I15" s="486" t="s">
        <v>945</v>
      </c>
      <c r="J15" s="487"/>
      <c r="K15" s="486" t="s">
        <v>945</v>
      </c>
      <c r="L15" s="477"/>
      <c r="M15" s="488" t="s">
        <v>945</v>
      </c>
      <c r="N15" s="84"/>
      <c r="O15" s="168"/>
      <c r="P15" s="165"/>
    </row>
    <row r="16" spans="1:16" ht="15">
      <c r="A16" s="6" t="s">
        <v>605</v>
      </c>
      <c r="B16" s="477" t="s">
        <v>945</v>
      </c>
      <c r="C16" s="477"/>
      <c r="D16" s="487" t="s">
        <v>945</v>
      </c>
      <c r="E16" s="477" t="s">
        <v>945</v>
      </c>
      <c r="F16" s="487" t="s">
        <v>945</v>
      </c>
      <c r="G16" s="477" t="s">
        <v>945</v>
      </c>
      <c r="H16" s="477"/>
      <c r="I16" s="486" t="s">
        <v>945</v>
      </c>
      <c r="J16" s="487"/>
      <c r="K16" s="486" t="s">
        <v>945</v>
      </c>
      <c r="L16" s="477"/>
      <c r="M16" s="488" t="s">
        <v>945</v>
      </c>
      <c r="N16" s="84"/>
      <c r="O16" s="168"/>
      <c r="P16" s="165"/>
    </row>
    <row r="17" spans="1:21" ht="15">
      <c r="A17" s="2" t="s">
        <v>606</v>
      </c>
      <c r="B17" s="477" t="s">
        <v>945</v>
      </c>
      <c r="C17" s="477"/>
      <c r="D17" s="487" t="s">
        <v>945</v>
      </c>
      <c r="E17" s="477" t="s">
        <v>945</v>
      </c>
      <c r="F17" s="487" t="s">
        <v>945</v>
      </c>
      <c r="G17" s="477" t="s">
        <v>945</v>
      </c>
      <c r="H17" s="477"/>
      <c r="I17" s="486" t="s">
        <v>945</v>
      </c>
      <c r="J17" s="487"/>
      <c r="K17" s="486" t="s">
        <v>1008</v>
      </c>
      <c r="L17" s="477"/>
      <c r="M17" s="488" t="s">
        <v>1008</v>
      </c>
      <c r="N17" s="84"/>
      <c r="O17" s="168"/>
      <c r="U17" s="476"/>
    </row>
    <row r="18" spans="1:16" ht="15">
      <c r="A18" s="6"/>
      <c r="B18" s="493"/>
      <c r="C18" s="486"/>
      <c r="D18" s="495"/>
      <c r="E18" s="488"/>
      <c r="F18" s="495"/>
      <c r="G18" s="486"/>
      <c r="H18" s="486"/>
      <c r="I18" s="488"/>
      <c r="J18" s="487"/>
      <c r="K18" s="486"/>
      <c r="L18" s="486"/>
      <c r="M18" s="493"/>
      <c r="N18" s="89"/>
      <c r="P18" s="105"/>
    </row>
    <row r="19" spans="1:15" ht="15">
      <c r="A19" s="6" t="s">
        <v>607</v>
      </c>
      <c r="B19" s="477" t="s">
        <v>945</v>
      </c>
      <c r="C19" s="477"/>
      <c r="D19" s="487" t="s">
        <v>945</v>
      </c>
      <c r="E19" s="477" t="s">
        <v>945</v>
      </c>
      <c r="F19" s="486" t="s">
        <v>945</v>
      </c>
      <c r="G19" s="496" t="s">
        <v>945</v>
      </c>
      <c r="H19" s="493"/>
      <c r="I19" s="488" t="s">
        <v>945</v>
      </c>
      <c r="J19" s="495"/>
      <c r="K19" s="488" t="s">
        <v>1008</v>
      </c>
      <c r="L19" s="493"/>
      <c r="M19" s="488" t="s">
        <v>1008</v>
      </c>
      <c r="N19" s="85"/>
      <c r="O19" s="168"/>
    </row>
    <row r="20" spans="1:15" ht="15">
      <c r="A20" s="6" t="s">
        <v>608</v>
      </c>
      <c r="B20" s="493" t="s">
        <v>945</v>
      </c>
      <c r="C20" s="493"/>
      <c r="D20" s="495" t="s">
        <v>945</v>
      </c>
      <c r="E20" s="493" t="s">
        <v>945</v>
      </c>
      <c r="F20" s="495" t="s">
        <v>945</v>
      </c>
      <c r="G20" s="497" t="s">
        <v>945</v>
      </c>
      <c r="H20" s="486"/>
      <c r="I20" s="488" t="s">
        <v>945</v>
      </c>
      <c r="J20" s="487"/>
      <c r="K20" s="488" t="s">
        <v>1008</v>
      </c>
      <c r="L20" s="493"/>
      <c r="M20" s="488" t="s">
        <v>1008</v>
      </c>
      <c r="N20" s="85"/>
      <c r="O20" s="168"/>
    </row>
    <row r="21" spans="1:15" ht="15">
      <c r="A21" s="2" t="s">
        <v>609</v>
      </c>
      <c r="B21" s="493" t="s">
        <v>945</v>
      </c>
      <c r="C21" s="493"/>
      <c r="D21" s="495" t="s">
        <v>945</v>
      </c>
      <c r="E21" s="493" t="s">
        <v>945</v>
      </c>
      <c r="F21" s="495" t="s">
        <v>945</v>
      </c>
      <c r="G21" s="497" t="s">
        <v>945</v>
      </c>
      <c r="H21" s="486"/>
      <c r="I21" s="488" t="s">
        <v>945</v>
      </c>
      <c r="J21" s="487"/>
      <c r="K21" s="486" t="s">
        <v>945</v>
      </c>
      <c r="L21" s="477"/>
      <c r="M21" s="488" t="s">
        <v>945</v>
      </c>
      <c r="N21" s="84"/>
      <c r="O21" s="168"/>
    </row>
    <row r="22" spans="1:21" ht="15">
      <c r="A22" s="2" t="s">
        <v>610</v>
      </c>
      <c r="B22" s="477" t="s">
        <v>945</v>
      </c>
      <c r="C22" s="498"/>
      <c r="D22" s="487" t="s">
        <v>945</v>
      </c>
      <c r="E22" s="477" t="s">
        <v>945</v>
      </c>
      <c r="F22" s="487" t="s">
        <v>945</v>
      </c>
      <c r="G22" s="497" t="s">
        <v>945</v>
      </c>
      <c r="H22" s="499"/>
      <c r="I22" s="486" t="s">
        <v>945</v>
      </c>
      <c r="J22" s="500"/>
      <c r="K22" s="486" t="s">
        <v>1008</v>
      </c>
      <c r="L22" s="499"/>
      <c r="M22" s="488" t="s">
        <v>1008</v>
      </c>
      <c r="N22" s="344"/>
      <c r="O22" s="168"/>
      <c r="U22" s="476"/>
    </row>
    <row r="23" spans="1:14" ht="15">
      <c r="A23" s="2"/>
      <c r="B23" s="477"/>
      <c r="C23" s="486"/>
      <c r="D23" s="487"/>
      <c r="E23" s="486"/>
      <c r="F23" s="487"/>
      <c r="G23" s="486"/>
      <c r="H23" s="486"/>
      <c r="I23" s="488"/>
      <c r="J23" s="487"/>
      <c r="K23" s="486"/>
      <c r="L23" s="486"/>
      <c r="M23" s="493"/>
      <c r="N23" s="89"/>
    </row>
    <row r="24" spans="1:15" ht="15">
      <c r="A24" s="6" t="s">
        <v>611</v>
      </c>
      <c r="B24" s="477" t="s">
        <v>945</v>
      </c>
      <c r="C24" s="477"/>
      <c r="D24" s="487" t="s">
        <v>945</v>
      </c>
      <c r="E24" s="477" t="s">
        <v>945</v>
      </c>
      <c r="F24" s="487" t="s">
        <v>945</v>
      </c>
      <c r="G24" s="477" t="s">
        <v>945</v>
      </c>
      <c r="H24" s="477"/>
      <c r="I24" s="486" t="s">
        <v>945</v>
      </c>
      <c r="J24" s="487"/>
      <c r="K24" s="486" t="s">
        <v>1008</v>
      </c>
      <c r="L24" s="477"/>
      <c r="M24" s="488" t="s">
        <v>1008</v>
      </c>
      <c r="N24" s="84"/>
      <c r="O24" s="168"/>
    </row>
    <row r="25" spans="1:15" ht="15">
      <c r="A25" s="439" t="s">
        <v>612</v>
      </c>
      <c r="B25" s="501" t="s">
        <v>551</v>
      </c>
      <c r="C25" s="494" t="s">
        <v>881</v>
      </c>
      <c r="D25" s="495" t="s">
        <v>945</v>
      </c>
      <c r="E25" s="488" t="s">
        <v>945</v>
      </c>
      <c r="F25" s="495" t="s">
        <v>945</v>
      </c>
      <c r="G25" s="501" t="s">
        <v>551</v>
      </c>
      <c r="H25" s="494" t="s">
        <v>881</v>
      </c>
      <c r="I25" s="488" t="s">
        <v>945</v>
      </c>
      <c r="J25" s="502"/>
      <c r="K25" s="501" t="s">
        <v>551</v>
      </c>
      <c r="L25" s="494" t="s">
        <v>42</v>
      </c>
      <c r="M25" s="503" t="s">
        <v>1008</v>
      </c>
      <c r="N25" s="441"/>
      <c r="O25" s="168"/>
    </row>
    <row r="26" spans="1:15" ht="15">
      <c r="A26" s="2" t="s">
        <v>613</v>
      </c>
      <c r="B26" s="493" t="s">
        <v>945</v>
      </c>
      <c r="C26" s="493"/>
      <c r="D26" s="495" t="s">
        <v>945</v>
      </c>
      <c r="E26" s="493" t="s">
        <v>945</v>
      </c>
      <c r="F26" s="495" t="s">
        <v>945</v>
      </c>
      <c r="G26" s="493" t="s">
        <v>945</v>
      </c>
      <c r="H26" s="493"/>
      <c r="I26" s="488" t="s">
        <v>945</v>
      </c>
      <c r="J26" s="495"/>
      <c r="K26" s="488" t="s">
        <v>945</v>
      </c>
      <c r="L26" s="493"/>
      <c r="M26" s="488" t="s">
        <v>945</v>
      </c>
      <c r="N26" s="85"/>
      <c r="O26" s="168"/>
    </row>
    <row r="27" spans="1:15" ht="15">
      <c r="A27" s="166" t="s">
        <v>614</v>
      </c>
      <c r="B27" s="504" t="s">
        <v>945</v>
      </c>
      <c r="C27" s="504"/>
      <c r="D27" s="505" t="s">
        <v>945</v>
      </c>
      <c r="E27" s="506" t="s">
        <v>945</v>
      </c>
      <c r="F27" s="505" t="s">
        <v>945</v>
      </c>
      <c r="G27" s="504" t="s">
        <v>945</v>
      </c>
      <c r="H27" s="504"/>
      <c r="I27" s="504" t="s">
        <v>945</v>
      </c>
      <c r="J27" s="505"/>
      <c r="K27" s="506" t="s">
        <v>533</v>
      </c>
      <c r="L27" s="507"/>
      <c r="M27" s="504" t="s">
        <v>533</v>
      </c>
      <c r="N27" s="94"/>
      <c r="O27" s="168"/>
    </row>
    <row r="28" spans="1:14" ht="15">
      <c r="A28" s="90" t="s">
        <v>944</v>
      </c>
      <c r="B28" s="87"/>
      <c r="C28" s="89"/>
      <c r="D28" s="87"/>
      <c r="E28" s="87"/>
      <c r="F28" s="87"/>
      <c r="G28" s="89"/>
      <c r="H28" s="89"/>
      <c r="I28" s="87"/>
      <c r="J28" s="89"/>
      <c r="K28" s="89"/>
      <c r="L28" s="89"/>
      <c r="M28" s="87"/>
      <c r="N28" s="89"/>
    </row>
    <row r="29" spans="1:13" ht="15">
      <c r="A29" s="90" t="s">
        <v>532</v>
      </c>
      <c r="B29" s="11"/>
      <c r="D29" s="11"/>
      <c r="E29" s="11"/>
      <c r="F29" s="11"/>
      <c r="I29" s="95"/>
      <c r="M29" s="95"/>
    </row>
    <row r="30" spans="1:14" ht="15">
      <c r="A30" s="524" t="s">
        <v>41</v>
      </c>
      <c r="B30" s="524"/>
      <c r="C30" s="524"/>
      <c r="D30" s="524"/>
      <c r="E30" s="524"/>
      <c r="F30" s="524"/>
      <c r="G30" s="524"/>
      <c r="H30" s="524"/>
      <c r="I30" s="524"/>
      <c r="J30" s="524"/>
      <c r="K30" s="524"/>
      <c r="L30" s="473"/>
      <c r="M30" s="104"/>
      <c r="N30" s="473"/>
    </row>
    <row r="31" spans="1:14" ht="15">
      <c r="A31" s="524" t="s">
        <v>43</v>
      </c>
      <c r="B31" s="524"/>
      <c r="C31" s="524"/>
      <c r="D31" s="524"/>
      <c r="E31" s="524"/>
      <c r="F31" s="524"/>
      <c r="G31" s="524"/>
      <c r="H31" s="524"/>
      <c r="I31" s="524"/>
      <c r="J31" s="524"/>
      <c r="K31" s="524"/>
      <c r="L31" s="104"/>
      <c r="M31" s="104"/>
      <c r="N31" s="104"/>
    </row>
    <row r="32" spans="1:14" ht="15">
      <c r="A32" s="524" t="s">
        <v>880</v>
      </c>
      <c r="B32" s="525"/>
      <c r="C32" s="525"/>
      <c r="D32" s="525"/>
      <c r="E32" s="525"/>
      <c r="F32" s="525"/>
      <c r="G32" s="525"/>
      <c r="H32" s="525"/>
      <c r="I32" s="525"/>
      <c r="J32" s="525"/>
      <c r="K32" s="525"/>
      <c r="L32" s="104"/>
      <c r="M32" s="104"/>
      <c r="N32" s="104"/>
    </row>
    <row r="33" spans="1:14" ht="15">
      <c r="A33" s="524" t="s">
        <v>734</v>
      </c>
      <c r="B33" s="525"/>
      <c r="C33" s="525"/>
      <c r="D33" s="525"/>
      <c r="E33" s="525"/>
      <c r="F33" s="525"/>
      <c r="G33" s="525"/>
      <c r="H33" s="525"/>
      <c r="I33" s="525"/>
      <c r="J33" s="525"/>
      <c r="K33" s="525"/>
      <c r="L33" s="104"/>
      <c r="M33" s="474"/>
      <c r="N33" s="104"/>
    </row>
    <row r="34" spans="9:13" ht="15">
      <c r="I34" s="95"/>
      <c r="M34" s="474" t="s">
        <v>37</v>
      </c>
    </row>
  </sheetData>
  <sheetProtection/>
  <mergeCells count="4">
    <mergeCell ref="A30:K30"/>
    <mergeCell ref="A31:K31"/>
    <mergeCell ref="A32:K32"/>
    <mergeCell ref="A33:K33"/>
  </mergeCells>
  <printOptions horizontalCentered="1"/>
  <pageMargins left="0.75" right="0.75" top="0.9" bottom="0.84" header="0.75" footer="0.5"/>
  <pageSetup firstPageNumber="106" useFirstPageNumber="1" horizontalDpi="600" verticalDpi="600" orientation="landscape" scale="97" r:id="rId3"/>
  <headerFooter alignWithMargins="0">
    <oddHeader>&amp;R&amp;"Arial,Regular"&amp;8SREB-State Data Exchange</oddHeader>
    <oddFooter>&amp;C&amp;"ARIAL,Regular"&amp;10&amp;P</oddFooter>
  </headerFooter>
  <legacyDrawing r:id="rId2"/>
</worksheet>
</file>

<file path=xl/worksheets/sheet3.xml><?xml version="1.0" encoding="utf-8"?>
<worksheet xmlns="http://schemas.openxmlformats.org/spreadsheetml/2006/main" xmlns:r="http://schemas.openxmlformats.org/officeDocument/2006/relationships">
  <sheetPr>
    <tabColor indexed="16"/>
  </sheetPr>
  <dimension ref="A1:T57"/>
  <sheetViews>
    <sheetView showGridLines="0" showZeros="0" view="pageBreakPreview" zoomScaleSheetLayoutView="100" zoomScalePageLayoutView="0" workbookViewId="0" topLeftCell="A7">
      <selection activeCell="H17" sqref="H17"/>
    </sheetView>
  </sheetViews>
  <sheetFormatPr defaultColWidth="8.796875" defaultRowHeight="15"/>
  <cols>
    <col min="1" max="1" width="18" style="18" customWidth="1"/>
    <col min="2" max="7" width="8.59765625" style="18" customWidth="1"/>
    <col min="8" max="8" width="8.59765625" style="95" customWidth="1"/>
    <col min="9" max="9" width="4.3984375" style="18" customWidth="1"/>
    <col min="10" max="16384" width="9" style="18" customWidth="1"/>
  </cols>
  <sheetData>
    <row r="1" spans="1:8" ht="18">
      <c r="A1" s="34" t="s">
        <v>428</v>
      </c>
      <c r="B1" s="34"/>
      <c r="C1" s="34"/>
      <c r="D1" s="34"/>
      <c r="E1" s="34"/>
      <c r="F1" s="34"/>
      <c r="G1" s="34"/>
      <c r="H1" s="233"/>
    </row>
    <row r="2" spans="1:8" s="223" customFormat="1" ht="12.75">
      <c r="A2" s="108"/>
      <c r="B2" s="108"/>
      <c r="C2" s="108"/>
      <c r="D2" s="108"/>
      <c r="E2" s="108"/>
      <c r="F2" s="108"/>
      <c r="G2" s="108"/>
      <c r="H2" s="234"/>
    </row>
    <row r="3" spans="1:8" ht="15.75">
      <c r="A3" s="35" t="s">
        <v>597</v>
      </c>
      <c r="B3" s="35"/>
      <c r="C3" s="35"/>
      <c r="D3" s="35"/>
      <c r="E3" s="35"/>
      <c r="F3" s="35"/>
      <c r="G3" s="35"/>
      <c r="H3" s="235"/>
    </row>
    <row r="4" spans="1:20" ht="15.75">
      <c r="A4" s="35" t="s">
        <v>598</v>
      </c>
      <c r="B4" s="35"/>
      <c r="C4" s="35"/>
      <c r="D4" s="35"/>
      <c r="E4" s="35"/>
      <c r="F4" s="35"/>
      <c r="G4" s="35"/>
      <c r="H4" s="235"/>
      <c r="O4" s="227"/>
      <c r="P4" s="227"/>
      <c r="Q4" s="227"/>
      <c r="R4" s="227"/>
      <c r="S4" s="227"/>
      <c r="T4" s="227"/>
    </row>
    <row r="5" spans="1:20" ht="15.75">
      <c r="A5" s="35" t="s">
        <v>38</v>
      </c>
      <c r="B5" s="35"/>
      <c r="C5" s="35"/>
      <c r="D5" s="35"/>
      <c r="E5" s="35"/>
      <c r="F5" s="35"/>
      <c r="G5" s="35"/>
      <c r="H5" s="235"/>
      <c r="O5" s="227"/>
      <c r="P5" s="227"/>
      <c r="Q5" s="227"/>
      <c r="R5" s="227"/>
      <c r="S5" s="227"/>
      <c r="T5" s="227"/>
    </row>
    <row r="6" spans="1:20" s="223" customFormat="1" ht="12.75">
      <c r="A6" s="2"/>
      <c r="B6" s="2"/>
      <c r="C6" s="2"/>
      <c r="D6" s="2"/>
      <c r="E6" s="2"/>
      <c r="F6" s="2"/>
      <c r="G6" s="2"/>
      <c r="H6" s="17"/>
      <c r="O6" s="96"/>
      <c r="P6" s="96"/>
      <c r="Q6" s="96"/>
      <c r="R6" s="96"/>
      <c r="S6" s="96"/>
      <c r="T6" s="96"/>
    </row>
    <row r="7" spans="1:20" ht="15">
      <c r="A7" s="3"/>
      <c r="B7" s="4" t="s">
        <v>599</v>
      </c>
      <c r="C7" s="4"/>
      <c r="D7" s="4"/>
      <c r="E7" s="4"/>
      <c r="F7" s="4"/>
      <c r="G7" s="4"/>
      <c r="H7" s="236"/>
      <c r="L7" s="18" t="s">
        <v>519</v>
      </c>
      <c r="O7" s="227"/>
      <c r="P7" s="227"/>
      <c r="Q7" s="227"/>
      <c r="R7" s="227"/>
      <c r="S7" s="227"/>
      <c r="T7" s="227"/>
    </row>
    <row r="8" spans="1:20" s="224" customFormat="1" ht="15">
      <c r="A8" s="147"/>
      <c r="B8" s="146">
        <v>1</v>
      </c>
      <c r="C8" s="146">
        <v>2</v>
      </c>
      <c r="D8" s="146">
        <v>3</v>
      </c>
      <c r="E8" s="146">
        <v>4</v>
      </c>
      <c r="F8" s="146">
        <v>5</v>
      </c>
      <c r="G8" s="146">
        <v>6</v>
      </c>
      <c r="H8" s="237" t="s">
        <v>519</v>
      </c>
      <c r="O8" s="229"/>
      <c r="P8" s="229"/>
      <c r="Q8" s="229"/>
      <c r="R8" s="229"/>
      <c r="S8" s="229"/>
      <c r="T8" s="229"/>
    </row>
    <row r="9" spans="1:20" ht="12.75" customHeight="1">
      <c r="A9" s="5"/>
      <c r="B9" s="11"/>
      <c r="C9" s="11"/>
      <c r="D9" s="11"/>
      <c r="E9" s="11"/>
      <c r="F9" s="11"/>
      <c r="G9" s="64"/>
      <c r="H9" s="11"/>
      <c r="K9" s="225" t="s">
        <v>976</v>
      </c>
      <c r="L9" s="225" t="s">
        <v>977</v>
      </c>
      <c r="O9" s="227"/>
      <c r="P9" s="227"/>
      <c r="Q9" s="227"/>
      <c r="R9" s="227"/>
      <c r="S9" s="227"/>
      <c r="T9" s="227"/>
    </row>
    <row r="10" spans="1:20" ht="12.75" customHeight="1">
      <c r="A10" s="6" t="s">
        <v>981</v>
      </c>
      <c r="B10" s="23">
        <f>+'Summary Medians from SPSS 07-08'!$D$275</f>
        <v>5767</v>
      </c>
      <c r="C10" s="23">
        <f>+'Summary Medians from SPSS 07-08'!$D$276</f>
        <v>5429</v>
      </c>
      <c r="D10" s="23">
        <f>+'Summary Medians from SPSS 07-08'!$D$277</f>
        <v>4996</v>
      </c>
      <c r="E10" s="23">
        <f>+'Summary Medians from SPSS 07-08'!$D$278</f>
        <v>5024</v>
      </c>
      <c r="F10" s="23">
        <f>+'Summary Medians from SPSS 07-08'!$D$279</f>
        <v>4254.5</v>
      </c>
      <c r="G10" s="23">
        <f>+'Summary Medians from SPSS 07-08'!$D$280</f>
        <v>4172</v>
      </c>
      <c r="H10" s="24">
        <f>+'Summary Medians from SPSS 07-08'!$D$281</f>
        <v>4980</v>
      </c>
      <c r="J10" s="6" t="s">
        <v>981</v>
      </c>
      <c r="K10" s="164">
        <f>+'Summary Medians from SPSS 07-08'!C281</f>
        <v>4626</v>
      </c>
      <c r="L10" s="163">
        <f>(H10-K10)/K10</f>
        <v>0.07652399481193256</v>
      </c>
      <c r="M10" s="164"/>
      <c r="O10" s="230"/>
      <c r="P10" s="164"/>
      <c r="Q10" s="17"/>
      <c r="R10" s="164"/>
      <c r="S10" s="227"/>
      <c r="T10" s="227"/>
    </row>
    <row r="11" spans="1:20" ht="12.75" customHeight="1">
      <c r="A11" s="6"/>
      <c r="B11" s="45"/>
      <c r="C11" s="45"/>
      <c r="D11" s="45"/>
      <c r="E11" s="45"/>
      <c r="F11" s="45"/>
      <c r="G11" s="47"/>
      <c r="H11" s="238"/>
      <c r="J11" s="6"/>
      <c r="K11" s="164"/>
      <c r="L11" s="163"/>
      <c r="M11" s="164"/>
      <c r="O11" s="230"/>
      <c r="P11" s="164"/>
      <c r="Q11" s="17"/>
      <c r="R11" s="164"/>
      <c r="S11" s="227"/>
      <c r="T11" s="227"/>
    </row>
    <row r="12" spans="1:20" ht="12.75" customHeight="1">
      <c r="A12" s="2" t="s">
        <v>600</v>
      </c>
      <c r="B12" s="27">
        <f>+'Summary Medians from SPSS 07-08'!$D$3</f>
        <v>5700</v>
      </c>
      <c r="C12" s="27">
        <f>+'Summary Medians from SPSS 07-08'!$D$4</f>
        <v>5216</v>
      </c>
      <c r="D12" s="27">
        <f>+'Summary Medians from SPSS 07-08'!$D$5</f>
        <v>4876</v>
      </c>
      <c r="E12" s="27">
        <f>+'Summary Medians from SPSS 07-08'!$D$6</f>
        <v>5010</v>
      </c>
      <c r="F12" s="27">
        <f>+'Summary Medians from SPSS 07-08'!$D$7</f>
        <v>5344</v>
      </c>
      <c r="G12" s="27">
        <f>+'Summary Medians from SPSS 07-08'!$D$8</f>
        <v>4050</v>
      </c>
      <c r="H12" s="26">
        <f>+'Summary Medians from SPSS 07-08'!$D$9</f>
        <v>5040</v>
      </c>
      <c r="J12" s="2" t="s">
        <v>600</v>
      </c>
      <c r="K12" s="164">
        <f>+'Summary Medians from SPSS 07-08'!C9</f>
        <v>4705.5</v>
      </c>
      <c r="L12" s="163">
        <f>(H12-K12)/K12</f>
        <v>0.07108702582084794</v>
      </c>
      <c r="M12" s="164"/>
      <c r="O12" s="230"/>
      <c r="P12" s="164"/>
      <c r="Q12" s="5"/>
      <c r="R12" s="164"/>
      <c r="S12" s="227"/>
      <c r="T12" s="227"/>
    </row>
    <row r="13" spans="1:20" ht="12.75" customHeight="1">
      <c r="A13" s="2" t="s">
        <v>601</v>
      </c>
      <c r="B13" s="27">
        <f>+'Summary Medians from SPSS 07-08'!$D$20</f>
        <v>6038</v>
      </c>
      <c r="C13" s="27">
        <f>+'Summary Medians from SPSS 07-08'!$D$21</f>
        <v>0</v>
      </c>
      <c r="D13" s="27">
        <f>+'Summary Medians from SPSS 07-08'!$D$22</f>
        <v>6010</v>
      </c>
      <c r="E13" s="27">
        <f>+'Summary Medians from SPSS 07-08'!$D$23</f>
        <v>5404.5</v>
      </c>
      <c r="F13" s="27">
        <f>+'Summary Medians from SPSS 07-08'!$D$24</f>
        <v>4762</v>
      </c>
      <c r="G13" s="27">
        <f>+'Summary Medians from SPSS 07-08'!$D$25</f>
        <v>4499</v>
      </c>
      <c r="H13" s="26">
        <f>+'Summary Medians from SPSS 07-08'!$D$26</f>
        <v>5689</v>
      </c>
      <c r="J13" s="2" t="s">
        <v>601</v>
      </c>
      <c r="K13" s="164">
        <f>+'Summary Medians from SPSS 07-08'!C26</f>
        <v>5210</v>
      </c>
      <c r="L13" s="163">
        <f>(H13-K13)/K13</f>
        <v>0.09193857965451056</v>
      </c>
      <c r="M13" s="164"/>
      <c r="O13" s="230"/>
      <c r="P13" s="164"/>
      <c r="Q13" s="5"/>
      <c r="R13" s="164"/>
      <c r="S13" s="227"/>
      <c r="T13" s="227"/>
    </row>
    <row r="14" spans="1:20" ht="12.75" customHeight="1">
      <c r="A14" s="2" t="s">
        <v>811</v>
      </c>
      <c r="B14" s="27">
        <f>+'Summary Medians from SPSS 07-08'!$D$37</f>
        <v>8150</v>
      </c>
      <c r="C14" s="27">
        <f>+'Summary Medians from SPSS 07-08'!$D$38</f>
        <v>0</v>
      </c>
      <c r="D14" s="27">
        <f>+'Summary Medians from SPSS 07-08'!$D$39</f>
        <v>0</v>
      </c>
      <c r="E14" s="27">
        <f>+'Summary Medians from SPSS 07-08'!$D$40</f>
        <v>6146</v>
      </c>
      <c r="F14" s="27">
        <f>+'Summary Medians from SPSS 07-08'!$D$41</f>
        <v>0</v>
      </c>
      <c r="G14" s="27">
        <f>+'Summary Medians from SPSS 07-08'!$D$42</f>
        <v>0</v>
      </c>
      <c r="H14" s="26">
        <f>+'Summary Medians from SPSS 07-08'!$D$43</f>
        <v>7148</v>
      </c>
      <c r="J14" s="2" t="s">
        <v>811</v>
      </c>
      <c r="K14" s="164">
        <f>+'Summary Medians from SPSS 07-08'!C43</f>
        <v>6743</v>
      </c>
      <c r="L14" s="163">
        <f>(H14-K14)/K14</f>
        <v>0.06006228681595729</v>
      </c>
      <c r="M14" s="164"/>
      <c r="O14" s="230"/>
      <c r="P14" s="164"/>
      <c r="Q14" s="5"/>
      <c r="R14" s="164"/>
      <c r="S14" s="227"/>
      <c r="T14" s="227"/>
    </row>
    <row r="15" spans="1:20" s="104" customFormat="1" ht="12.75" customHeight="1">
      <c r="A15" s="6" t="s">
        <v>602</v>
      </c>
      <c r="B15" s="25">
        <f>+'Summary Medians from SPSS 07-08'!$D$54</f>
        <v>3463.5249999999996</v>
      </c>
      <c r="C15" s="25">
        <f>+'Summary Medians from SPSS 07-08'!$D$55</f>
        <v>3530.675</v>
      </c>
      <c r="D15" s="25">
        <f>+'Summary Medians from SPSS 07-08'!$D$56</f>
        <v>3409.125</v>
      </c>
      <c r="E15" s="25">
        <f>+'Summary Medians from SPSS 07-08'!$D$57</f>
        <v>0</v>
      </c>
      <c r="F15" s="25">
        <f>+'Summary Medians from SPSS 07-08'!$D$58</f>
        <v>3712.125</v>
      </c>
      <c r="G15" s="25">
        <f>+'Summary Medians from SPSS 07-08'!$D$59</f>
        <v>3201.225</v>
      </c>
      <c r="H15" s="26">
        <f>+'Summary Medians from SPSS 07-08'!$D$60</f>
        <v>3514.325</v>
      </c>
      <c r="J15" s="6" t="s">
        <v>602</v>
      </c>
      <c r="K15" s="164">
        <f>+'Summary Medians from SPSS 07-08'!C60</f>
        <v>3352.5</v>
      </c>
      <c r="L15" s="163">
        <f>(H15-K15)/K15</f>
        <v>0.048269947800149086</v>
      </c>
      <c r="M15" s="164"/>
      <c r="N15" s="18"/>
      <c r="O15" s="230"/>
      <c r="P15" s="164"/>
      <c r="Q15" s="17"/>
      <c r="R15" s="164"/>
      <c r="S15" s="227"/>
      <c r="T15" s="95"/>
    </row>
    <row r="16" spans="1:20" s="104" customFormat="1" ht="9" customHeight="1">
      <c r="A16" s="6"/>
      <c r="B16" s="25"/>
      <c r="C16" s="25"/>
      <c r="D16" s="25"/>
      <c r="E16" s="25"/>
      <c r="F16" s="25"/>
      <c r="G16" s="25"/>
      <c r="H16" s="26"/>
      <c r="J16" s="6"/>
      <c r="K16" s="164"/>
      <c r="L16" s="163"/>
      <c r="M16" s="164"/>
      <c r="N16" s="18"/>
      <c r="O16" s="230"/>
      <c r="P16" s="164"/>
      <c r="Q16" s="17"/>
      <c r="R16" s="164"/>
      <c r="S16" s="227"/>
      <c r="T16" s="95"/>
    </row>
    <row r="17" spans="1:20" ht="12.75" customHeight="1">
      <c r="A17" s="6" t="s">
        <v>603</v>
      </c>
      <c r="B17" s="25">
        <f>+'Summary Medians from SPSS 07-08'!$D$71</f>
        <v>5553</v>
      </c>
      <c r="C17" s="25">
        <f>+'Summary Medians from SPSS 07-08'!$D$72</f>
        <v>5642</v>
      </c>
      <c r="D17" s="25">
        <f>+'Summary Medians from SPSS 07-08'!$D$73</f>
        <v>4038</v>
      </c>
      <c r="E17" s="25">
        <f>+'Summary Medians from SPSS 07-08'!$D$74</f>
        <v>3514</v>
      </c>
      <c r="F17" s="25">
        <f>+'Summary Medians from SPSS 07-08'!$D$75</f>
        <v>3546</v>
      </c>
      <c r="G17" s="25">
        <f>+'Summary Medians from SPSS 07-08'!$D$76</f>
        <v>2821</v>
      </c>
      <c r="H17" s="26">
        <f>+'Summary Medians from SPSS 07-08'!$D$77</f>
        <v>3601</v>
      </c>
      <c r="J17" s="6" t="s">
        <v>603</v>
      </c>
      <c r="K17" s="164">
        <f>+'Summary Medians from SPSS 07-08'!C77</f>
        <v>3236</v>
      </c>
      <c r="L17" s="163">
        <f>(H17-K17)/K17</f>
        <v>0.11279357231149567</v>
      </c>
      <c r="M17" s="164"/>
      <c r="O17" s="230"/>
      <c r="P17" s="164"/>
      <c r="Q17" s="5"/>
      <c r="R17" s="164"/>
      <c r="S17" s="227"/>
      <c r="T17" s="227"/>
    </row>
    <row r="18" spans="1:20" ht="12.75" customHeight="1">
      <c r="A18" s="2" t="s">
        <v>604</v>
      </c>
      <c r="B18" s="27">
        <f>+'Summary Medians from SPSS 07-08'!$D$88</f>
        <v>7199</v>
      </c>
      <c r="C18" s="27">
        <f>+'Summary Medians from SPSS 07-08'!$D$89</f>
        <v>6870</v>
      </c>
      <c r="D18" s="27">
        <f>+'Summary Medians from SPSS 07-08'!$D$90</f>
        <v>5682</v>
      </c>
      <c r="E18" s="27">
        <f>+'Summary Medians from SPSS 07-08'!$D$91</f>
        <v>5616</v>
      </c>
      <c r="F18" s="27">
        <f>+'Summary Medians from SPSS 07-08'!$D$92</f>
        <v>5320</v>
      </c>
      <c r="G18" s="27">
        <f>+'Summary Medians from SPSS 07-08'!$D$93</f>
        <v>0</v>
      </c>
      <c r="H18" s="26">
        <f>+'Summary Medians from SPSS 07-08'!$D$94</f>
        <v>5817</v>
      </c>
      <c r="J18" s="2" t="s">
        <v>604</v>
      </c>
      <c r="K18" s="164">
        <f>+'Summary Medians from SPSS 07-08'!C94</f>
        <v>5320</v>
      </c>
      <c r="L18" s="163">
        <f>(H18-K18)/K18</f>
        <v>0.09342105263157895</v>
      </c>
      <c r="M18" s="164"/>
      <c r="O18" s="230"/>
      <c r="P18" s="164"/>
      <c r="Q18" s="5"/>
      <c r="R18" s="164"/>
      <c r="S18" s="227"/>
      <c r="T18" s="227"/>
    </row>
    <row r="19" spans="1:20" ht="12.75" customHeight="1">
      <c r="A19" s="2" t="s">
        <v>605</v>
      </c>
      <c r="B19" s="25">
        <f>+'Summary Medians from SPSS 07-08'!$D$105</f>
        <v>4688</v>
      </c>
      <c r="C19" s="25">
        <f>+'Summary Medians from SPSS 07-08'!$D$106</f>
        <v>3984</v>
      </c>
      <c r="D19" s="25">
        <f>+'Summary Medians from SPSS 07-08'!$D$107</f>
        <v>3501</v>
      </c>
      <c r="E19" s="25">
        <f>+'Summary Medians from SPSS 07-08'!$D$108</f>
        <v>3595</v>
      </c>
      <c r="F19" s="25">
        <f>+'Summary Medians from SPSS 07-08'!$D$109</f>
        <v>2976</v>
      </c>
      <c r="G19" s="25">
        <f>+'Summary Medians from SPSS 07-08'!$D$110</f>
        <v>0</v>
      </c>
      <c r="H19" s="26">
        <f>+'Summary Medians from SPSS 07-08'!$D$111</f>
        <v>3595</v>
      </c>
      <c r="J19" s="2" t="s">
        <v>605</v>
      </c>
      <c r="K19" s="164">
        <f>+'Summary Medians from SPSS 07-08'!C111</f>
        <v>3438</v>
      </c>
      <c r="L19" s="163">
        <f>(H19-K19)/K19</f>
        <v>0.04566608493310064</v>
      </c>
      <c r="M19" s="164"/>
      <c r="O19" s="230"/>
      <c r="P19" s="164"/>
      <c r="Q19" s="17"/>
      <c r="R19" s="164"/>
      <c r="S19" s="227"/>
      <c r="T19" s="227"/>
    </row>
    <row r="20" spans="1:20" ht="12.75" customHeight="1">
      <c r="A20" s="6" t="s">
        <v>606</v>
      </c>
      <c r="B20" s="25">
        <f>+'Summary Medians from SPSS 07-08'!$D$122</f>
        <v>7969</v>
      </c>
      <c r="C20" s="25">
        <f>+'Summary Medians from SPSS 07-08'!$D$123</f>
        <v>8707</v>
      </c>
      <c r="D20" s="25">
        <f>+'Summary Medians from SPSS 07-08'!$D$124</f>
        <v>7234</v>
      </c>
      <c r="E20" s="25">
        <f>+'Summary Medians from SPSS 07-08'!$D$125</f>
        <v>6318</v>
      </c>
      <c r="F20" s="25">
        <f>+'Summary Medians from SPSS 07-08'!$D$126</f>
        <v>0</v>
      </c>
      <c r="G20" s="25">
        <f>+'Summary Medians from SPSS 07-08'!$D$127</f>
        <v>11989</v>
      </c>
      <c r="H20" s="26">
        <f>+'Summary Medians from SPSS 07-08'!$D$128</f>
        <v>6550</v>
      </c>
      <c r="J20" s="6" t="s">
        <v>606</v>
      </c>
      <c r="K20" s="164">
        <f>+'Summary Medians from SPSS 07-08'!C128</f>
        <v>6412</v>
      </c>
      <c r="L20" s="163">
        <f>(H20-K20)/K20</f>
        <v>0.021522145976294448</v>
      </c>
      <c r="M20" s="164"/>
      <c r="O20" s="230"/>
      <c r="P20" s="164"/>
      <c r="Q20" s="5"/>
      <c r="R20" s="164"/>
      <c r="S20" s="227"/>
      <c r="T20" s="227"/>
    </row>
    <row r="21" spans="1:20" ht="7.5" customHeight="1">
      <c r="A21" s="6"/>
      <c r="B21" s="25"/>
      <c r="C21" s="25"/>
      <c r="D21" s="25"/>
      <c r="E21" s="25"/>
      <c r="F21" s="25"/>
      <c r="G21" s="25"/>
      <c r="H21" s="26"/>
      <c r="J21" s="6"/>
      <c r="K21" s="164"/>
      <c r="L21" s="163"/>
      <c r="M21" s="164"/>
      <c r="O21" s="230"/>
      <c r="P21" s="164"/>
      <c r="Q21" s="5"/>
      <c r="R21" s="164"/>
      <c r="S21" s="227"/>
      <c r="T21" s="227"/>
    </row>
    <row r="22" spans="1:20" ht="12.75" customHeight="1">
      <c r="A22" s="2" t="s">
        <v>607</v>
      </c>
      <c r="B22" s="27">
        <f>+'Summary Medians from SPSS 07-08'!$D$139</f>
        <v>4946.5</v>
      </c>
      <c r="C22" s="27">
        <f>+'Summary Medians from SPSS 07-08'!$D$140</f>
        <v>4705.5</v>
      </c>
      <c r="D22" s="27">
        <f>+'Summary Medians from SPSS 07-08'!$D$141</f>
        <v>0</v>
      </c>
      <c r="E22" s="27">
        <f>+'Summary Medians from SPSS 07-08'!$D$142</f>
        <v>4285.5</v>
      </c>
      <c r="F22" s="27">
        <f>+'Summary Medians from SPSS 07-08'!$D$143</f>
        <v>4313</v>
      </c>
      <c r="G22" s="27">
        <f>+'Summary Medians from SPSS 07-08'!$D$144</f>
        <v>0</v>
      </c>
      <c r="H22" s="26">
        <f>+'Summary Medians from SPSS 07-08'!$D$145</f>
        <v>4447</v>
      </c>
      <c r="J22" s="2" t="s">
        <v>607</v>
      </c>
      <c r="K22" s="164">
        <f>+'Summary Medians from SPSS 07-08'!C145</f>
        <v>4235.5</v>
      </c>
      <c r="L22" s="163">
        <f>(H22-K22)/K22</f>
        <v>0.04993507260063747</v>
      </c>
      <c r="M22" s="164"/>
      <c r="O22" s="230"/>
      <c r="P22" s="164"/>
      <c r="Q22" s="5"/>
      <c r="R22" s="164"/>
      <c r="S22" s="227"/>
      <c r="T22" s="227"/>
    </row>
    <row r="23" spans="1:20" ht="12.75" customHeight="1">
      <c r="A23" s="2" t="s">
        <v>608</v>
      </c>
      <c r="B23" s="27">
        <f>+'Summary Medians from SPSS 07-08'!$D$156</f>
        <v>5228.5</v>
      </c>
      <c r="C23" s="27">
        <f>+'Summary Medians from SPSS 07-08'!$D$157</f>
        <v>4091</v>
      </c>
      <c r="D23" s="27">
        <f>+'Summary Medians from SPSS 07-08'!$D$158</f>
        <v>4151</v>
      </c>
      <c r="E23" s="27">
        <f>+'Summary Medians from SPSS 07-08'!$D$159</f>
        <v>3044</v>
      </c>
      <c r="F23" s="27">
        <f>+'Summary Medians from SPSS 07-08'!$D$160</f>
        <v>3403.5</v>
      </c>
      <c r="G23" s="27">
        <f>+'Summary Medians from SPSS 07-08'!$D$161</f>
        <v>3471.5</v>
      </c>
      <c r="H23" s="26">
        <f>+'Summary Medians from SPSS 07-08'!$D$162</f>
        <v>4045</v>
      </c>
      <c r="J23" s="2" t="s">
        <v>608</v>
      </c>
      <c r="K23" s="164">
        <f>+'Summary Medians from SPSS 07-08'!C162</f>
        <v>3811</v>
      </c>
      <c r="L23" s="163">
        <f>(H23-K23)/K23</f>
        <v>0.061401207032274994</v>
      </c>
      <c r="M23" s="164"/>
      <c r="O23" s="230"/>
      <c r="P23" s="164"/>
      <c r="Q23" s="5"/>
      <c r="R23" s="164"/>
      <c r="S23" s="227"/>
      <c r="T23" s="227"/>
    </row>
    <row r="24" spans="1:20" ht="12.75" customHeight="1">
      <c r="A24" s="2" t="s">
        <v>609</v>
      </c>
      <c r="B24" s="27">
        <f>+'Summary Medians from SPSS 07-08'!$D$173</f>
        <v>5549.1</v>
      </c>
      <c r="C24" s="27">
        <f>+'Summary Medians from SPSS 07-08'!$D$174</f>
        <v>0</v>
      </c>
      <c r="D24" s="27">
        <f>+'Summary Medians from SPSS 07-08'!$D$175</f>
        <v>3827.25</v>
      </c>
      <c r="E24" s="27">
        <f>+'Summary Medians from SPSS 07-08'!$D$176</f>
        <v>0</v>
      </c>
      <c r="F24" s="27">
        <f>+'Summary Medians from SPSS 07-08'!$D$177</f>
        <v>3753</v>
      </c>
      <c r="G24" s="27">
        <f>+'Summary Medians from SPSS 07-08'!$D$178</f>
        <v>3892.5</v>
      </c>
      <c r="H24" s="26">
        <f>+'Summary Medians from SPSS 07-08'!$D$179</f>
        <v>3841.2</v>
      </c>
      <c r="J24" s="2" t="s">
        <v>609</v>
      </c>
      <c r="K24" s="164">
        <f>+'Summary Medians from SPSS 07-08'!C179</f>
        <v>3496.5</v>
      </c>
      <c r="L24" s="163">
        <f>(H24-K24)/K24</f>
        <v>0.09858429858429853</v>
      </c>
      <c r="M24" s="164"/>
      <c r="O24" s="230"/>
      <c r="P24" s="164"/>
      <c r="Q24" s="5"/>
      <c r="R24" s="164"/>
      <c r="S24" s="227"/>
      <c r="T24" s="227"/>
    </row>
    <row r="25" spans="1:20" ht="12.75" customHeight="1">
      <c r="A25" s="2" t="s">
        <v>610</v>
      </c>
      <c r="B25" s="27">
        <f>+'Summary Medians from SPSS 07-08'!$D$190</f>
        <v>9108</v>
      </c>
      <c r="C25" s="27">
        <f>+'Summary Medians from SPSS 07-08'!$D$191</f>
        <v>0</v>
      </c>
      <c r="D25" s="27">
        <f>+'Summary Medians from SPSS 07-08'!$D$192</f>
        <v>8994</v>
      </c>
      <c r="E25" s="27">
        <f>+'Summary Medians from SPSS 07-08'!$D$193</f>
        <v>7735</v>
      </c>
      <c r="F25" s="27">
        <f>+'Summary Medians from SPSS 07-08'!$D$194</f>
        <v>7459</v>
      </c>
      <c r="G25" s="27">
        <f>+'Summary Medians from SPSS 07-08'!$D$195</f>
        <v>7383</v>
      </c>
      <c r="H25" s="26">
        <f>+'Summary Medians from SPSS 07-08'!$D$196</f>
        <v>7735</v>
      </c>
      <c r="J25" s="2" t="s">
        <v>610</v>
      </c>
      <c r="K25" s="164">
        <f>+'Summary Medians from SPSS 07-08'!C196</f>
        <v>7234</v>
      </c>
      <c r="L25" s="163">
        <f>(H25-K25)/K25</f>
        <v>0.06925628974288084</v>
      </c>
      <c r="M25" s="164"/>
      <c r="O25" s="230"/>
      <c r="P25" s="164"/>
      <c r="Q25" s="5"/>
      <c r="R25" s="164"/>
      <c r="S25" s="227"/>
      <c r="T25" s="227"/>
    </row>
    <row r="26" spans="1:20" ht="9" customHeight="1">
      <c r="A26" s="2"/>
      <c r="B26" s="27"/>
      <c r="C26" s="27"/>
      <c r="D26" s="27"/>
      <c r="E26" s="27"/>
      <c r="F26" s="27"/>
      <c r="G26" s="27"/>
      <c r="H26" s="26"/>
      <c r="J26" s="2"/>
      <c r="K26" s="164"/>
      <c r="L26" s="163"/>
      <c r="M26" s="164"/>
      <c r="O26" s="230"/>
      <c r="P26" s="164"/>
      <c r="Q26" s="5"/>
      <c r="R26" s="164"/>
      <c r="S26" s="227"/>
      <c r="T26" s="227"/>
    </row>
    <row r="27" spans="1:20" ht="12.75" customHeight="1">
      <c r="A27" s="2" t="s">
        <v>611</v>
      </c>
      <c r="B27" s="27">
        <f>+'Summary Medians from SPSS 07-08'!$D$207</f>
        <v>5932</v>
      </c>
      <c r="C27" s="27">
        <f>+'Summary Medians from SPSS 07-08'!$D$208</f>
        <v>5802</v>
      </c>
      <c r="D27" s="27">
        <f>+'Summary Medians from SPSS 07-08'!$D$209</f>
        <v>4974.5</v>
      </c>
      <c r="E27" s="27">
        <f>+'Summary Medians from SPSS 07-08'!$D$210</f>
        <v>5109</v>
      </c>
      <c r="F27" s="27">
        <f>+'Summary Medians from SPSS 07-08'!$D$211</f>
        <v>5005</v>
      </c>
      <c r="G27" s="27">
        <f>+'Summary Medians from SPSS 07-08'!$D$212</f>
        <v>0</v>
      </c>
      <c r="H27" s="26">
        <f>+'Summary Medians from SPSS 07-08'!$D$213</f>
        <v>5062</v>
      </c>
      <c r="J27" s="2" t="s">
        <v>611</v>
      </c>
      <c r="K27" s="164">
        <f>+'Summary Medians from SPSS 07-08'!C213</f>
        <v>4688</v>
      </c>
      <c r="L27" s="163">
        <f>(H27-K27)/K27</f>
        <v>0.07977815699658702</v>
      </c>
      <c r="M27" s="164"/>
      <c r="O27" s="230"/>
      <c r="P27" s="164"/>
      <c r="Q27" s="5"/>
      <c r="R27" s="164"/>
      <c r="S27" s="227"/>
      <c r="T27" s="227"/>
    </row>
    <row r="28" spans="1:20" s="104" customFormat="1" ht="12.75" customHeight="1">
      <c r="A28" s="6" t="s">
        <v>1017</v>
      </c>
      <c r="B28" s="25">
        <f>+'Summary Medians from SPSS 07-08'!$D$224</f>
        <v>7516</v>
      </c>
      <c r="C28" s="25">
        <f>+'Summary Medians from SPSS 07-08'!$D$225</f>
        <v>6436</v>
      </c>
      <c r="D28" s="25">
        <f>+'Summary Medians from SPSS 07-08'!$D$226</f>
        <v>5412</v>
      </c>
      <c r="E28" s="25">
        <f>+'Summary Medians from SPSS 07-08'!$D$227</f>
        <v>4657.5</v>
      </c>
      <c r="F28" s="25">
        <f>+'Summary Medians from SPSS 07-08'!$D$228</f>
        <v>4934</v>
      </c>
      <c r="G28" s="25">
        <f>+'Summary Medians from SPSS 07-08'!$D$229</f>
        <v>5645</v>
      </c>
      <c r="H28" s="26">
        <f>+'Summary Medians from SPSS 07-08'!$D$230</f>
        <v>5428</v>
      </c>
      <c r="J28" s="6" t="s">
        <v>612</v>
      </c>
      <c r="K28" s="54">
        <f>+'Summary Medians from SPSS 07-08'!C230</f>
        <v>4914</v>
      </c>
      <c r="L28" s="264">
        <f>(H28-K28)/K28</f>
        <v>0.1045991045991046</v>
      </c>
      <c r="M28" s="54"/>
      <c r="O28" s="95"/>
      <c r="P28" s="95"/>
      <c r="Q28" s="95"/>
      <c r="R28" s="95"/>
      <c r="S28" s="95"/>
      <c r="T28" s="95"/>
    </row>
    <row r="29" spans="1:20" ht="12.75" customHeight="1">
      <c r="A29" s="2" t="s">
        <v>613</v>
      </c>
      <c r="B29" s="27">
        <f>+'Summary Medians from SPSS 07-08'!$D$241</f>
        <v>7948.5</v>
      </c>
      <c r="C29" s="27">
        <f>+'Summary Medians from SPSS 07-08'!$D$242</f>
        <v>6684</v>
      </c>
      <c r="D29" s="27">
        <f>+'Summary Medians from SPSS 07-08'!$D$243</f>
        <v>6421</v>
      </c>
      <c r="E29" s="27">
        <f>+'Summary Medians from SPSS 07-08'!$D$244</f>
        <v>5655</v>
      </c>
      <c r="F29" s="27">
        <f>+'Summary Medians from SPSS 07-08'!$D$245</f>
        <v>7276</v>
      </c>
      <c r="G29" s="27">
        <f>+'Summary Medians from SPSS 07-08'!$D$246</f>
        <v>6151</v>
      </c>
      <c r="H29" s="26">
        <f>+'Summary Medians from SPSS 07-08'!$D$247</f>
        <v>6597</v>
      </c>
      <c r="J29" s="2" t="s">
        <v>613</v>
      </c>
      <c r="K29" s="164">
        <f>+'Summary Medians from SPSS 07-08'!C247</f>
        <v>6194</v>
      </c>
      <c r="L29" s="163">
        <f>(H29-K29)/K29</f>
        <v>0.06506296415886341</v>
      </c>
      <c r="M29" s="164"/>
      <c r="O29" s="227"/>
      <c r="P29" s="227"/>
      <c r="Q29" s="227"/>
      <c r="R29" s="227"/>
      <c r="S29" s="227"/>
      <c r="T29" s="227"/>
    </row>
    <row r="30" spans="1:20" ht="12.75" customHeight="1">
      <c r="A30" s="9" t="s">
        <v>614</v>
      </c>
      <c r="B30" s="29">
        <f>+'Summary Medians from SPSS 07-08'!$D$258</f>
        <v>4722</v>
      </c>
      <c r="C30" s="29">
        <f>+'Summary Medians from SPSS 07-08'!$D$259</f>
        <v>0</v>
      </c>
      <c r="D30" s="29">
        <f>+'Summary Medians from SPSS 07-08'!$D$260</f>
        <v>4510</v>
      </c>
      <c r="E30" s="29">
        <f>+'Summary Medians from SPSS 07-08'!$D$261</f>
        <v>0</v>
      </c>
      <c r="F30" s="29">
        <f>+'Summary Medians from SPSS 07-08'!$D$262</f>
        <v>0</v>
      </c>
      <c r="G30" s="29">
        <f>+'Summary Medians from SPSS 07-08'!$D$263</f>
        <v>4294</v>
      </c>
      <c r="H30" s="30">
        <f>+'Summary Medians from SPSS 07-08'!$D$264</f>
        <v>4462</v>
      </c>
      <c r="J30" s="5" t="s">
        <v>614</v>
      </c>
      <c r="K30" s="164">
        <f>+'Summary Medians from SPSS 07-08'!C264</f>
        <v>4177</v>
      </c>
      <c r="L30" s="163">
        <f>(H30-K30)/K30</f>
        <v>0.06823078764663634</v>
      </c>
      <c r="M30" s="164"/>
      <c r="O30" s="227"/>
      <c r="P30" s="227"/>
      <c r="Q30" s="227"/>
      <c r="R30" s="227"/>
      <c r="S30" s="227"/>
      <c r="T30" s="227"/>
    </row>
    <row r="31" spans="1:20" ht="6.75" customHeight="1">
      <c r="A31" s="5"/>
      <c r="B31" s="11"/>
      <c r="C31" s="11"/>
      <c r="D31" s="11"/>
      <c r="E31" s="11"/>
      <c r="F31" s="11"/>
      <c r="G31" s="11"/>
      <c r="H31" s="11"/>
      <c r="O31" s="227"/>
      <c r="P31" s="227"/>
      <c r="Q31" s="227"/>
      <c r="R31" s="227"/>
      <c r="S31" s="227"/>
      <c r="T31" s="227"/>
    </row>
    <row r="32" spans="1:20" ht="36.75" customHeight="1">
      <c r="A32" s="526" t="s">
        <v>617</v>
      </c>
      <c r="B32" s="526"/>
      <c r="C32" s="526"/>
      <c r="D32" s="526"/>
      <c r="E32" s="526"/>
      <c r="F32" s="526"/>
      <c r="G32" s="526"/>
      <c r="H32" s="526"/>
      <c r="O32" s="227"/>
      <c r="P32" s="227"/>
      <c r="Q32" s="227"/>
      <c r="R32" s="227"/>
      <c r="S32" s="227"/>
      <c r="T32" s="227"/>
    </row>
    <row r="33" spans="1:20" ht="12.75" customHeight="1">
      <c r="A33" s="22"/>
      <c r="B33" s="22"/>
      <c r="C33" s="22"/>
      <c r="D33" s="22"/>
      <c r="E33" s="22"/>
      <c r="F33" s="22"/>
      <c r="G33" s="22"/>
      <c r="H33" s="239"/>
      <c r="O33" s="227"/>
      <c r="P33" s="227"/>
      <c r="Q33" s="227"/>
      <c r="R33" s="227"/>
      <c r="S33" s="227"/>
      <c r="T33" s="227"/>
    </row>
    <row r="34" ht="15">
      <c r="H34" s="232" t="s">
        <v>37</v>
      </c>
    </row>
    <row r="36" spans="10:18" ht="15.75">
      <c r="J36" t="s">
        <v>951</v>
      </c>
      <c r="K36"/>
      <c r="L36"/>
      <c r="M36"/>
      <c r="N36"/>
      <c r="O36"/>
      <c r="P36"/>
      <c r="Q36"/>
      <c r="R36"/>
    </row>
    <row r="37" spans="10:18" ht="15.75">
      <c r="J37">
        <v>3</v>
      </c>
      <c r="K37">
        <f aca="true" t="shared" si="0" ref="K37:P52">J37+1</f>
        <v>4</v>
      </c>
      <c r="L37">
        <f t="shared" si="0"/>
        <v>5</v>
      </c>
      <c r="M37">
        <f t="shared" si="0"/>
        <v>6</v>
      </c>
      <c r="N37">
        <f t="shared" si="0"/>
        <v>7</v>
      </c>
      <c r="O37">
        <f t="shared" si="0"/>
        <v>8</v>
      </c>
      <c r="P37">
        <f t="shared" si="0"/>
        <v>9</v>
      </c>
      <c r="Q37"/>
      <c r="R37"/>
    </row>
    <row r="38" spans="10:18" ht="15.75">
      <c r="J38">
        <f>J37+17</f>
        <v>20</v>
      </c>
      <c r="K38">
        <f t="shared" si="0"/>
        <v>21</v>
      </c>
      <c r="L38">
        <f t="shared" si="0"/>
        <v>22</v>
      </c>
      <c r="M38">
        <f t="shared" si="0"/>
        <v>23</v>
      </c>
      <c r="N38">
        <f t="shared" si="0"/>
        <v>24</v>
      </c>
      <c r="O38">
        <f t="shared" si="0"/>
        <v>25</v>
      </c>
      <c r="P38">
        <f t="shared" si="0"/>
        <v>26</v>
      </c>
      <c r="Q38"/>
      <c r="R38"/>
    </row>
    <row r="39" spans="6:18" ht="15.75">
      <c r="F39" s="2"/>
      <c r="G39" s="164"/>
      <c r="H39" s="163"/>
      <c r="J39">
        <f aca="true" t="shared" si="1" ref="J39:J53">J38+17</f>
        <v>37</v>
      </c>
      <c r="K39">
        <f t="shared" si="0"/>
        <v>38</v>
      </c>
      <c r="L39">
        <f t="shared" si="0"/>
        <v>39</v>
      </c>
      <c r="M39">
        <f t="shared" si="0"/>
        <v>40</v>
      </c>
      <c r="N39">
        <f t="shared" si="0"/>
        <v>41</v>
      </c>
      <c r="O39">
        <f t="shared" si="0"/>
        <v>42</v>
      </c>
      <c r="P39">
        <f t="shared" si="0"/>
        <v>43</v>
      </c>
      <c r="Q39"/>
      <c r="R39"/>
    </row>
    <row r="40" spans="6:18" ht="15.75">
      <c r="F40" s="2"/>
      <c r="G40" s="164"/>
      <c r="H40" s="163"/>
      <c r="J40">
        <f t="shared" si="1"/>
        <v>54</v>
      </c>
      <c r="K40">
        <f t="shared" si="0"/>
        <v>55</v>
      </c>
      <c r="L40">
        <f t="shared" si="0"/>
        <v>56</v>
      </c>
      <c r="M40">
        <f t="shared" si="0"/>
        <v>57</v>
      </c>
      <c r="N40">
        <f t="shared" si="0"/>
        <v>58</v>
      </c>
      <c r="O40">
        <f t="shared" si="0"/>
        <v>59</v>
      </c>
      <c r="P40">
        <f t="shared" si="0"/>
        <v>60</v>
      </c>
      <c r="Q40"/>
      <c r="R40"/>
    </row>
    <row r="41" spans="6:18" ht="15.75">
      <c r="F41" s="2"/>
      <c r="G41" s="164"/>
      <c r="H41" s="163"/>
      <c r="J41">
        <f t="shared" si="1"/>
        <v>71</v>
      </c>
      <c r="K41">
        <f t="shared" si="0"/>
        <v>72</v>
      </c>
      <c r="L41">
        <f t="shared" si="0"/>
        <v>73</v>
      </c>
      <c r="M41">
        <f t="shared" si="0"/>
        <v>74</v>
      </c>
      <c r="N41">
        <f t="shared" si="0"/>
        <v>75</v>
      </c>
      <c r="O41">
        <f t="shared" si="0"/>
        <v>76</v>
      </c>
      <c r="P41">
        <f t="shared" si="0"/>
        <v>77</v>
      </c>
      <c r="Q41"/>
      <c r="R41"/>
    </row>
    <row r="42" spans="6:18" ht="15.75">
      <c r="F42" s="6"/>
      <c r="G42" s="164"/>
      <c r="H42" s="163"/>
      <c r="J42">
        <f t="shared" si="1"/>
        <v>88</v>
      </c>
      <c r="K42">
        <f t="shared" si="0"/>
        <v>89</v>
      </c>
      <c r="L42">
        <f t="shared" si="0"/>
        <v>90</v>
      </c>
      <c r="M42">
        <f t="shared" si="0"/>
        <v>91</v>
      </c>
      <c r="N42">
        <f t="shared" si="0"/>
        <v>92</v>
      </c>
      <c r="O42">
        <f t="shared" si="0"/>
        <v>93</v>
      </c>
      <c r="P42">
        <f t="shared" si="0"/>
        <v>94</v>
      </c>
      <c r="Q42"/>
      <c r="R42"/>
    </row>
    <row r="43" spans="6:18" ht="15.75">
      <c r="F43" s="2"/>
      <c r="G43" s="164"/>
      <c r="H43" s="163"/>
      <c r="J43">
        <f t="shared" si="1"/>
        <v>105</v>
      </c>
      <c r="K43">
        <f t="shared" si="0"/>
        <v>106</v>
      </c>
      <c r="L43">
        <f t="shared" si="0"/>
        <v>107</v>
      </c>
      <c r="M43">
        <f t="shared" si="0"/>
        <v>108</v>
      </c>
      <c r="N43">
        <f t="shared" si="0"/>
        <v>109</v>
      </c>
      <c r="O43">
        <f t="shared" si="0"/>
        <v>110</v>
      </c>
      <c r="P43">
        <f t="shared" si="0"/>
        <v>111</v>
      </c>
      <c r="Q43"/>
      <c r="R43"/>
    </row>
    <row r="44" spans="6:18" ht="15.75">
      <c r="F44" s="2"/>
      <c r="G44" s="164"/>
      <c r="H44" s="163"/>
      <c r="J44">
        <f t="shared" si="1"/>
        <v>122</v>
      </c>
      <c r="K44">
        <f t="shared" si="0"/>
        <v>123</v>
      </c>
      <c r="L44">
        <f t="shared" si="0"/>
        <v>124</v>
      </c>
      <c r="M44">
        <f t="shared" si="0"/>
        <v>125</v>
      </c>
      <c r="N44">
        <f t="shared" si="0"/>
        <v>126</v>
      </c>
      <c r="O44">
        <f t="shared" si="0"/>
        <v>127</v>
      </c>
      <c r="P44">
        <f t="shared" si="0"/>
        <v>128</v>
      </c>
      <c r="Q44"/>
      <c r="R44"/>
    </row>
    <row r="45" spans="6:18" ht="15.75">
      <c r="F45" s="6"/>
      <c r="G45" s="54"/>
      <c r="H45" s="264"/>
      <c r="J45">
        <f t="shared" si="1"/>
        <v>139</v>
      </c>
      <c r="K45">
        <f t="shared" si="0"/>
        <v>140</v>
      </c>
      <c r="L45">
        <f t="shared" si="0"/>
        <v>141</v>
      </c>
      <c r="M45">
        <f t="shared" si="0"/>
        <v>142</v>
      </c>
      <c r="N45">
        <f t="shared" si="0"/>
        <v>143</v>
      </c>
      <c r="O45">
        <f t="shared" si="0"/>
        <v>144</v>
      </c>
      <c r="P45">
        <f t="shared" si="0"/>
        <v>145</v>
      </c>
      <c r="Q45"/>
      <c r="R45"/>
    </row>
    <row r="46" spans="6:18" ht="15.75">
      <c r="F46" s="2"/>
      <c r="G46" s="164"/>
      <c r="H46" s="163"/>
      <c r="J46">
        <f t="shared" si="1"/>
        <v>156</v>
      </c>
      <c r="K46">
        <f t="shared" si="0"/>
        <v>157</v>
      </c>
      <c r="L46">
        <f t="shared" si="0"/>
        <v>158</v>
      </c>
      <c r="M46">
        <f t="shared" si="0"/>
        <v>159</v>
      </c>
      <c r="N46">
        <f t="shared" si="0"/>
        <v>160</v>
      </c>
      <c r="O46">
        <f t="shared" si="0"/>
        <v>161</v>
      </c>
      <c r="P46">
        <f t="shared" si="0"/>
        <v>162</v>
      </c>
      <c r="Q46"/>
      <c r="R46"/>
    </row>
    <row r="47" spans="6:18" ht="15.75">
      <c r="F47" s="2"/>
      <c r="G47" s="164"/>
      <c r="H47" s="163"/>
      <c r="J47">
        <f t="shared" si="1"/>
        <v>173</v>
      </c>
      <c r="K47">
        <f t="shared" si="0"/>
        <v>174</v>
      </c>
      <c r="L47">
        <f t="shared" si="0"/>
        <v>175</v>
      </c>
      <c r="M47">
        <f t="shared" si="0"/>
        <v>176</v>
      </c>
      <c r="N47">
        <f t="shared" si="0"/>
        <v>177</v>
      </c>
      <c r="O47">
        <f t="shared" si="0"/>
        <v>178</v>
      </c>
      <c r="P47">
        <f t="shared" si="0"/>
        <v>179</v>
      </c>
      <c r="Q47"/>
      <c r="R47"/>
    </row>
    <row r="48" spans="6:18" ht="15.75">
      <c r="F48" s="5"/>
      <c r="G48" s="164"/>
      <c r="H48" s="163"/>
      <c r="J48">
        <f t="shared" si="1"/>
        <v>190</v>
      </c>
      <c r="K48">
        <f t="shared" si="0"/>
        <v>191</v>
      </c>
      <c r="L48">
        <f t="shared" si="0"/>
        <v>192</v>
      </c>
      <c r="M48">
        <f t="shared" si="0"/>
        <v>193</v>
      </c>
      <c r="N48">
        <f t="shared" si="0"/>
        <v>194</v>
      </c>
      <c r="O48">
        <f t="shared" si="0"/>
        <v>195</v>
      </c>
      <c r="P48">
        <f t="shared" si="0"/>
        <v>196</v>
      </c>
      <c r="Q48"/>
      <c r="R48"/>
    </row>
    <row r="49" spans="6:18" ht="15.75">
      <c r="F49" s="2"/>
      <c r="G49" s="164"/>
      <c r="H49" s="163"/>
      <c r="J49">
        <f t="shared" si="1"/>
        <v>207</v>
      </c>
      <c r="K49">
        <f t="shared" si="0"/>
        <v>208</v>
      </c>
      <c r="L49">
        <f t="shared" si="0"/>
        <v>209</v>
      </c>
      <c r="M49">
        <f t="shared" si="0"/>
        <v>210</v>
      </c>
      <c r="N49">
        <f t="shared" si="0"/>
        <v>211</v>
      </c>
      <c r="O49">
        <f t="shared" si="0"/>
        <v>212</v>
      </c>
      <c r="P49">
        <f t="shared" si="0"/>
        <v>213</v>
      </c>
      <c r="Q49"/>
      <c r="R49"/>
    </row>
    <row r="50" spans="6:18" ht="15.75">
      <c r="F50" s="2"/>
      <c r="G50" s="164"/>
      <c r="H50" s="163"/>
      <c r="J50">
        <f t="shared" si="1"/>
        <v>224</v>
      </c>
      <c r="K50">
        <f t="shared" si="0"/>
        <v>225</v>
      </c>
      <c r="L50">
        <f t="shared" si="0"/>
        <v>226</v>
      </c>
      <c r="M50">
        <f t="shared" si="0"/>
        <v>227</v>
      </c>
      <c r="N50">
        <f t="shared" si="0"/>
        <v>228</v>
      </c>
      <c r="O50">
        <f t="shared" si="0"/>
        <v>229</v>
      </c>
      <c r="P50">
        <f t="shared" si="0"/>
        <v>230</v>
      </c>
      <c r="Q50"/>
      <c r="R50"/>
    </row>
    <row r="51" spans="6:18" ht="15.75">
      <c r="F51" s="2"/>
      <c r="G51" s="164"/>
      <c r="H51" s="163"/>
      <c r="J51">
        <f t="shared" si="1"/>
        <v>241</v>
      </c>
      <c r="K51">
        <f t="shared" si="0"/>
        <v>242</v>
      </c>
      <c r="L51">
        <f t="shared" si="0"/>
        <v>243</v>
      </c>
      <c r="M51">
        <f t="shared" si="0"/>
        <v>244</v>
      </c>
      <c r="N51">
        <f t="shared" si="0"/>
        <v>245</v>
      </c>
      <c r="O51">
        <f t="shared" si="0"/>
        <v>246</v>
      </c>
      <c r="P51">
        <f t="shared" si="0"/>
        <v>247</v>
      </c>
      <c r="Q51"/>
      <c r="R51"/>
    </row>
    <row r="52" spans="6:18" ht="15.75">
      <c r="F52" s="6"/>
      <c r="G52" s="164"/>
      <c r="H52" s="163"/>
      <c r="J52">
        <f t="shared" si="1"/>
        <v>258</v>
      </c>
      <c r="K52">
        <f t="shared" si="0"/>
        <v>259</v>
      </c>
      <c r="L52">
        <f t="shared" si="0"/>
        <v>260</v>
      </c>
      <c r="M52">
        <f t="shared" si="0"/>
        <v>261</v>
      </c>
      <c r="N52">
        <f t="shared" si="0"/>
        <v>262</v>
      </c>
      <c r="O52">
        <f t="shared" si="0"/>
        <v>263</v>
      </c>
      <c r="P52">
        <f t="shared" si="0"/>
        <v>264</v>
      </c>
      <c r="Q52"/>
      <c r="R52"/>
    </row>
    <row r="53" spans="6:18" ht="15.75">
      <c r="F53" s="2"/>
      <c r="G53" s="164"/>
      <c r="H53" s="163"/>
      <c r="J53">
        <f t="shared" si="1"/>
        <v>275</v>
      </c>
      <c r="K53">
        <f aca="true" t="shared" si="2" ref="K53:P53">J53+1</f>
        <v>276</v>
      </c>
      <c r="L53">
        <f t="shared" si="2"/>
        <v>277</v>
      </c>
      <c r="M53">
        <f t="shared" si="2"/>
        <v>278</v>
      </c>
      <c r="N53">
        <f t="shared" si="2"/>
        <v>279</v>
      </c>
      <c r="O53">
        <f t="shared" si="2"/>
        <v>280</v>
      </c>
      <c r="P53">
        <f t="shared" si="2"/>
        <v>281</v>
      </c>
      <c r="Q53"/>
      <c r="R53"/>
    </row>
    <row r="54" spans="6:8" ht="15">
      <c r="F54" s="6"/>
      <c r="G54" s="164"/>
      <c r="H54" s="163"/>
    </row>
    <row r="55" spans="6:8" ht="15">
      <c r="F55" s="6"/>
      <c r="G55" s="164"/>
      <c r="H55" s="163"/>
    </row>
    <row r="56" spans="6:8" ht="15">
      <c r="F56" s="6"/>
      <c r="G56" s="164"/>
      <c r="H56" s="163"/>
    </row>
    <row r="57" spans="6:8" ht="15">
      <c r="F57" s="2"/>
      <c r="G57" s="164"/>
      <c r="H57" s="163"/>
    </row>
  </sheetData>
  <sheetProtection/>
  <mergeCells count="1">
    <mergeCell ref="A32:H32"/>
  </mergeCells>
  <printOptions horizontalCentered="1"/>
  <pageMargins left="0.75" right="0.75" top="1" bottom="1" header="0.75" footer="0.5"/>
  <pageSetup firstPageNumber="107" useFirstPageNumber="1" horizontalDpi="600" verticalDpi="600" orientation="landscape" r:id="rId1"/>
  <headerFooter alignWithMargins="0">
    <oddHeader>&amp;R&amp;"Arial,Regular"&amp;8SREB-State Data Exchange</oddHeader>
    <oddFooter>&amp;C&amp;"ARIAL,Regular"&amp;10 &amp;P</oddFooter>
  </headerFooter>
  <ignoredErrors>
    <ignoredError sqref="C13:H30" emptyCellReference="1"/>
  </ignoredErrors>
</worksheet>
</file>

<file path=xl/worksheets/sheet4.xml><?xml version="1.0" encoding="utf-8"?>
<worksheet xmlns="http://schemas.openxmlformats.org/spreadsheetml/2006/main" xmlns:r="http://schemas.openxmlformats.org/officeDocument/2006/relationships">
  <sheetPr>
    <tabColor indexed="16"/>
  </sheetPr>
  <dimension ref="A1:AD52"/>
  <sheetViews>
    <sheetView showGridLines="0" showZeros="0" view="pageBreakPreview" zoomScale="75" zoomScaleSheetLayoutView="75" zoomScalePageLayoutView="0" workbookViewId="0" topLeftCell="A1">
      <selection activeCell="P23" sqref="P23"/>
    </sheetView>
  </sheetViews>
  <sheetFormatPr defaultColWidth="8.796875" defaultRowHeight="15"/>
  <cols>
    <col min="1" max="1" width="16.8984375" style="18" customWidth="1"/>
    <col min="2" max="8" width="8.59765625" style="18" customWidth="1"/>
    <col min="9" max="9" width="9" style="18" customWidth="1"/>
    <col min="10" max="10" width="8.09765625" style="104" customWidth="1"/>
    <col min="11" max="16384" width="9" style="18" customWidth="1"/>
  </cols>
  <sheetData>
    <row r="1" spans="1:10" ht="18">
      <c r="A1" s="527" t="s">
        <v>429</v>
      </c>
      <c r="B1" s="527"/>
      <c r="C1" s="527"/>
      <c r="D1" s="527"/>
      <c r="E1" s="527"/>
      <c r="F1" s="527"/>
      <c r="G1" s="527"/>
      <c r="H1" s="527"/>
      <c r="I1" s="527"/>
      <c r="J1" s="527"/>
    </row>
    <row r="2" spans="1:10" s="223" customFormat="1" ht="7.5" customHeight="1">
      <c r="A2" s="110"/>
      <c r="B2" s="110"/>
      <c r="C2" s="110"/>
      <c r="D2" s="110"/>
      <c r="E2" s="110"/>
      <c r="F2" s="110"/>
      <c r="G2" s="110"/>
      <c r="H2" s="110"/>
      <c r="I2" s="110"/>
      <c r="J2" s="240"/>
    </row>
    <row r="3" spans="1:10" ht="15.75">
      <c r="A3" s="528" t="s">
        <v>597</v>
      </c>
      <c r="B3" s="528"/>
      <c r="C3" s="528"/>
      <c r="D3" s="528"/>
      <c r="E3" s="528"/>
      <c r="F3" s="528"/>
      <c r="G3" s="528"/>
      <c r="H3" s="528"/>
      <c r="I3" s="528"/>
      <c r="J3" s="528"/>
    </row>
    <row r="4" spans="1:10" ht="15.75">
      <c r="A4" s="528" t="s">
        <v>598</v>
      </c>
      <c r="B4" s="528"/>
      <c r="C4" s="528"/>
      <c r="D4" s="528"/>
      <c r="E4" s="528"/>
      <c r="F4" s="528"/>
      <c r="G4" s="528"/>
      <c r="H4" s="528"/>
      <c r="I4" s="528"/>
      <c r="J4" s="528"/>
    </row>
    <row r="5" spans="1:10" ht="15.75">
      <c r="A5" s="528" t="s">
        <v>950</v>
      </c>
      <c r="B5" s="528"/>
      <c r="C5" s="528"/>
      <c r="D5" s="528"/>
      <c r="E5" s="528"/>
      <c r="F5" s="528"/>
      <c r="G5" s="528"/>
      <c r="H5" s="528"/>
      <c r="I5" s="528"/>
      <c r="J5" s="528"/>
    </row>
    <row r="6" spans="1:10" s="223" customFormat="1" ht="9" customHeight="1">
      <c r="A6" s="2"/>
      <c r="B6" s="2"/>
      <c r="C6" s="2"/>
      <c r="D6" s="2"/>
      <c r="E6" s="2"/>
      <c r="F6" s="2"/>
      <c r="G6" s="2"/>
      <c r="H6" s="2"/>
      <c r="I6" s="2"/>
      <c r="J6" s="6"/>
    </row>
    <row r="7" spans="1:30" ht="15">
      <c r="A7" s="3"/>
      <c r="B7" s="4" t="s">
        <v>424</v>
      </c>
      <c r="C7" s="4"/>
      <c r="D7" s="4"/>
      <c r="E7" s="4"/>
      <c r="F7" s="56"/>
      <c r="G7" s="55" t="s">
        <v>829</v>
      </c>
      <c r="H7" s="4"/>
      <c r="I7" s="4"/>
      <c r="J7" s="241"/>
      <c r="L7" s="226" t="s">
        <v>979</v>
      </c>
      <c r="M7" s="226"/>
      <c r="N7" s="226"/>
      <c r="O7" s="226"/>
      <c r="P7" s="226"/>
      <c r="Q7" s="226" t="s">
        <v>978</v>
      </c>
      <c r="R7" s="226"/>
      <c r="S7" s="226"/>
      <c r="T7" s="226"/>
      <c r="V7" s="226"/>
      <c r="W7" s="226"/>
      <c r="X7" s="226"/>
      <c r="Y7" s="226"/>
      <c r="Z7" s="226"/>
      <c r="AA7" s="226"/>
      <c r="AB7" s="226"/>
      <c r="AC7" s="226"/>
      <c r="AD7" s="226"/>
    </row>
    <row r="8" spans="1:30" s="224" customFormat="1" ht="30" customHeight="1">
      <c r="A8" s="147"/>
      <c r="B8" s="78" t="s">
        <v>942</v>
      </c>
      <c r="C8" s="146">
        <v>1</v>
      </c>
      <c r="D8" s="146">
        <v>2</v>
      </c>
      <c r="E8" s="146">
        <v>3</v>
      </c>
      <c r="F8" s="148" t="s">
        <v>519</v>
      </c>
      <c r="G8" s="146">
        <v>1</v>
      </c>
      <c r="H8" s="146">
        <v>2</v>
      </c>
      <c r="I8" s="57" t="s">
        <v>823</v>
      </c>
      <c r="J8" s="237" t="s">
        <v>519</v>
      </c>
      <c r="L8" s="225" t="s">
        <v>977</v>
      </c>
      <c r="M8" s="225" t="s">
        <v>976</v>
      </c>
      <c r="N8" s="225"/>
      <c r="O8" s="225"/>
      <c r="P8" s="225"/>
      <c r="Q8" s="225" t="s">
        <v>977</v>
      </c>
      <c r="R8" s="225" t="s">
        <v>976</v>
      </c>
      <c r="S8" s="225"/>
      <c r="T8" s="225"/>
      <c r="V8" s="225"/>
      <c r="W8" s="225"/>
      <c r="X8" s="225"/>
      <c r="Y8" s="225"/>
      <c r="Z8" s="225"/>
      <c r="AA8" s="225"/>
      <c r="AB8" s="225"/>
      <c r="AC8" s="225"/>
      <c r="AD8" s="225"/>
    </row>
    <row r="9" spans="1:30" ht="6" customHeight="1">
      <c r="A9" s="5"/>
      <c r="B9" s="11"/>
      <c r="C9" s="11"/>
      <c r="D9" s="11"/>
      <c r="E9" s="64"/>
      <c r="F9" s="65"/>
      <c r="G9" s="67"/>
      <c r="H9" s="68"/>
      <c r="I9" s="69"/>
      <c r="J9" s="68"/>
      <c r="L9" s="226"/>
      <c r="M9" s="226"/>
      <c r="N9" s="226"/>
      <c r="O9" s="226"/>
      <c r="P9" s="226"/>
      <c r="Q9" s="226"/>
      <c r="R9" s="226"/>
      <c r="S9" s="226"/>
      <c r="T9" s="226"/>
      <c r="V9" s="226"/>
      <c r="W9" s="226"/>
      <c r="X9" s="226"/>
      <c r="Y9" s="226"/>
      <c r="Z9" s="226"/>
      <c r="AA9" s="226"/>
      <c r="AB9" s="226"/>
      <c r="AC9" s="226"/>
      <c r="AD9" s="226"/>
    </row>
    <row r="10" spans="1:30" ht="12.75" customHeight="1">
      <c r="A10" s="6" t="s">
        <v>981</v>
      </c>
      <c r="B10" s="23">
        <f>'Summary Medians from SPSS 07-08'!D282</f>
        <v>2089.35</v>
      </c>
      <c r="C10" s="23">
        <f>'Summary Medians from SPSS 07-08'!D283</f>
        <v>1921</v>
      </c>
      <c r="D10" s="23">
        <f>'Summary Medians from SPSS 07-08'!D284</f>
        <v>2038.35</v>
      </c>
      <c r="E10" s="23">
        <f>'Summary Medians from SPSS 07-08'!D285</f>
        <v>2352.5</v>
      </c>
      <c r="F10" s="37">
        <f>+'Summary Medians from SPSS 07-08'!$D$286</f>
        <v>2069.1</v>
      </c>
      <c r="G10" s="24">
        <f>+'Summary Medians from SPSS 07-08'!$D$287</f>
        <v>1542</v>
      </c>
      <c r="H10" s="53">
        <f>+'Summary Medians from SPSS 07-08'!$D$288</f>
        <v>1817.5</v>
      </c>
      <c r="I10" s="66">
        <f>+'Summary Medians from SPSS 07-08'!$D$289</f>
        <v>886</v>
      </c>
      <c r="J10" s="24">
        <f>+'Summary Medians from SPSS 07-08'!$D$290</f>
        <v>1539</v>
      </c>
      <c r="L10" s="163">
        <f>(F10-M10)/M10</f>
        <v>0.019135574436645687</v>
      </c>
      <c r="M10" s="164">
        <f>+'Summary Medians from SPSS 07-08'!C286</f>
        <v>2030.25</v>
      </c>
      <c r="N10" s="6" t="s">
        <v>981</v>
      </c>
      <c r="O10" s="164"/>
      <c r="P10" s="6"/>
      <c r="Q10" s="163">
        <f>(J10-R10)/R10</f>
        <v>0.13245033112582782</v>
      </c>
      <c r="R10" s="164">
        <f>+'Summary Medians from SPSS 07-08'!C290</f>
        <v>1359</v>
      </c>
      <c r="S10" s="6" t="s">
        <v>981</v>
      </c>
      <c r="T10" s="164"/>
      <c r="U10" s="228"/>
      <c r="V10" s="163"/>
      <c r="W10" s="164"/>
      <c r="X10" s="6"/>
      <c r="Y10" s="164"/>
      <c r="Z10" s="6"/>
      <c r="AA10" s="163"/>
      <c r="AB10" s="164"/>
      <c r="AC10" s="6"/>
      <c r="AD10" s="164"/>
    </row>
    <row r="11" spans="1:30" ht="5.25" customHeight="1">
      <c r="A11" s="6"/>
      <c r="B11" s="45"/>
      <c r="C11" s="45"/>
      <c r="D11" s="45"/>
      <c r="E11" s="45"/>
      <c r="F11" s="38"/>
      <c r="G11" s="26"/>
      <c r="H11" s="54"/>
      <c r="I11" s="59"/>
      <c r="J11" s="26"/>
      <c r="L11" s="163"/>
      <c r="M11" s="164"/>
      <c r="N11" s="6"/>
      <c r="O11" s="164"/>
      <c r="P11" s="6"/>
      <c r="Q11" s="163"/>
      <c r="R11" s="164"/>
      <c r="S11" s="6"/>
      <c r="T11" s="164"/>
      <c r="U11" s="228"/>
      <c r="V11" s="163"/>
      <c r="W11" s="164"/>
      <c r="X11" s="6"/>
      <c r="Y11" s="164"/>
      <c r="Z11" s="6"/>
      <c r="AA11" s="163"/>
      <c r="AB11" s="164"/>
      <c r="AC11" s="6"/>
      <c r="AD11" s="164"/>
    </row>
    <row r="12" spans="1:30" ht="12.75" customHeight="1">
      <c r="A12" s="2" t="s">
        <v>600</v>
      </c>
      <c r="B12" s="27">
        <f>'Summary Medians from SPSS 07-08'!D10</f>
        <v>0</v>
      </c>
      <c r="C12" s="27">
        <f>'Summary Medians from SPSS 07-08'!D11</f>
        <v>2955</v>
      </c>
      <c r="D12" s="27">
        <f>'Summary Medians from SPSS 07-08'!D12</f>
        <v>2700</v>
      </c>
      <c r="E12" s="27">
        <f>'Summary Medians from SPSS 07-08'!D13</f>
        <v>2700</v>
      </c>
      <c r="F12" s="39">
        <f>+'Summary Medians from SPSS 07-08'!$D$14</f>
        <v>2700</v>
      </c>
      <c r="G12" s="28">
        <f>+'Summary Medians from SPSS 07-08'!$D$15</f>
        <v>2700</v>
      </c>
      <c r="H12" s="31">
        <f>+'Summary Medians from SPSS 07-08'!$D$16</f>
        <v>2700</v>
      </c>
      <c r="I12" s="58">
        <f>+'Summary Medians from SPSS 07-08'!$D$17</f>
        <v>0</v>
      </c>
      <c r="J12" s="26">
        <f>+'Summary Medians from SPSS 07-08'!$D$18</f>
        <v>2700</v>
      </c>
      <c r="L12" s="163">
        <f aca="true" t="shared" si="0" ref="L12:L30">(F12-M12)/M12</f>
        <v>0</v>
      </c>
      <c r="M12" s="164">
        <f>+'Summary Medians from SPSS 07-08'!C14</f>
        <v>2700</v>
      </c>
      <c r="N12" s="2" t="s">
        <v>600</v>
      </c>
      <c r="O12" s="164"/>
      <c r="P12" s="2"/>
      <c r="Q12" s="163">
        <f>(J12-R12)/R12</f>
        <v>0</v>
      </c>
      <c r="R12" s="164">
        <f>+'Summary Medians from SPSS 07-08'!C18</f>
        <v>2700</v>
      </c>
      <c r="S12" s="2" t="s">
        <v>600</v>
      </c>
      <c r="T12" s="164"/>
      <c r="U12" s="228"/>
      <c r="V12" s="163"/>
      <c r="W12" s="164"/>
      <c r="X12" s="2"/>
      <c r="Y12" s="164"/>
      <c r="Z12" s="2"/>
      <c r="AA12" s="163"/>
      <c r="AB12" s="164"/>
      <c r="AC12" s="2"/>
      <c r="AD12" s="164"/>
    </row>
    <row r="13" spans="1:30" ht="12.75" customHeight="1">
      <c r="A13" s="2" t="s">
        <v>601</v>
      </c>
      <c r="B13" s="27">
        <f>'Summary Medians from SPSS 07-08'!D27</f>
        <v>4060</v>
      </c>
      <c r="C13" s="27">
        <f>'Summary Medians from SPSS 07-08'!D28</f>
        <v>2520</v>
      </c>
      <c r="D13" s="27">
        <f>'Summary Medians from SPSS 07-08'!D29</f>
        <v>2337.5</v>
      </c>
      <c r="E13" s="27">
        <f>'Summary Medians from SPSS 07-08'!D30</f>
        <v>1910</v>
      </c>
      <c r="F13" s="39">
        <f>+'Summary Medians from SPSS 07-08'!$D$31</f>
        <v>1990</v>
      </c>
      <c r="G13" s="28">
        <f>+'Summary Medians from SPSS 07-08'!$D$32</f>
        <v>0</v>
      </c>
      <c r="H13" s="31">
        <f>+'Summary Medians from SPSS 07-08'!$D$33</f>
        <v>0</v>
      </c>
      <c r="I13" s="58">
        <f>+'Summary Medians from SPSS 07-08'!$D$34</f>
        <v>0</v>
      </c>
      <c r="J13" s="26">
        <f>+'Summary Medians from SPSS 07-08'!$D$35</f>
        <v>0</v>
      </c>
      <c r="L13" s="163">
        <f t="shared" si="0"/>
        <v>0.041884816753926704</v>
      </c>
      <c r="M13" s="164">
        <f>+'Summary Medians from SPSS 07-08'!C31</f>
        <v>1910</v>
      </c>
      <c r="N13" s="2" t="s">
        <v>601</v>
      </c>
      <c r="O13" s="164"/>
      <c r="P13" s="2"/>
      <c r="Q13" s="163"/>
      <c r="R13" s="164">
        <f>+'Summary Medians from SPSS 07-08'!C35</f>
        <v>0</v>
      </c>
      <c r="S13" s="2" t="s">
        <v>601</v>
      </c>
      <c r="T13" s="164"/>
      <c r="U13" s="228"/>
      <c r="V13" s="163"/>
      <c r="W13" s="164"/>
      <c r="X13" s="2"/>
      <c r="Y13" s="164"/>
      <c r="Z13" s="2"/>
      <c r="AA13" s="163"/>
      <c r="AB13" s="164"/>
      <c r="AC13" s="2"/>
      <c r="AD13" s="164"/>
    </row>
    <row r="14" spans="1:30" ht="12.75" customHeight="1">
      <c r="A14" s="2" t="s">
        <v>811</v>
      </c>
      <c r="B14" s="27">
        <f>'Summary Medians from SPSS 07-08'!D44</f>
        <v>0</v>
      </c>
      <c r="C14" s="27">
        <f>'Summary Medians from SPSS 07-08'!D45</f>
        <v>0</v>
      </c>
      <c r="D14" s="27">
        <f>'Summary Medians from SPSS 07-08'!D46</f>
        <v>2490</v>
      </c>
      <c r="E14" s="27">
        <f>'Summary Medians from SPSS 07-08'!D47</f>
        <v>2490</v>
      </c>
      <c r="F14" s="39">
        <f>+'Summary Medians from SPSS 07-08'!$D$48</f>
        <v>2490</v>
      </c>
      <c r="G14" s="28">
        <f>+'Summary Medians from SPSS 07-08'!$D$49</f>
        <v>0</v>
      </c>
      <c r="H14" s="31">
        <f>+'Summary Medians from SPSS 07-08'!$D$50</f>
        <v>0</v>
      </c>
      <c r="I14" s="58">
        <f>+'Summary Medians from SPSS 07-08'!$D$51</f>
        <v>0</v>
      </c>
      <c r="J14" s="26">
        <f>+'Summary Medians from SPSS 07-08'!$D$52</f>
        <v>0</v>
      </c>
      <c r="L14" s="163">
        <f t="shared" si="0"/>
        <v>0.0532994923857868</v>
      </c>
      <c r="M14" s="164">
        <f>+'Summary Medians from SPSS 07-08'!C48</f>
        <v>2364</v>
      </c>
      <c r="N14" s="2" t="s">
        <v>811</v>
      </c>
      <c r="O14" s="164"/>
      <c r="P14" s="2"/>
      <c r="Q14" s="163"/>
      <c r="R14" s="164">
        <f>+'Summary Medians from SPSS 07-08'!C52</f>
        <v>0</v>
      </c>
      <c r="S14" s="2" t="s">
        <v>811</v>
      </c>
      <c r="T14" s="164"/>
      <c r="U14" s="228"/>
      <c r="V14" s="163"/>
      <c r="W14" s="164"/>
      <c r="X14" s="2"/>
      <c r="Y14" s="164"/>
      <c r="Z14" s="2"/>
      <c r="AA14" s="163"/>
      <c r="AB14" s="164"/>
      <c r="AC14" s="2"/>
      <c r="AD14" s="164"/>
    </row>
    <row r="15" spans="1:30" ht="12.75" customHeight="1">
      <c r="A15" s="6" t="s">
        <v>602</v>
      </c>
      <c r="B15" s="25">
        <f>'Summary Medians from SPSS 07-08'!D61</f>
        <v>2068.2</v>
      </c>
      <c r="C15" s="25">
        <f>'Summary Medians from SPSS 07-08'!D62</f>
        <v>2019</v>
      </c>
      <c r="D15" s="25">
        <f>'Summary Medians from SPSS 07-08'!D63</f>
        <v>2006.1</v>
      </c>
      <c r="E15" s="25">
        <f>'Summary Medians from SPSS 07-08'!D64</f>
        <v>2049.3</v>
      </c>
      <c r="F15" s="38">
        <f>+'Summary Medians from SPSS 07-08'!$D$65</f>
        <v>2034.75</v>
      </c>
      <c r="G15" s="26">
        <f>+'Summary Medians from SPSS 07-08'!$D$66</f>
        <v>0</v>
      </c>
      <c r="H15" s="54">
        <f>+'Summary Medians from SPSS 07-08'!$D$67</f>
        <v>0</v>
      </c>
      <c r="I15" s="59">
        <f>+'Summary Medians from SPSS 07-08'!$D$68</f>
        <v>0</v>
      </c>
      <c r="J15" s="26">
        <f>+'Summary Medians from SPSS 07-08'!$D$69</f>
        <v>0</v>
      </c>
      <c r="L15" s="163">
        <f t="shared" si="0"/>
        <v>0.007127477912242973</v>
      </c>
      <c r="M15" s="164">
        <f>+'Summary Medians from SPSS 07-08'!C65</f>
        <v>2020.35</v>
      </c>
      <c r="N15" s="6" t="s">
        <v>602</v>
      </c>
      <c r="O15" s="164"/>
      <c r="P15" s="6"/>
      <c r="Q15" s="163"/>
      <c r="R15" s="164">
        <f>+'Summary Medians from SPSS 07-08'!C69</f>
        <v>0</v>
      </c>
      <c r="S15" s="6" t="s">
        <v>602</v>
      </c>
      <c r="T15" s="164"/>
      <c r="U15" s="228"/>
      <c r="V15" s="163"/>
      <c r="W15" s="164"/>
      <c r="X15" s="6"/>
      <c r="Y15" s="164"/>
      <c r="Z15" s="6"/>
      <c r="AA15" s="163"/>
      <c r="AB15" s="164"/>
      <c r="AC15" s="6"/>
      <c r="AD15" s="164"/>
    </row>
    <row r="16" spans="1:30" ht="7.5" customHeight="1">
      <c r="A16" s="6"/>
      <c r="B16" s="25"/>
      <c r="C16" s="25"/>
      <c r="D16" s="25"/>
      <c r="E16" s="25"/>
      <c r="F16" s="38"/>
      <c r="G16" s="26"/>
      <c r="H16" s="54"/>
      <c r="I16" s="59"/>
      <c r="J16" s="26"/>
      <c r="L16" s="163"/>
      <c r="M16" s="164"/>
      <c r="N16" s="6"/>
      <c r="O16" s="164"/>
      <c r="P16" s="6"/>
      <c r="Q16" s="163"/>
      <c r="R16" s="164"/>
      <c r="S16" s="6"/>
      <c r="T16" s="164"/>
      <c r="U16" s="228"/>
      <c r="V16" s="163"/>
      <c r="W16" s="164"/>
      <c r="X16" s="6"/>
      <c r="Y16" s="164"/>
      <c r="Z16" s="6"/>
      <c r="AA16" s="163"/>
      <c r="AB16" s="164"/>
      <c r="AC16" s="6"/>
      <c r="AD16" s="164"/>
    </row>
    <row r="17" spans="1:30" ht="12.75" customHeight="1">
      <c r="A17" s="6" t="s">
        <v>603</v>
      </c>
      <c r="B17" s="25">
        <f>'Summary Medians from SPSS 07-08'!D78</f>
        <v>2088</v>
      </c>
      <c r="C17" s="25">
        <f>'Summary Medians from SPSS 07-08'!D79</f>
        <v>2234</v>
      </c>
      <c r="D17" s="25">
        <f>'Summary Medians from SPSS 07-08'!D80</f>
        <v>2092</v>
      </c>
      <c r="E17" s="25">
        <f>'Summary Medians from SPSS 07-08'!D81</f>
        <v>1950</v>
      </c>
      <c r="F17" s="38">
        <f>+'Summary Medians from SPSS 07-08'!$D$82</f>
        <v>2089</v>
      </c>
      <c r="G17" s="26">
        <f>+'Summary Medians from SPSS 07-08'!$D$83</f>
        <v>1542</v>
      </c>
      <c r="H17" s="54">
        <f>+'Summary Medians from SPSS 07-08'!$D$84</f>
        <v>1539</v>
      </c>
      <c r="I17" s="59">
        <f>+'Summary Medians from SPSS 07-08'!$D$85</f>
        <v>0</v>
      </c>
      <c r="J17" s="26">
        <f>+'Summary Medians from SPSS 07-08'!$D$86</f>
        <v>1539</v>
      </c>
      <c r="L17" s="163">
        <f t="shared" si="0"/>
        <v>0.14028384279475983</v>
      </c>
      <c r="M17" s="164">
        <f>+'Summary Medians from SPSS 07-08'!C82</f>
        <v>1832</v>
      </c>
      <c r="N17" s="6" t="s">
        <v>603</v>
      </c>
      <c r="O17" s="164"/>
      <c r="P17" s="6"/>
      <c r="Q17" s="163">
        <f>(J17-R17)/R17</f>
        <v>0.13245033112582782</v>
      </c>
      <c r="R17" s="164">
        <f>+'Summary Medians from SPSS 07-08'!C86</f>
        <v>1359</v>
      </c>
      <c r="S17" s="6" t="s">
        <v>603</v>
      </c>
      <c r="T17" s="164"/>
      <c r="U17" s="228"/>
      <c r="V17" s="163"/>
      <c r="W17" s="164"/>
      <c r="X17" s="2"/>
      <c r="Y17" s="164"/>
      <c r="Z17" s="2"/>
      <c r="AA17" s="163"/>
      <c r="AB17" s="164"/>
      <c r="AC17" s="2"/>
      <c r="AD17" s="164"/>
    </row>
    <row r="18" spans="1:30" ht="12.75" customHeight="1">
      <c r="A18" s="2" t="s">
        <v>604</v>
      </c>
      <c r="B18" s="27">
        <f>'Summary Medians from SPSS 07-08'!D95</f>
        <v>0</v>
      </c>
      <c r="C18" s="27">
        <f>'Summary Medians from SPSS 07-08'!D96</f>
        <v>3450</v>
      </c>
      <c r="D18" s="27">
        <f>'Summary Medians from SPSS 07-08'!D97</f>
        <v>3450</v>
      </c>
      <c r="E18" s="27">
        <f>'Summary Medians from SPSS 07-08'!D98</f>
        <v>3450</v>
      </c>
      <c r="F18" s="39">
        <f>+'Summary Medians from SPSS 07-08'!$D$99</f>
        <v>3450</v>
      </c>
      <c r="G18" s="28">
        <f>+'Summary Medians from SPSS 07-08'!$D$100</f>
        <v>3450</v>
      </c>
      <c r="H18" s="31">
        <f>+'Summary Medians from SPSS 07-08'!$D$101</f>
        <v>3450</v>
      </c>
      <c r="I18" s="58">
        <f>+'Summary Medians from SPSS 07-08'!$D$102</f>
        <v>0</v>
      </c>
      <c r="J18" s="26">
        <f>+'Summary Medians from SPSS 07-08'!$D$103</f>
        <v>3450</v>
      </c>
      <c r="L18" s="163">
        <f t="shared" si="0"/>
        <v>0.05504587155963303</v>
      </c>
      <c r="M18" s="164">
        <f>+'Summary Medians from SPSS 07-08'!C99</f>
        <v>3270</v>
      </c>
      <c r="N18" s="2" t="s">
        <v>604</v>
      </c>
      <c r="O18" s="164"/>
      <c r="P18" s="2"/>
      <c r="Q18" s="163">
        <f>(J18-R18)/R18</f>
        <v>0.05504587155963303</v>
      </c>
      <c r="R18" s="164">
        <f>+'Summary Medians from SPSS 07-08'!C103</f>
        <v>3270</v>
      </c>
      <c r="S18" s="2" t="s">
        <v>604</v>
      </c>
      <c r="T18" s="164"/>
      <c r="U18" s="228"/>
      <c r="V18" s="163"/>
      <c r="W18" s="164"/>
      <c r="X18" s="2"/>
      <c r="Y18" s="164"/>
      <c r="Z18" s="2"/>
      <c r="AA18" s="163"/>
      <c r="AB18" s="164"/>
      <c r="AC18" s="2"/>
      <c r="AD18" s="164"/>
    </row>
    <row r="19" spans="1:30" ht="12.75" customHeight="1">
      <c r="A19" s="2" t="s">
        <v>605</v>
      </c>
      <c r="B19" s="25">
        <f>'Summary Medians from SPSS 07-08'!D112</f>
        <v>3169</v>
      </c>
      <c r="C19" s="25">
        <f>'Summary Medians from SPSS 07-08'!D113</f>
        <v>1928</v>
      </c>
      <c r="D19" s="25">
        <f>'Summary Medians from SPSS 07-08'!D114</f>
        <v>1806</v>
      </c>
      <c r="E19" s="25">
        <f>'Summary Medians from SPSS 07-08'!D115</f>
        <v>1874</v>
      </c>
      <c r="F19" s="38">
        <f>+'Summary Medians from SPSS 07-08'!$D$116</f>
        <v>1901</v>
      </c>
      <c r="G19" s="26">
        <f>+'Summary Medians from SPSS 07-08'!$D$117</f>
        <v>1450</v>
      </c>
      <c r="H19" s="54">
        <f>+'Summary Medians from SPSS 07-08'!$D$118</f>
        <v>1480</v>
      </c>
      <c r="I19" s="59">
        <f>+'Summary Medians from SPSS 07-08'!$D$119</f>
        <v>886</v>
      </c>
      <c r="J19" s="26">
        <f>+'Summary Medians from SPSS 07-08'!$D$120</f>
        <v>886</v>
      </c>
      <c r="L19" s="163">
        <f t="shared" si="0"/>
        <v>0</v>
      </c>
      <c r="M19" s="164">
        <f>+'Summary Medians from SPSS 07-08'!C116</f>
        <v>1901</v>
      </c>
      <c r="N19" s="2" t="s">
        <v>605</v>
      </c>
      <c r="O19" s="164"/>
      <c r="P19" s="2"/>
      <c r="Q19" s="163">
        <f>(J19-R19)/R19</f>
        <v>0</v>
      </c>
      <c r="R19" s="164">
        <f>+'Summary Medians from SPSS 07-08'!C120</f>
        <v>886</v>
      </c>
      <c r="S19" s="2" t="s">
        <v>605</v>
      </c>
      <c r="T19" s="164"/>
      <c r="U19" s="228"/>
      <c r="V19" s="163"/>
      <c r="W19" s="164"/>
      <c r="X19" s="6"/>
      <c r="Y19" s="164"/>
      <c r="Z19" s="6"/>
      <c r="AA19" s="163"/>
      <c r="AB19" s="164"/>
      <c r="AC19" s="6"/>
      <c r="AD19" s="164"/>
    </row>
    <row r="20" spans="1:30" ht="12.75" customHeight="1">
      <c r="A20" s="6" t="s">
        <v>606</v>
      </c>
      <c r="B20" s="25">
        <f>'Summary Medians from SPSS 07-08'!D129</f>
        <v>0</v>
      </c>
      <c r="C20" s="25">
        <f>'Summary Medians from SPSS 07-08'!D130</f>
        <v>3383</v>
      </c>
      <c r="D20" s="25">
        <f>'Summary Medians from SPSS 07-08'!D131</f>
        <v>3074</v>
      </c>
      <c r="E20" s="25">
        <f>'Summary Medians from SPSS 07-08'!D132</f>
        <v>2970</v>
      </c>
      <c r="F20" s="38">
        <f>+'Summary Medians from SPSS 07-08'!$D$133</f>
        <v>3065</v>
      </c>
      <c r="G20" s="26">
        <f>+'Summary Medians from SPSS 07-08'!$D$134</f>
        <v>0</v>
      </c>
      <c r="H20" s="54">
        <f>+'Summary Medians from SPSS 07-08'!$D$135</f>
        <v>0</v>
      </c>
      <c r="I20" s="59">
        <f>+'Summary Medians from SPSS 07-08'!$D$136</f>
        <v>0</v>
      </c>
      <c r="J20" s="26">
        <f>+'Summary Medians from SPSS 07-08'!$D$137</f>
        <v>0</v>
      </c>
      <c r="L20" s="163">
        <f t="shared" si="0"/>
        <v>0.01928832723644829</v>
      </c>
      <c r="M20" s="164">
        <f>+'Summary Medians from SPSS 07-08'!C133</f>
        <v>3007</v>
      </c>
      <c r="N20" s="6" t="s">
        <v>606</v>
      </c>
      <c r="O20" s="164"/>
      <c r="P20" s="6"/>
      <c r="Q20" s="163"/>
      <c r="R20" s="164">
        <f>+'Summary Medians from SPSS 07-08'!C137</f>
        <v>0</v>
      </c>
      <c r="S20" s="6" t="s">
        <v>606</v>
      </c>
      <c r="T20" s="164"/>
      <c r="U20" s="228"/>
      <c r="V20" s="163"/>
      <c r="W20" s="164"/>
      <c r="X20" s="2"/>
      <c r="Y20" s="164"/>
      <c r="Z20" s="2"/>
      <c r="AA20" s="163"/>
      <c r="AB20" s="164"/>
      <c r="AC20" s="2"/>
      <c r="AD20" s="164"/>
    </row>
    <row r="21" spans="1:30" ht="7.5" customHeight="1">
      <c r="A21" s="6"/>
      <c r="B21" s="25"/>
      <c r="C21" s="25"/>
      <c r="D21" s="25"/>
      <c r="E21" s="25"/>
      <c r="F21" s="38"/>
      <c r="G21" s="26"/>
      <c r="H21" s="54"/>
      <c r="I21" s="59"/>
      <c r="J21" s="26"/>
      <c r="L21" s="163"/>
      <c r="M21" s="164"/>
      <c r="N21" s="6"/>
      <c r="O21" s="164"/>
      <c r="P21" s="6"/>
      <c r="Q21" s="163"/>
      <c r="R21" s="164"/>
      <c r="S21" s="6"/>
      <c r="T21" s="164"/>
      <c r="U21" s="228"/>
      <c r="V21" s="163"/>
      <c r="W21" s="164"/>
      <c r="X21" s="2"/>
      <c r="Y21" s="164"/>
      <c r="Z21" s="2"/>
      <c r="AA21" s="163"/>
      <c r="AB21" s="164"/>
      <c r="AC21" s="2"/>
      <c r="AD21" s="164"/>
    </row>
    <row r="22" spans="1:30" ht="12.75" customHeight="1">
      <c r="A22" s="2" t="s">
        <v>607</v>
      </c>
      <c r="B22" s="27">
        <f>'Summary Medians from SPSS 07-08'!D146</f>
        <v>0</v>
      </c>
      <c r="C22" s="27">
        <f>'Summary Medians from SPSS 07-08'!D147</f>
        <v>1700</v>
      </c>
      <c r="D22" s="27">
        <f>'Summary Medians from SPSS 07-08'!D148</f>
        <v>1743</v>
      </c>
      <c r="E22" s="27">
        <f>'Summary Medians from SPSS 07-08'!D149</f>
        <v>1800</v>
      </c>
      <c r="F22" s="39">
        <f>+'Summary Medians from SPSS 07-08'!$D$150</f>
        <v>1740</v>
      </c>
      <c r="G22" s="28">
        <f>+'Summary Medians from SPSS 07-08'!$D$151</f>
        <v>0</v>
      </c>
      <c r="H22" s="31">
        <f>+'Summary Medians from SPSS 07-08'!$D$152</f>
        <v>0</v>
      </c>
      <c r="I22" s="58">
        <f>+'Summary Medians from SPSS 07-08'!$D$153</f>
        <v>0</v>
      </c>
      <c r="J22" s="26">
        <f>+'Summary Medians from SPSS 07-08'!$D$154</f>
        <v>0</v>
      </c>
      <c r="L22" s="163">
        <f t="shared" si="0"/>
        <v>0</v>
      </c>
      <c r="M22" s="164">
        <f>+'Summary Medians from SPSS 07-08'!C150</f>
        <v>1740</v>
      </c>
      <c r="N22" s="2" t="s">
        <v>607</v>
      </c>
      <c r="O22" s="164"/>
      <c r="P22" s="2"/>
      <c r="Q22" s="163"/>
      <c r="R22" s="164">
        <f>+'Summary Medians from SPSS 07-08'!C154</f>
        <v>0</v>
      </c>
      <c r="S22" s="2" t="s">
        <v>607</v>
      </c>
      <c r="T22" s="164"/>
      <c r="U22" s="228"/>
      <c r="V22" s="163"/>
      <c r="W22" s="164"/>
      <c r="X22" s="2"/>
      <c r="Y22" s="164"/>
      <c r="Z22" s="2"/>
      <c r="AA22" s="163"/>
      <c r="AB22" s="164"/>
      <c r="AC22" s="2"/>
      <c r="AD22" s="164"/>
    </row>
    <row r="23" spans="1:30" ht="12.75" customHeight="1">
      <c r="A23" s="2" t="s">
        <v>608</v>
      </c>
      <c r="B23" s="27">
        <f>'Summary Medians from SPSS 07-08'!D163</f>
        <v>0</v>
      </c>
      <c r="C23" s="27">
        <f>'Summary Medians from SPSS 07-08'!D164</f>
        <v>1410</v>
      </c>
      <c r="D23" s="27">
        <f>'Summary Medians from SPSS 07-08'!D165</f>
        <v>1408</v>
      </c>
      <c r="E23" s="27">
        <f>'Summary Medians from SPSS 07-08'!D166</f>
        <v>1410</v>
      </c>
      <c r="F23" s="39">
        <f>+'Summary Medians from SPSS 07-08'!$D$167</f>
        <v>1409</v>
      </c>
      <c r="G23" s="28">
        <f>+'Summary Medians from SPSS 07-08'!$D$168</f>
        <v>0</v>
      </c>
      <c r="H23" s="31">
        <f>+'Summary Medians from SPSS 07-08'!$D$169</f>
        <v>0</v>
      </c>
      <c r="I23" s="58">
        <f>+'Summary Medians from SPSS 07-08'!$D$170</f>
        <v>0</v>
      </c>
      <c r="J23" s="25">
        <f>+'Summary Medians from SPSS 07-08'!$D$171</f>
        <v>0</v>
      </c>
      <c r="L23" s="163">
        <f t="shared" si="0"/>
        <v>0.06419939577039276</v>
      </c>
      <c r="M23" s="164">
        <f>+'Summary Medians from SPSS 07-08'!C167</f>
        <v>1324</v>
      </c>
      <c r="N23" s="2" t="s">
        <v>608</v>
      </c>
      <c r="O23" s="164"/>
      <c r="P23" s="2"/>
      <c r="Q23" s="163"/>
      <c r="R23" s="164">
        <f>+'Summary Medians from SPSS 07-08'!C171</f>
        <v>0</v>
      </c>
      <c r="S23" s="2" t="s">
        <v>608</v>
      </c>
      <c r="T23" s="164"/>
      <c r="U23" s="228"/>
      <c r="V23" s="163"/>
      <c r="W23" s="164"/>
      <c r="X23" s="2"/>
      <c r="Y23" s="164"/>
      <c r="Z23" s="2"/>
      <c r="AA23" s="163"/>
      <c r="AB23" s="164"/>
      <c r="AC23" s="2"/>
      <c r="AD23" s="164"/>
    </row>
    <row r="24" spans="1:30" ht="12.75" customHeight="1">
      <c r="A24" s="2" t="s">
        <v>609</v>
      </c>
      <c r="B24" s="27">
        <f>'Summary Medians from SPSS 07-08'!D180</f>
        <v>0</v>
      </c>
      <c r="C24" s="27">
        <f>'Summary Medians from SPSS 07-08'!D181</f>
        <v>2453.7</v>
      </c>
      <c r="D24" s="27">
        <f>'Summary Medians from SPSS 07-08'!D182</f>
        <v>2672.55</v>
      </c>
      <c r="E24" s="27">
        <f>'Summary Medians from SPSS 07-08'!D183</f>
        <v>2525.25</v>
      </c>
      <c r="F24" s="39">
        <f>+'Summary Medians from SPSS 07-08'!$D$184</f>
        <v>2518.95</v>
      </c>
      <c r="G24" s="28">
        <f>+'Summary Medians from SPSS 07-08'!$D$185</f>
        <v>1125</v>
      </c>
      <c r="H24" s="31">
        <f>+'Summary Medians from SPSS 07-08'!$D$186</f>
        <v>1137.5</v>
      </c>
      <c r="I24" s="58">
        <f>+'Summary Medians from SPSS 07-08'!$D$187</f>
        <v>0</v>
      </c>
      <c r="J24" s="25">
        <f>+'Summary Medians from SPSS 07-08'!$D$188</f>
        <v>1125</v>
      </c>
      <c r="L24" s="163">
        <f t="shared" si="0"/>
        <v>0.08636304825980076</v>
      </c>
      <c r="M24" s="164">
        <f>+'Summary Medians from SPSS 07-08'!C184</f>
        <v>2318.7</v>
      </c>
      <c r="N24" s="2" t="s">
        <v>609</v>
      </c>
      <c r="O24" s="164"/>
      <c r="P24" s="2"/>
      <c r="Q24" s="163">
        <f>(J24-R24)/R24</f>
        <v>0</v>
      </c>
      <c r="R24" s="164">
        <f>'Summary Medians from SPSS 07-08'!C188</f>
        <v>1125</v>
      </c>
      <c r="S24" s="2" t="s">
        <v>609</v>
      </c>
      <c r="T24" s="164"/>
      <c r="U24" s="228"/>
      <c r="V24" s="163"/>
      <c r="W24" s="164"/>
      <c r="X24" s="2"/>
      <c r="Y24" s="164"/>
      <c r="Z24" s="2"/>
      <c r="AA24" s="163"/>
      <c r="AB24" s="164"/>
      <c r="AC24" s="2"/>
      <c r="AD24" s="164"/>
    </row>
    <row r="25" spans="1:30" ht="12.75" customHeight="1">
      <c r="A25" s="2" t="s">
        <v>610</v>
      </c>
      <c r="B25" s="27">
        <f>'Summary Medians from SPSS 07-08'!D197</f>
        <v>6250</v>
      </c>
      <c r="C25" s="27">
        <f>'Summary Medians from SPSS 07-08'!D198</f>
        <v>3244</v>
      </c>
      <c r="D25" s="27">
        <f>'Summary Medians from SPSS 07-08'!D199</f>
        <v>3124</v>
      </c>
      <c r="E25" s="27">
        <f>'Summary Medians from SPSS 07-08'!D200</f>
        <v>4009</v>
      </c>
      <c r="F25" s="39">
        <f>+'Summary Medians from SPSS 07-08'!$D$201</f>
        <v>3190</v>
      </c>
      <c r="G25" s="28">
        <f>+'Summary Medians from SPSS 07-08'!$D$202</f>
        <v>0</v>
      </c>
      <c r="H25" s="31">
        <f>+'Summary Medians from SPSS 07-08'!$D$203</f>
        <v>0</v>
      </c>
      <c r="I25" s="58">
        <f>+'Summary Medians from SPSS 07-08'!$D$204</f>
        <v>0</v>
      </c>
      <c r="J25" s="25">
        <f>+'Summary Medians from SPSS 07-08'!$D$205</f>
        <v>0</v>
      </c>
      <c r="L25" s="163">
        <f t="shared" si="0"/>
        <v>0.031027795733678087</v>
      </c>
      <c r="M25" s="164">
        <f>+'Summary Medians from SPSS 07-08'!C201</f>
        <v>3094</v>
      </c>
      <c r="N25" s="2" t="s">
        <v>610</v>
      </c>
      <c r="O25" s="164"/>
      <c r="P25" s="2"/>
      <c r="Q25" s="163"/>
      <c r="R25" s="164">
        <f>'Summary Medians from SPSS 07-08'!C205</f>
        <v>0</v>
      </c>
      <c r="S25" s="2" t="s">
        <v>610</v>
      </c>
      <c r="T25" s="164"/>
      <c r="U25" s="228"/>
      <c r="V25" s="163"/>
      <c r="W25" s="164"/>
      <c r="X25" s="2"/>
      <c r="Y25" s="164"/>
      <c r="Z25" s="2"/>
      <c r="AA25" s="163"/>
      <c r="AB25" s="164"/>
      <c r="AC25" s="2"/>
      <c r="AD25" s="164"/>
    </row>
    <row r="26" spans="1:30" ht="6.75" customHeight="1">
      <c r="A26" s="2"/>
      <c r="B26" s="27"/>
      <c r="C26" s="27"/>
      <c r="D26" s="27"/>
      <c r="E26" s="27"/>
      <c r="F26" s="39"/>
      <c r="G26" s="28"/>
      <c r="H26" s="31"/>
      <c r="I26" s="58"/>
      <c r="J26" s="25"/>
      <c r="L26" s="163"/>
      <c r="M26" s="164"/>
      <c r="N26" s="2"/>
      <c r="O26" s="164"/>
      <c r="P26" s="2"/>
      <c r="Q26" s="163"/>
      <c r="R26" s="164"/>
      <c r="S26" s="2"/>
      <c r="T26" s="164"/>
      <c r="U26" s="228"/>
      <c r="V26" s="163"/>
      <c r="W26" s="164"/>
      <c r="X26" s="2"/>
      <c r="Y26" s="164"/>
      <c r="Z26" s="2"/>
      <c r="AA26" s="163"/>
      <c r="AB26" s="164"/>
      <c r="AC26" s="2"/>
      <c r="AD26" s="164"/>
    </row>
    <row r="27" spans="1:30" ht="12.75" customHeight="1">
      <c r="A27" s="2" t="s">
        <v>611</v>
      </c>
      <c r="B27" s="27">
        <f>'Summary Medians from SPSS 07-08'!D214</f>
        <v>0</v>
      </c>
      <c r="C27" s="27">
        <f>'Summary Medians from SPSS 07-08'!D215</f>
        <v>2649</v>
      </c>
      <c r="D27" s="27">
        <f>'Summary Medians from SPSS 07-08'!D216</f>
        <v>2625</v>
      </c>
      <c r="E27" s="27">
        <f>'Summary Medians from SPSS 07-08'!D217</f>
        <v>2635</v>
      </c>
      <c r="F27" s="39">
        <f>+'Summary Medians from SPSS 07-08'!$D$218</f>
        <v>2627</v>
      </c>
      <c r="G27" s="28">
        <f>+'Summary Medians from SPSS 07-08'!$D$219</f>
        <v>0</v>
      </c>
      <c r="H27" s="31">
        <f>+'Summary Medians from SPSS 07-08'!$D$220</f>
        <v>2168</v>
      </c>
      <c r="I27" s="58">
        <f>+'Summary Medians from SPSS 07-08'!$D$221</f>
        <v>0</v>
      </c>
      <c r="J27" s="25">
        <f>+'Summary Medians from SPSS 07-08'!$D$222</f>
        <v>2168</v>
      </c>
      <c r="L27" s="163">
        <f t="shared" si="0"/>
        <v>0.05799436165928312</v>
      </c>
      <c r="M27" s="164">
        <f>+'Summary Medians from SPSS 07-08'!C218</f>
        <v>2483</v>
      </c>
      <c r="N27" s="2" t="s">
        <v>611</v>
      </c>
      <c r="O27" s="164"/>
      <c r="P27" s="2"/>
      <c r="Q27" s="163">
        <f>(J27-R27)/R27</f>
        <v>0.05396208070004861</v>
      </c>
      <c r="R27" s="164">
        <f>+'Summary Medians from SPSS 07-08'!C222</f>
        <v>2057</v>
      </c>
      <c r="S27" s="2" t="s">
        <v>611</v>
      </c>
      <c r="T27" s="164"/>
      <c r="U27" s="228"/>
      <c r="V27" s="163"/>
      <c r="W27" s="164"/>
      <c r="X27" s="5"/>
      <c r="Y27" s="164"/>
      <c r="Z27" s="5"/>
      <c r="AA27" s="163"/>
      <c r="AB27" s="164"/>
      <c r="AC27" s="5"/>
      <c r="AD27" s="164"/>
    </row>
    <row r="28" spans="1:21" ht="12.75" customHeight="1">
      <c r="A28" s="6" t="s">
        <v>612</v>
      </c>
      <c r="B28" s="27">
        <f>'Summary Medians from SPSS 07-08'!D231</f>
        <v>0</v>
      </c>
      <c r="C28" s="27">
        <f>'Summary Medians from SPSS 07-08'!D232</f>
        <v>1619</v>
      </c>
      <c r="D28" s="27">
        <f>'Summary Medians from SPSS 07-08'!D233</f>
        <v>1490</v>
      </c>
      <c r="E28" s="27">
        <f>'Summary Medians from SPSS 07-08'!D234</f>
        <v>2125</v>
      </c>
      <c r="F28" s="39">
        <f>+'Summary Medians from SPSS 07-08'!$D$235</f>
        <v>1614</v>
      </c>
      <c r="G28" s="28">
        <f>+'Summary Medians from SPSS 07-08'!$D$236</f>
        <v>0</v>
      </c>
      <c r="H28" s="31">
        <f>+'Summary Medians from SPSS 07-08'!$D$237</f>
        <v>0</v>
      </c>
      <c r="I28" s="58">
        <f>+'Summary Medians from SPSS 07-08'!$D$238</f>
        <v>0</v>
      </c>
      <c r="J28" s="25">
        <f>+'Summary Medians from SPSS 07-08'!$D$239</f>
        <v>0</v>
      </c>
      <c r="L28" s="163">
        <f t="shared" si="0"/>
        <v>0.024111675126903553</v>
      </c>
      <c r="M28" s="164">
        <f>+'Summary Medians from SPSS 07-08'!C235</f>
        <v>1576</v>
      </c>
      <c r="N28" s="2" t="s">
        <v>612</v>
      </c>
      <c r="O28" s="164"/>
      <c r="P28" s="2"/>
      <c r="Q28" s="163"/>
      <c r="R28" s="164">
        <f>+'Summary Medians from SPSS 07-08'!C239</f>
        <v>0</v>
      </c>
      <c r="S28" s="2" t="s">
        <v>612</v>
      </c>
      <c r="T28" s="164"/>
      <c r="U28" s="228"/>
    </row>
    <row r="29" spans="1:21" ht="12.75" customHeight="1">
      <c r="A29" s="2" t="s">
        <v>817</v>
      </c>
      <c r="B29" s="27">
        <f>'Summary Medians from SPSS 07-08'!D248</f>
        <v>0</v>
      </c>
      <c r="C29" s="27">
        <f>'Summary Medians from SPSS 07-08'!D249</f>
        <v>2404</v>
      </c>
      <c r="D29" s="27">
        <f>'Summary Medians from SPSS 07-08'!D250</f>
        <v>2404</v>
      </c>
      <c r="E29" s="27">
        <f>'Summary Medians from SPSS 07-08'!D251</f>
        <v>2404</v>
      </c>
      <c r="F29" s="39">
        <f>+'Summary Medians from SPSS 07-08'!$D$252</f>
        <v>2404</v>
      </c>
      <c r="G29" s="28">
        <f>+'Summary Medians from SPSS 07-08'!$D$253</f>
        <v>0</v>
      </c>
      <c r="H29" s="31">
        <f>+'Summary Medians from SPSS 07-08'!$D$254</f>
        <v>0</v>
      </c>
      <c r="I29" s="58">
        <f>+'Summary Medians from SPSS 07-08'!$D$255</f>
        <v>0</v>
      </c>
      <c r="J29" s="25">
        <f>+'Summary Medians from SPSS 07-08'!$D$256</f>
        <v>0</v>
      </c>
      <c r="L29" s="163">
        <f t="shared" si="0"/>
        <v>0.059497576024680476</v>
      </c>
      <c r="M29" s="164">
        <f>+'Summary Medians from SPSS 07-08'!C252</f>
        <v>2269</v>
      </c>
      <c r="N29" s="2" t="s">
        <v>817</v>
      </c>
      <c r="O29" s="164"/>
      <c r="P29" s="2"/>
      <c r="Q29" s="163"/>
      <c r="R29" s="164">
        <f>+'Summary Medians from SPSS 07-08'!C256</f>
        <v>0</v>
      </c>
      <c r="S29" s="2" t="s">
        <v>817</v>
      </c>
      <c r="T29" s="164"/>
      <c r="U29" s="228"/>
    </row>
    <row r="30" spans="1:21" ht="12.75" customHeight="1">
      <c r="A30" s="9" t="s">
        <v>614</v>
      </c>
      <c r="B30" s="29">
        <f>'Summary Medians from SPSS 07-08'!D265</f>
        <v>1825</v>
      </c>
      <c r="C30" s="29">
        <f>'Summary Medians from SPSS 07-08'!D266</f>
        <v>0</v>
      </c>
      <c r="D30" s="29">
        <f>'Summary Medians from SPSS 07-08'!D267</f>
        <v>3212</v>
      </c>
      <c r="E30" s="29">
        <f>'Summary Medians from SPSS 07-08'!D268</f>
        <v>2748</v>
      </c>
      <c r="F30" s="40">
        <f>+'Summary Medians from SPSS 07-08'!$D$269</f>
        <v>2748</v>
      </c>
      <c r="G30" s="30">
        <f>+'Summary Medians from SPSS 07-08'!$D$270</f>
        <v>0</v>
      </c>
      <c r="H30" s="29">
        <f>+'Summary Medians from SPSS 07-08'!$D$271</f>
        <v>0</v>
      </c>
      <c r="I30" s="60">
        <f>+'Summary Medians from SPSS 07-08'!$D$272</f>
        <v>0</v>
      </c>
      <c r="J30" s="29">
        <f>+'Summary Medians from SPSS 07-08'!$D$273</f>
        <v>0</v>
      </c>
      <c r="L30" s="163">
        <f t="shared" si="0"/>
        <v>0</v>
      </c>
      <c r="M30" s="164">
        <f>+'Summary Medians from SPSS 07-08'!C269</f>
        <v>2748</v>
      </c>
      <c r="N30" s="5" t="s">
        <v>614</v>
      </c>
      <c r="O30" s="164"/>
      <c r="P30" s="5"/>
      <c r="Q30" s="163"/>
      <c r="R30" s="164">
        <f>+'Summary Medians from SPSS 07-08'!C273</f>
        <v>0</v>
      </c>
      <c r="S30" s="5" t="s">
        <v>614</v>
      </c>
      <c r="T30" s="164"/>
      <c r="U30" s="228"/>
    </row>
    <row r="31" spans="1:21" ht="13.5" customHeight="1">
      <c r="A31" s="472" t="s">
        <v>253</v>
      </c>
      <c r="B31" s="1"/>
      <c r="C31" s="1"/>
      <c r="D31" s="1"/>
      <c r="E31" s="1"/>
      <c r="F31" s="1"/>
      <c r="G31" s="1"/>
      <c r="H31" s="1"/>
      <c r="I31" s="1"/>
      <c r="J31" s="242"/>
      <c r="U31" s="228"/>
    </row>
    <row r="32" spans="1:21" ht="69.75" customHeight="1">
      <c r="A32" s="526" t="s">
        <v>40</v>
      </c>
      <c r="B32" s="526"/>
      <c r="C32" s="526"/>
      <c r="D32" s="526"/>
      <c r="E32" s="526"/>
      <c r="F32" s="526"/>
      <c r="G32" s="526"/>
      <c r="H32" s="526"/>
      <c r="I32" s="526"/>
      <c r="J32" s="526"/>
      <c r="S32" s="228"/>
      <c r="T32" s="228"/>
      <c r="U32" s="228"/>
    </row>
    <row r="33" ht="15">
      <c r="J33" s="232" t="s">
        <v>37</v>
      </c>
    </row>
    <row r="35" spans="12:20" ht="15.75">
      <c r="L35" t="s">
        <v>951</v>
      </c>
      <c r="M35"/>
      <c r="N35"/>
      <c r="O35"/>
      <c r="P35"/>
      <c r="Q35"/>
      <c r="R35"/>
      <c r="S35"/>
      <c r="T35"/>
    </row>
    <row r="36" spans="12:20" ht="15.75">
      <c r="L36">
        <v>10</v>
      </c>
      <c r="M36">
        <f aca="true" t="shared" si="1" ref="M36:T51">L36+1</f>
        <v>11</v>
      </c>
      <c r="N36">
        <f t="shared" si="1"/>
        <v>12</v>
      </c>
      <c r="O36">
        <f t="shared" si="1"/>
        <v>13</v>
      </c>
      <c r="P36">
        <f t="shared" si="1"/>
        <v>14</v>
      </c>
      <c r="Q36">
        <f t="shared" si="1"/>
        <v>15</v>
      </c>
      <c r="R36">
        <f t="shared" si="1"/>
        <v>16</v>
      </c>
      <c r="S36">
        <f t="shared" si="1"/>
        <v>17</v>
      </c>
      <c r="T36">
        <f t="shared" si="1"/>
        <v>18</v>
      </c>
    </row>
    <row r="37" spans="1:20" ht="15.75">
      <c r="A37" t="s">
        <v>254</v>
      </c>
      <c r="L37">
        <f>L36+17</f>
        <v>27</v>
      </c>
      <c r="M37">
        <f t="shared" si="1"/>
        <v>28</v>
      </c>
      <c r="N37">
        <f t="shared" si="1"/>
        <v>29</v>
      </c>
      <c r="O37">
        <f t="shared" si="1"/>
        <v>30</v>
      </c>
      <c r="P37">
        <f t="shared" si="1"/>
        <v>31</v>
      </c>
      <c r="Q37">
        <f t="shared" si="1"/>
        <v>32</v>
      </c>
      <c r="R37">
        <f t="shared" si="1"/>
        <v>33</v>
      </c>
      <c r="S37">
        <f t="shared" si="1"/>
        <v>34</v>
      </c>
      <c r="T37">
        <f t="shared" si="1"/>
        <v>35</v>
      </c>
    </row>
    <row r="38" spans="12:20" ht="15.75">
      <c r="L38">
        <f aca="true" t="shared" si="2" ref="L38:L52">L37+17</f>
        <v>44</v>
      </c>
      <c r="M38">
        <f t="shared" si="1"/>
        <v>45</v>
      </c>
      <c r="N38">
        <f t="shared" si="1"/>
        <v>46</v>
      </c>
      <c r="O38">
        <f t="shared" si="1"/>
        <v>47</v>
      </c>
      <c r="P38">
        <f t="shared" si="1"/>
        <v>48</v>
      </c>
      <c r="Q38">
        <f t="shared" si="1"/>
        <v>49</v>
      </c>
      <c r="R38">
        <f t="shared" si="1"/>
        <v>50</v>
      </c>
      <c r="S38">
        <f t="shared" si="1"/>
        <v>51</v>
      </c>
      <c r="T38">
        <f t="shared" si="1"/>
        <v>52</v>
      </c>
    </row>
    <row r="39" spans="12:20" ht="15.75">
      <c r="L39">
        <f t="shared" si="2"/>
        <v>61</v>
      </c>
      <c r="M39">
        <f t="shared" si="1"/>
        <v>62</v>
      </c>
      <c r="N39">
        <f t="shared" si="1"/>
        <v>63</v>
      </c>
      <c r="O39">
        <f t="shared" si="1"/>
        <v>64</v>
      </c>
      <c r="P39">
        <f t="shared" si="1"/>
        <v>65</v>
      </c>
      <c r="Q39">
        <f t="shared" si="1"/>
        <v>66</v>
      </c>
      <c r="R39">
        <f t="shared" si="1"/>
        <v>67</v>
      </c>
      <c r="S39">
        <f t="shared" si="1"/>
        <v>68</v>
      </c>
      <c r="T39">
        <f t="shared" si="1"/>
        <v>69</v>
      </c>
    </row>
    <row r="40" spans="12:20" ht="15.75">
      <c r="L40">
        <f t="shared" si="2"/>
        <v>78</v>
      </c>
      <c r="M40">
        <f t="shared" si="1"/>
        <v>79</v>
      </c>
      <c r="N40">
        <f t="shared" si="1"/>
        <v>80</v>
      </c>
      <c r="O40">
        <f t="shared" si="1"/>
        <v>81</v>
      </c>
      <c r="P40">
        <f t="shared" si="1"/>
        <v>82</v>
      </c>
      <c r="Q40">
        <f t="shared" si="1"/>
        <v>83</v>
      </c>
      <c r="R40">
        <f t="shared" si="1"/>
        <v>84</v>
      </c>
      <c r="S40">
        <f t="shared" si="1"/>
        <v>85</v>
      </c>
      <c r="T40">
        <f t="shared" si="1"/>
        <v>86</v>
      </c>
    </row>
    <row r="41" spans="12:20" ht="15.75">
      <c r="L41">
        <f t="shared" si="2"/>
        <v>95</v>
      </c>
      <c r="M41">
        <f t="shared" si="1"/>
        <v>96</v>
      </c>
      <c r="N41">
        <f t="shared" si="1"/>
        <v>97</v>
      </c>
      <c r="O41">
        <f t="shared" si="1"/>
        <v>98</v>
      </c>
      <c r="P41">
        <f t="shared" si="1"/>
        <v>99</v>
      </c>
      <c r="Q41">
        <f t="shared" si="1"/>
        <v>100</v>
      </c>
      <c r="R41">
        <f t="shared" si="1"/>
        <v>101</v>
      </c>
      <c r="S41">
        <f t="shared" si="1"/>
        <v>102</v>
      </c>
      <c r="T41">
        <f t="shared" si="1"/>
        <v>103</v>
      </c>
    </row>
    <row r="42" spans="12:20" ht="15.75">
      <c r="L42">
        <f t="shared" si="2"/>
        <v>112</v>
      </c>
      <c r="M42">
        <f t="shared" si="1"/>
        <v>113</v>
      </c>
      <c r="N42">
        <f t="shared" si="1"/>
        <v>114</v>
      </c>
      <c r="O42">
        <f t="shared" si="1"/>
        <v>115</v>
      </c>
      <c r="P42">
        <f t="shared" si="1"/>
        <v>116</v>
      </c>
      <c r="Q42">
        <f t="shared" si="1"/>
        <v>117</v>
      </c>
      <c r="R42">
        <f t="shared" si="1"/>
        <v>118</v>
      </c>
      <c r="S42">
        <f t="shared" si="1"/>
        <v>119</v>
      </c>
      <c r="T42">
        <f t="shared" si="1"/>
        <v>120</v>
      </c>
    </row>
    <row r="43" spans="12:20" ht="15.75">
      <c r="L43">
        <f t="shared" si="2"/>
        <v>129</v>
      </c>
      <c r="M43">
        <f t="shared" si="1"/>
        <v>130</v>
      </c>
      <c r="N43">
        <f t="shared" si="1"/>
        <v>131</v>
      </c>
      <c r="O43">
        <f t="shared" si="1"/>
        <v>132</v>
      </c>
      <c r="P43">
        <f t="shared" si="1"/>
        <v>133</v>
      </c>
      <c r="Q43">
        <f t="shared" si="1"/>
        <v>134</v>
      </c>
      <c r="R43">
        <f t="shared" si="1"/>
        <v>135</v>
      </c>
      <c r="S43">
        <f t="shared" si="1"/>
        <v>136</v>
      </c>
      <c r="T43">
        <f t="shared" si="1"/>
        <v>137</v>
      </c>
    </row>
    <row r="44" spans="12:20" ht="15.75">
      <c r="L44">
        <f t="shared" si="2"/>
        <v>146</v>
      </c>
      <c r="M44">
        <f t="shared" si="1"/>
        <v>147</v>
      </c>
      <c r="N44">
        <f t="shared" si="1"/>
        <v>148</v>
      </c>
      <c r="O44">
        <f t="shared" si="1"/>
        <v>149</v>
      </c>
      <c r="P44">
        <f t="shared" si="1"/>
        <v>150</v>
      </c>
      <c r="Q44">
        <f t="shared" si="1"/>
        <v>151</v>
      </c>
      <c r="R44">
        <f t="shared" si="1"/>
        <v>152</v>
      </c>
      <c r="S44">
        <f t="shared" si="1"/>
        <v>153</v>
      </c>
      <c r="T44">
        <f t="shared" si="1"/>
        <v>154</v>
      </c>
    </row>
    <row r="45" spans="12:20" ht="15.75">
      <c r="L45">
        <f t="shared" si="2"/>
        <v>163</v>
      </c>
      <c r="M45">
        <f t="shared" si="1"/>
        <v>164</v>
      </c>
      <c r="N45">
        <f t="shared" si="1"/>
        <v>165</v>
      </c>
      <c r="O45">
        <f t="shared" si="1"/>
        <v>166</v>
      </c>
      <c r="P45">
        <f t="shared" si="1"/>
        <v>167</v>
      </c>
      <c r="Q45">
        <f t="shared" si="1"/>
        <v>168</v>
      </c>
      <c r="R45">
        <f t="shared" si="1"/>
        <v>169</v>
      </c>
      <c r="S45">
        <f t="shared" si="1"/>
        <v>170</v>
      </c>
      <c r="T45">
        <f t="shared" si="1"/>
        <v>171</v>
      </c>
    </row>
    <row r="46" spans="12:20" ht="15.75">
      <c r="L46">
        <f t="shared" si="2"/>
        <v>180</v>
      </c>
      <c r="M46">
        <f t="shared" si="1"/>
        <v>181</v>
      </c>
      <c r="N46">
        <f t="shared" si="1"/>
        <v>182</v>
      </c>
      <c r="O46">
        <f t="shared" si="1"/>
        <v>183</v>
      </c>
      <c r="P46">
        <f t="shared" si="1"/>
        <v>184</v>
      </c>
      <c r="Q46">
        <f t="shared" si="1"/>
        <v>185</v>
      </c>
      <c r="R46">
        <f t="shared" si="1"/>
        <v>186</v>
      </c>
      <c r="S46">
        <f t="shared" si="1"/>
        <v>187</v>
      </c>
      <c r="T46">
        <f t="shared" si="1"/>
        <v>188</v>
      </c>
    </row>
    <row r="47" spans="12:20" ht="15.75">
      <c r="L47">
        <f t="shared" si="2"/>
        <v>197</v>
      </c>
      <c r="M47">
        <f t="shared" si="1"/>
        <v>198</v>
      </c>
      <c r="N47">
        <f t="shared" si="1"/>
        <v>199</v>
      </c>
      <c r="O47">
        <f t="shared" si="1"/>
        <v>200</v>
      </c>
      <c r="P47">
        <f t="shared" si="1"/>
        <v>201</v>
      </c>
      <c r="Q47">
        <f t="shared" si="1"/>
        <v>202</v>
      </c>
      <c r="R47">
        <f t="shared" si="1"/>
        <v>203</v>
      </c>
      <c r="S47">
        <f t="shared" si="1"/>
        <v>204</v>
      </c>
      <c r="T47">
        <f t="shared" si="1"/>
        <v>205</v>
      </c>
    </row>
    <row r="48" spans="12:20" ht="15.75">
      <c r="L48">
        <f t="shared" si="2"/>
        <v>214</v>
      </c>
      <c r="M48">
        <f t="shared" si="1"/>
        <v>215</v>
      </c>
      <c r="N48">
        <f t="shared" si="1"/>
        <v>216</v>
      </c>
      <c r="O48">
        <f t="shared" si="1"/>
        <v>217</v>
      </c>
      <c r="P48">
        <f t="shared" si="1"/>
        <v>218</v>
      </c>
      <c r="Q48">
        <f t="shared" si="1"/>
        <v>219</v>
      </c>
      <c r="R48">
        <f t="shared" si="1"/>
        <v>220</v>
      </c>
      <c r="S48">
        <f t="shared" si="1"/>
        <v>221</v>
      </c>
      <c r="T48">
        <f t="shared" si="1"/>
        <v>222</v>
      </c>
    </row>
    <row r="49" spans="12:20" ht="15.75">
      <c r="L49">
        <f t="shared" si="2"/>
        <v>231</v>
      </c>
      <c r="M49">
        <f t="shared" si="1"/>
        <v>232</v>
      </c>
      <c r="N49">
        <f t="shared" si="1"/>
        <v>233</v>
      </c>
      <c r="O49">
        <f t="shared" si="1"/>
        <v>234</v>
      </c>
      <c r="P49">
        <f t="shared" si="1"/>
        <v>235</v>
      </c>
      <c r="Q49">
        <f t="shared" si="1"/>
        <v>236</v>
      </c>
      <c r="R49">
        <f t="shared" si="1"/>
        <v>237</v>
      </c>
      <c r="S49">
        <f t="shared" si="1"/>
        <v>238</v>
      </c>
      <c r="T49">
        <f t="shared" si="1"/>
        <v>239</v>
      </c>
    </row>
    <row r="50" spans="12:20" ht="15.75">
      <c r="L50">
        <f t="shared" si="2"/>
        <v>248</v>
      </c>
      <c r="M50">
        <f t="shared" si="1"/>
        <v>249</v>
      </c>
      <c r="N50">
        <f t="shared" si="1"/>
        <v>250</v>
      </c>
      <c r="O50">
        <f t="shared" si="1"/>
        <v>251</v>
      </c>
      <c r="P50">
        <f t="shared" si="1"/>
        <v>252</v>
      </c>
      <c r="Q50">
        <f t="shared" si="1"/>
        <v>253</v>
      </c>
      <c r="R50">
        <f t="shared" si="1"/>
        <v>254</v>
      </c>
      <c r="S50">
        <f t="shared" si="1"/>
        <v>255</v>
      </c>
      <c r="T50">
        <f t="shared" si="1"/>
        <v>256</v>
      </c>
    </row>
    <row r="51" spans="12:20" ht="15.75">
      <c r="L51">
        <f t="shared" si="2"/>
        <v>265</v>
      </c>
      <c r="M51">
        <f t="shared" si="1"/>
        <v>266</v>
      </c>
      <c r="N51">
        <f t="shared" si="1"/>
        <v>267</v>
      </c>
      <c r="O51">
        <f t="shared" si="1"/>
        <v>268</v>
      </c>
      <c r="P51">
        <f t="shared" si="1"/>
        <v>269</v>
      </c>
      <c r="Q51">
        <f t="shared" si="1"/>
        <v>270</v>
      </c>
      <c r="R51">
        <f t="shared" si="1"/>
        <v>271</v>
      </c>
      <c r="S51">
        <f t="shared" si="1"/>
        <v>272</v>
      </c>
      <c r="T51">
        <f t="shared" si="1"/>
        <v>273</v>
      </c>
    </row>
    <row r="52" spans="12:20" ht="15.75">
      <c r="L52">
        <f t="shared" si="2"/>
        <v>282</v>
      </c>
      <c r="M52">
        <f aca="true" t="shared" si="3" ref="M52:T52">L52+1</f>
        <v>283</v>
      </c>
      <c r="N52">
        <f t="shared" si="3"/>
        <v>284</v>
      </c>
      <c r="O52">
        <f t="shared" si="3"/>
        <v>285</v>
      </c>
      <c r="P52">
        <f t="shared" si="3"/>
        <v>286</v>
      </c>
      <c r="Q52">
        <f t="shared" si="3"/>
        <v>287</v>
      </c>
      <c r="R52">
        <f t="shared" si="3"/>
        <v>288</v>
      </c>
      <c r="S52">
        <f t="shared" si="3"/>
        <v>289</v>
      </c>
      <c r="T52">
        <f t="shared" si="3"/>
        <v>290</v>
      </c>
    </row>
  </sheetData>
  <sheetProtection/>
  <mergeCells count="5">
    <mergeCell ref="A32:J32"/>
    <mergeCell ref="A1:J1"/>
    <mergeCell ref="A3:J3"/>
    <mergeCell ref="A4:J4"/>
    <mergeCell ref="A5:J5"/>
  </mergeCells>
  <printOptions horizontalCentered="1"/>
  <pageMargins left="0.75" right="0.75" top="1" bottom="1" header="0.6" footer="0.5"/>
  <pageSetup firstPageNumber="108" useFirstPageNumber="1" horizontalDpi="600" verticalDpi="600" orientation="landscape" r:id="rId1"/>
  <headerFooter alignWithMargins="0">
    <oddHeader>&amp;R&amp;"Arial,Regular"&amp;8SREB-State Data Exchange</oddHeader>
    <oddFooter>&amp;C&amp;"ARIAL,Regular"&amp;10&amp;P</oddFooter>
  </headerFooter>
  <ignoredErrors>
    <ignoredError sqref="B12:J30" emptyCellReference="1"/>
  </ignoredErrors>
</worksheet>
</file>

<file path=xl/worksheets/sheet5.xml><?xml version="1.0" encoding="utf-8"?>
<worksheet xmlns="http://schemas.openxmlformats.org/spreadsheetml/2006/main" xmlns:r="http://schemas.openxmlformats.org/officeDocument/2006/relationships">
  <sheetPr>
    <tabColor indexed="16"/>
  </sheetPr>
  <dimension ref="A1:P50"/>
  <sheetViews>
    <sheetView showGridLines="0" showZeros="0" view="pageBreakPreview" zoomScale="75" zoomScaleSheetLayoutView="75" zoomScalePageLayoutView="0" workbookViewId="0" topLeftCell="A1">
      <selection activeCell="S9" sqref="S9"/>
    </sheetView>
  </sheetViews>
  <sheetFormatPr defaultColWidth="8.796875" defaultRowHeight="15"/>
  <cols>
    <col min="1" max="1" width="18.5" style="0" customWidth="1"/>
    <col min="2" max="7" width="8.59765625" style="0" customWidth="1"/>
    <col min="8" max="8" width="8.59765625" style="62" customWidth="1"/>
  </cols>
  <sheetData>
    <row r="1" spans="1:8" ht="18">
      <c r="A1" s="34" t="s">
        <v>430</v>
      </c>
      <c r="B1" s="34"/>
      <c r="C1" s="34"/>
      <c r="D1" s="34"/>
      <c r="E1" s="34"/>
      <c r="F1" s="34"/>
      <c r="G1" s="34"/>
      <c r="H1" s="233"/>
    </row>
    <row r="2" spans="1:8" s="109" customFormat="1" ht="12.75">
      <c r="A2" s="108"/>
      <c r="B2" s="108"/>
      <c r="C2" s="108"/>
      <c r="D2" s="108"/>
      <c r="E2" s="108"/>
      <c r="F2" s="108"/>
      <c r="G2" s="108"/>
      <c r="H2" s="234"/>
    </row>
    <row r="3" spans="1:8" ht="15.75">
      <c r="A3" s="35" t="s">
        <v>597</v>
      </c>
      <c r="B3" s="35"/>
      <c r="C3" s="35"/>
      <c r="D3" s="35"/>
      <c r="E3" s="35"/>
      <c r="F3" s="35"/>
      <c r="G3" s="35"/>
      <c r="H3" s="235"/>
    </row>
    <row r="4" spans="1:8" ht="15.75">
      <c r="A4" s="35" t="s">
        <v>615</v>
      </c>
      <c r="B4" s="35"/>
      <c r="C4" s="35"/>
      <c r="D4" s="35"/>
      <c r="E4" s="35"/>
      <c r="F4" s="35"/>
      <c r="G4" s="35"/>
      <c r="H4" s="235"/>
    </row>
    <row r="5" spans="1:8" ht="15.75">
      <c r="A5" s="35" t="s">
        <v>38</v>
      </c>
      <c r="B5" s="35"/>
      <c r="C5" s="35"/>
      <c r="D5" s="35"/>
      <c r="E5" s="35"/>
      <c r="F5" s="35"/>
      <c r="G5" s="35"/>
      <c r="H5" s="235"/>
    </row>
    <row r="6" spans="1:8" s="109" customFormat="1" ht="12.75">
      <c r="A6" s="61"/>
      <c r="B6" s="61"/>
      <c r="C6" s="61"/>
      <c r="D6" s="61"/>
      <c r="E6" s="61"/>
      <c r="F6" s="61"/>
      <c r="G6" s="61"/>
      <c r="H6" s="243"/>
    </row>
    <row r="7" spans="1:8" ht="15.75">
      <c r="A7" s="3"/>
      <c r="B7" s="4" t="s">
        <v>599</v>
      </c>
      <c r="C7" s="4"/>
      <c r="D7" s="4"/>
      <c r="E7" s="4"/>
      <c r="F7" s="4"/>
      <c r="G7" s="4"/>
      <c r="H7" s="236"/>
    </row>
    <row r="8" spans="1:8" s="14" customFormat="1" ht="15.75">
      <c r="A8" s="147"/>
      <c r="B8" s="146">
        <v>1</v>
      </c>
      <c r="C8" s="146">
        <v>2</v>
      </c>
      <c r="D8" s="146">
        <v>3</v>
      </c>
      <c r="E8" s="146">
        <v>4</v>
      </c>
      <c r="F8" s="146">
        <v>5</v>
      </c>
      <c r="G8" s="146">
        <v>6</v>
      </c>
      <c r="H8" s="244" t="s">
        <v>519</v>
      </c>
    </row>
    <row r="9" ht="9" customHeight="1">
      <c r="G9" s="70"/>
    </row>
    <row r="10" spans="1:8" ht="12.75" customHeight="1">
      <c r="A10" s="6" t="s">
        <v>981</v>
      </c>
      <c r="B10" s="79">
        <f>+'Summary Medians from SPSS 07-08'!$G$275</f>
        <v>16531.2</v>
      </c>
      <c r="C10" s="79">
        <f>+'Summary Medians from SPSS 07-08'!$G$276</f>
        <v>15606.95</v>
      </c>
      <c r="D10" s="79">
        <f>+'Summary Medians from SPSS 07-08'!$G$277</f>
        <v>13715</v>
      </c>
      <c r="E10" s="79">
        <f>+'Summary Medians from SPSS 07-08'!$G$278</f>
        <v>12736.5</v>
      </c>
      <c r="F10" s="79">
        <f>+'Summary Medians from SPSS 07-08'!$G$279</f>
        <v>12120</v>
      </c>
      <c r="G10" s="79">
        <f>+'Summary Medians from SPSS 07-08'!$G$280</f>
        <v>10192</v>
      </c>
      <c r="H10" s="245">
        <f>+'Summary Medians from SPSS 07-08'!$G$281</f>
        <v>13440</v>
      </c>
    </row>
    <row r="11" spans="1:8" ht="12.75" customHeight="1">
      <c r="A11" s="2"/>
      <c r="B11" s="45"/>
      <c r="C11" s="45"/>
      <c r="D11" s="45"/>
      <c r="E11" s="45"/>
      <c r="F11" s="45"/>
      <c r="G11" s="47"/>
      <c r="H11" s="238"/>
    </row>
    <row r="12" spans="1:8" ht="12.75" customHeight="1">
      <c r="A12" s="2" t="s">
        <v>600</v>
      </c>
      <c r="B12" s="27">
        <f>+'Summary Medians from SPSS 07-08'!$G$3</f>
        <v>16334</v>
      </c>
      <c r="C12" s="27">
        <f>+'Summary Medians from SPSS 07-08'!$G$4</f>
        <v>11024</v>
      </c>
      <c r="D12" s="27">
        <f>+'Summary Medians from SPSS 07-08'!$G$5</f>
        <v>9031</v>
      </c>
      <c r="E12" s="27">
        <f>+'Summary Medians from SPSS 07-08'!$G$6</f>
        <v>9203</v>
      </c>
      <c r="F12" s="27">
        <f>+'Summary Medians from SPSS 07-08'!$G$7</f>
        <v>10323</v>
      </c>
      <c r="G12" s="27">
        <f>+'Summary Medians from SPSS 07-08'!$G$8</f>
        <v>7350</v>
      </c>
      <c r="H12" s="246">
        <f>+'Summary Medians from SPSS 07-08'!$G$9</f>
        <v>9680</v>
      </c>
    </row>
    <row r="13" spans="1:8" ht="12.75" customHeight="1">
      <c r="A13" s="2" t="s">
        <v>601</v>
      </c>
      <c r="B13" s="27">
        <f>+'Summary Medians from SPSS 07-08'!$G$20</f>
        <v>14492</v>
      </c>
      <c r="C13" s="27">
        <f>+'Summary Medians from SPSS 07-08'!$G$21</f>
        <v>0</v>
      </c>
      <c r="D13" s="27">
        <f>+'Summary Medians from SPSS 07-08'!$G$22</f>
        <v>13232</v>
      </c>
      <c r="E13" s="27">
        <f>+'Summary Medians from SPSS 07-08'!$G$23</f>
        <v>10009.5</v>
      </c>
      <c r="F13" s="27">
        <f>+'Summary Medians from SPSS 07-08'!$G$24</f>
        <v>7882</v>
      </c>
      <c r="G13" s="27">
        <f>+'Summary Medians from SPSS 07-08'!$G$25</f>
        <v>8909</v>
      </c>
      <c r="H13" s="246">
        <f>+'Summary Medians from SPSS 07-08'!$G$26</f>
        <v>10309</v>
      </c>
    </row>
    <row r="14" spans="1:8" ht="12.75" customHeight="1">
      <c r="A14" s="2" t="s">
        <v>811</v>
      </c>
      <c r="B14" s="27">
        <f>+'Summary Medians from SPSS 07-08'!$G$37</f>
        <v>19400</v>
      </c>
      <c r="C14" s="27">
        <f>+'Summary Medians from SPSS 07-08'!$G$38</f>
        <v>0</v>
      </c>
      <c r="D14" s="27">
        <f>+'Summary Medians from SPSS 07-08'!$G$39</f>
        <v>0</v>
      </c>
      <c r="E14" s="27">
        <f>+'Summary Medians from SPSS 07-08'!$G$40</f>
        <v>13100</v>
      </c>
      <c r="F14" s="27">
        <f>+'Summary Medians from SPSS 07-08'!$G$41</f>
        <v>0</v>
      </c>
      <c r="G14" s="27">
        <f>+'Summary Medians from SPSS 07-08'!$G$42</f>
        <v>0</v>
      </c>
      <c r="H14" s="246">
        <f>+'Summary Medians from SPSS 07-08'!$G$43</f>
        <v>16250</v>
      </c>
    </row>
    <row r="15" spans="1:8" ht="12.75" customHeight="1">
      <c r="A15" s="6" t="s">
        <v>602</v>
      </c>
      <c r="B15" s="27">
        <f>+'Summary Medians from SPSS 07-08'!$G$54</f>
        <v>17182.65</v>
      </c>
      <c r="C15" s="27">
        <f>+'Summary Medians from SPSS 07-08'!$G$55</f>
        <v>16233.8</v>
      </c>
      <c r="D15" s="27">
        <f>+'Summary Medians from SPSS 07-08'!$G$56</f>
        <v>15191.1</v>
      </c>
      <c r="E15" s="27">
        <f>+'Summary Medians from SPSS 07-08'!$G$57</f>
        <v>0</v>
      </c>
      <c r="F15" s="27">
        <f>+'Summary Medians from SPSS 07-08'!$G$58</f>
        <v>16230</v>
      </c>
      <c r="G15" s="27">
        <f>+'Summary Medians from SPSS 07-08'!$G$59</f>
        <v>18078.9</v>
      </c>
      <c r="H15" s="246">
        <f>+'Summary Medians from SPSS 07-08'!$G$60</f>
        <v>16290.9</v>
      </c>
    </row>
    <row r="16" spans="1:8" ht="10.5" customHeight="1">
      <c r="A16" s="2"/>
      <c r="B16" s="27"/>
      <c r="C16" s="27"/>
      <c r="D16" s="27"/>
      <c r="E16" s="27"/>
      <c r="F16" s="27"/>
      <c r="G16" s="27"/>
      <c r="H16" s="246"/>
    </row>
    <row r="17" spans="1:8" ht="12.75" customHeight="1">
      <c r="A17" s="6" t="s">
        <v>603</v>
      </c>
      <c r="B17" s="27">
        <f>+'Summary Medians from SPSS 07-08'!$G$71</f>
        <v>19849</v>
      </c>
      <c r="C17" s="27">
        <f>+'Summary Medians from SPSS 07-08'!$G$72</f>
        <v>23366</v>
      </c>
      <c r="D17" s="27">
        <f>+'Summary Medians from SPSS 07-08'!$G$73</f>
        <v>12910</v>
      </c>
      <c r="E17" s="27">
        <f>+'Summary Medians from SPSS 07-08'!$G$74</f>
        <v>12118</v>
      </c>
      <c r="F17" s="27">
        <f>+'Summary Medians from SPSS 07-08'!$G$75</f>
        <v>12150</v>
      </c>
      <c r="G17" s="27">
        <f>+'Summary Medians from SPSS 07-08'!$G$76</f>
        <v>9931</v>
      </c>
      <c r="H17" s="246">
        <f>+'Summary Medians from SPSS 07-08'!$G$77</f>
        <v>12205</v>
      </c>
    </row>
    <row r="18" spans="1:8" ht="12.75" customHeight="1">
      <c r="A18" s="2" t="s">
        <v>604</v>
      </c>
      <c r="B18" s="27">
        <f>+'Summary Medians from SPSS 07-08'!$G$88</f>
        <v>14995</v>
      </c>
      <c r="C18" s="27">
        <f>+'Summary Medians from SPSS 07-08'!$G$89</f>
        <v>17664</v>
      </c>
      <c r="D18" s="27">
        <f>+'Summary Medians from SPSS 07-08'!$G$90</f>
        <v>15382</v>
      </c>
      <c r="E18" s="27">
        <f>+'Summary Medians from SPSS 07-08'!$G$91</f>
        <v>12058</v>
      </c>
      <c r="F18" s="27">
        <f>+'Summary Medians from SPSS 07-08'!$G$92</f>
        <v>12490</v>
      </c>
      <c r="G18" s="27">
        <f>+'Summary Medians from SPSS 07-08'!$G$93</f>
        <v>0</v>
      </c>
      <c r="H18" s="246">
        <f>+'Summary Medians from SPSS 07-08'!$G$94</f>
        <v>14856.5</v>
      </c>
    </row>
    <row r="19" spans="1:8" ht="12.75" customHeight="1">
      <c r="A19" s="2" t="s">
        <v>605</v>
      </c>
      <c r="B19" s="27">
        <f>+'Summary Medians from SPSS 07-08'!$G$105</f>
        <v>12988</v>
      </c>
      <c r="C19" s="27">
        <f>+'Summary Medians from SPSS 07-08'!$G$106</f>
        <v>9888</v>
      </c>
      <c r="D19" s="27">
        <f>+'Summary Medians from SPSS 07-08'!$G$107</f>
        <v>9453</v>
      </c>
      <c r="E19" s="27">
        <f>+'Summary Medians from SPSS 07-08'!$G$108</f>
        <v>9043</v>
      </c>
      <c r="F19" s="27">
        <f>+'Summary Medians from SPSS 07-08'!$G$109</f>
        <v>6714</v>
      </c>
      <c r="G19" s="27">
        <f>+'Summary Medians from SPSS 07-08'!$G$110</f>
        <v>0</v>
      </c>
      <c r="H19" s="246">
        <f>+'Summary Medians from SPSS 07-08'!$G$111</f>
        <v>9453</v>
      </c>
    </row>
    <row r="20" spans="1:8" ht="12.75" customHeight="1">
      <c r="A20" s="6" t="s">
        <v>606</v>
      </c>
      <c r="B20" s="27">
        <f>+'Summary Medians from SPSS 07-08'!$G$122</f>
        <v>22208</v>
      </c>
      <c r="C20" s="27">
        <f>+'Summary Medians from SPSS 07-08'!$G$123</f>
        <v>17439</v>
      </c>
      <c r="D20" s="27">
        <f>+'Summary Medians from SPSS 07-08'!$G$124</f>
        <v>17174</v>
      </c>
      <c r="E20" s="27">
        <f>+'Summary Medians from SPSS 07-08'!$G$125</f>
        <v>14500</v>
      </c>
      <c r="F20" s="27">
        <f>+'Summary Medians from SPSS 07-08'!$G$126</f>
        <v>0</v>
      </c>
      <c r="G20" s="27">
        <f>+'Summary Medians from SPSS 07-08'!$G$127</f>
        <v>20584</v>
      </c>
      <c r="H20" s="246">
        <f>+'Summary Medians from SPSS 07-08'!$G$128</f>
        <v>16162</v>
      </c>
    </row>
    <row r="21" spans="1:8" ht="12.75" customHeight="1">
      <c r="A21" s="6"/>
      <c r="B21" s="27"/>
      <c r="C21" s="27"/>
      <c r="D21" s="27"/>
      <c r="E21" s="27"/>
      <c r="F21" s="27"/>
      <c r="G21" s="27"/>
      <c r="H21" s="246"/>
    </row>
    <row r="22" spans="1:8" ht="12.75" customHeight="1">
      <c r="A22" s="2" t="s">
        <v>607</v>
      </c>
      <c r="B22" s="27">
        <f>+'Summary Medians from SPSS 07-08'!$G$139</f>
        <v>11581</v>
      </c>
      <c r="C22" s="27">
        <f>+'Summary Medians from SPSS 07-08'!$G$140</f>
        <v>10755</v>
      </c>
      <c r="D22" s="27">
        <f>+'Summary Medians from SPSS 07-08'!$G$141</f>
        <v>0</v>
      </c>
      <c r="E22" s="27">
        <f>+'Summary Medians from SPSS 07-08'!$G$142</f>
        <v>10034</v>
      </c>
      <c r="F22" s="27">
        <f>+'Summary Medians from SPSS 07-08'!$G$143</f>
        <v>10460.5</v>
      </c>
      <c r="G22" s="27">
        <f>+'Summary Medians from SPSS 07-08'!$G$144</f>
        <v>0</v>
      </c>
      <c r="H22" s="246">
        <f>+'Summary Medians from SPSS 07-08'!$G$145</f>
        <v>10491</v>
      </c>
    </row>
    <row r="23" spans="1:8" ht="12.75" customHeight="1">
      <c r="A23" s="2" t="s">
        <v>608</v>
      </c>
      <c r="B23" s="27">
        <f>+'Summary Medians from SPSS 07-08'!$G$156</f>
        <v>19151.5</v>
      </c>
      <c r="C23" s="27">
        <f>+'Summary Medians from SPSS 07-08'!$G$157</f>
        <v>14931</v>
      </c>
      <c r="D23" s="27">
        <f>+'Summary Medians from SPSS 07-08'!$G$158</f>
        <v>13813.5</v>
      </c>
      <c r="E23" s="27">
        <f>+'Summary Medians from SPSS 07-08'!$G$159</f>
        <v>13226</v>
      </c>
      <c r="F23" s="27">
        <f>+'Summary Medians from SPSS 07-08'!$G$160</f>
        <v>12353.5</v>
      </c>
      <c r="G23" s="27">
        <f>+'Summary Medians from SPSS 07-08'!$G$161</f>
        <v>13407</v>
      </c>
      <c r="H23" s="246">
        <f>+'Summary Medians from SPSS 07-08'!$G$162</f>
        <v>13983</v>
      </c>
    </row>
    <row r="24" spans="1:8" ht="12.75" customHeight="1">
      <c r="A24" s="2" t="s">
        <v>609</v>
      </c>
      <c r="B24" s="27">
        <f>+'Summary Medians from SPSS 07-08'!$G$173</f>
        <v>14818.35</v>
      </c>
      <c r="C24" s="27">
        <f>+'Summary Medians from SPSS 07-08'!$G$174</f>
        <v>0</v>
      </c>
      <c r="D24" s="27">
        <f>+'Summary Medians from SPSS 07-08'!$G$175</f>
        <v>9523.5</v>
      </c>
      <c r="E24" s="27">
        <f>+'Summary Medians from SPSS 07-08'!$G$176</f>
        <v>0</v>
      </c>
      <c r="F24" s="27">
        <f>+'Summary Medians from SPSS 07-08'!$G$177</f>
        <v>9202.5</v>
      </c>
      <c r="G24" s="27">
        <f>+'Summary Medians from SPSS 07-08'!$G$178</f>
        <v>8856.6</v>
      </c>
      <c r="H24" s="246">
        <f>+'Summary Medians from SPSS 07-08'!$G$179</f>
        <v>9314.1</v>
      </c>
    </row>
    <row r="25" spans="1:8" ht="12.75" customHeight="1">
      <c r="A25" s="2" t="s">
        <v>610</v>
      </c>
      <c r="B25" s="27">
        <f>+'Summary Medians from SPSS 07-08'!$G$190</f>
        <v>21716</v>
      </c>
      <c r="C25" s="27">
        <f>+'Summary Medians from SPSS 07-08'!$G$191</f>
        <v>0</v>
      </c>
      <c r="D25" s="27">
        <f>+'Summary Medians from SPSS 07-08'!$G$192</f>
        <v>18883</v>
      </c>
      <c r="E25" s="27">
        <f>+'Summary Medians from SPSS 07-08'!$G$193</f>
        <v>19291</v>
      </c>
      <c r="F25" s="27">
        <f>+'Summary Medians from SPSS 07-08'!$G$194</f>
        <v>14489</v>
      </c>
      <c r="G25" s="27">
        <f>+'Summary Medians from SPSS 07-08'!$G$195</f>
        <v>14837</v>
      </c>
      <c r="H25" s="246">
        <f>+'Summary Medians from SPSS 07-08'!$G$196</f>
        <v>16590</v>
      </c>
    </row>
    <row r="26" spans="1:8" ht="12.75" customHeight="1">
      <c r="A26" s="2"/>
      <c r="H26" s="247"/>
    </row>
    <row r="27" spans="1:8" ht="12.75" customHeight="1">
      <c r="A27" s="2" t="s">
        <v>611</v>
      </c>
      <c r="B27" s="27">
        <f>+'Summary Medians from SPSS 07-08'!$G$207</f>
        <v>18174</v>
      </c>
      <c r="C27" s="27">
        <f>+'Summary Medians from SPSS 07-08'!$G$208</f>
        <v>16630</v>
      </c>
      <c r="D27" s="27">
        <f>+'Summary Medians from SPSS 07-08'!$G$209</f>
        <v>15147.5</v>
      </c>
      <c r="E27" s="27">
        <f>+'Summary Medians from SPSS 07-08'!$G$210</f>
        <v>15385</v>
      </c>
      <c r="F27" s="27">
        <f>+'Summary Medians from SPSS 07-08'!$G$211</f>
        <v>15045</v>
      </c>
      <c r="G27" s="27">
        <f>+'Summary Medians from SPSS 07-08'!$G$212</f>
        <v>0</v>
      </c>
      <c r="H27" s="246">
        <f>+'Summary Medians from SPSS 07-08'!$G$213</f>
        <v>15256</v>
      </c>
    </row>
    <row r="28" spans="1:8" ht="12.75" customHeight="1">
      <c r="A28" s="6" t="s">
        <v>612</v>
      </c>
      <c r="B28" s="27">
        <f>+'Summary Medians from SPSS 07-08'!$G$224</f>
        <v>15856</v>
      </c>
      <c r="C28" s="27">
        <f>+'Summary Medians from SPSS 07-08'!$G$225</f>
        <v>14686</v>
      </c>
      <c r="D28" s="27">
        <f>+'Summary Medians from SPSS 07-08'!$G$226</f>
        <v>13768</v>
      </c>
      <c r="E28" s="27">
        <f>+'Summary Medians from SPSS 07-08'!$G$227</f>
        <v>12862.5</v>
      </c>
      <c r="F28" s="27">
        <f>+'Summary Medians from SPSS 07-08'!$G$228</f>
        <v>13184</v>
      </c>
      <c r="G28" s="27">
        <f>+'Summary Medians from SPSS 07-08'!$G$229</f>
        <v>13985</v>
      </c>
      <c r="H28" s="246">
        <f>+'Summary Medians from SPSS 07-08'!$G$230</f>
        <v>13900</v>
      </c>
    </row>
    <row r="29" spans="1:8" ht="12.75" customHeight="1">
      <c r="A29" s="2" t="s">
        <v>613</v>
      </c>
      <c r="B29" s="27">
        <f>+'Summary Medians from SPSS 07-08'!$G$241</f>
        <v>23762.5</v>
      </c>
      <c r="C29" s="27">
        <f>+'Summary Medians from SPSS 07-08'!$G$242</f>
        <v>19234</v>
      </c>
      <c r="D29" s="27">
        <f>+'Summary Medians from SPSS 07-08'!$G$243</f>
        <v>15948</v>
      </c>
      <c r="E29" s="27">
        <f>+'Summary Medians from SPSS 07-08'!$G$244</f>
        <v>14150</v>
      </c>
      <c r="F29" s="27">
        <f>+'Summary Medians from SPSS 07-08'!$G$245</f>
        <v>16673</v>
      </c>
      <c r="G29" s="27">
        <f>+'Summary Medians from SPSS 07-08'!$G$246</f>
        <v>17815</v>
      </c>
      <c r="H29" s="246">
        <f>+'Summary Medians from SPSS 07-08'!$G$247</f>
        <v>17567</v>
      </c>
    </row>
    <row r="30" spans="1:8" ht="12.75" customHeight="1">
      <c r="A30" s="9" t="s">
        <v>614</v>
      </c>
      <c r="B30" s="32">
        <f>+'Summary Medians from SPSS 07-08'!$G$258</f>
        <v>14600</v>
      </c>
      <c r="C30" s="32">
        <f>+'Summary Medians from SPSS 07-08'!$G$259</f>
        <v>0</v>
      </c>
      <c r="D30" s="32">
        <f>+'Summary Medians from SPSS 07-08'!$G$260</f>
        <v>11414</v>
      </c>
      <c r="E30" s="32">
        <f>+'Summary Medians from SPSS 07-08'!$G$261</f>
        <v>0</v>
      </c>
      <c r="F30" s="32">
        <f>+'Summary Medians from SPSS 07-08'!$G$262</f>
        <v>0</v>
      </c>
      <c r="G30" s="32">
        <f>+'Summary Medians from SPSS 07-08'!$G$263</f>
        <v>9975</v>
      </c>
      <c r="H30" s="248">
        <f>+'Summary Medians from SPSS 07-08'!$G$264</f>
        <v>10091</v>
      </c>
    </row>
    <row r="31" spans="1:8" ht="37.5" customHeight="1">
      <c r="A31" s="526" t="s">
        <v>617</v>
      </c>
      <c r="B31" s="526"/>
      <c r="C31" s="526"/>
      <c r="D31" s="526"/>
      <c r="E31" s="526"/>
      <c r="F31" s="526"/>
      <c r="G31" s="526"/>
      <c r="H31" s="526"/>
    </row>
    <row r="32" ht="15.75">
      <c r="H32" s="475" t="s">
        <v>37</v>
      </c>
    </row>
    <row r="33" ht="15.75">
      <c r="J33" t="s">
        <v>951</v>
      </c>
    </row>
    <row r="34" spans="10:16" ht="15.75">
      <c r="J34">
        <v>3</v>
      </c>
      <c r="K34">
        <f aca="true" t="shared" si="0" ref="K34:P49">J34+1</f>
        <v>4</v>
      </c>
      <c r="L34">
        <f t="shared" si="0"/>
        <v>5</v>
      </c>
      <c r="M34">
        <f t="shared" si="0"/>
        <v>6</v>
      </c>
      <c r="N34">
        <f t="shared" si="0"/>
        <v>7</v>
      </c>
      <c r="O34">
        <f t="shared" si="0"/>
        <v>8</v>
      </c>
      <c r="P34">
        <f t="shared" si="0"/>
        <v>9</v>
      </c>
    </row>
    <row r="35" spans="10:16" ht="15.75">
      <c r="J35">
        <f>J34+17</f>
        <v>20</v>
      </c>
      <c r="K35">
        <f t="shared" si="0"/>
        <v>21</v>
      </c>
      <c r="L35">
        <f t="shared" si="0"/>
        <v>22</v>
      </c>
      <c r="M35">
        <f t="shared" si="0"/>
        <v>23</v>
      </c>
      <c r="N35">
        <f t="shared" si="0"/>
        <v>24</v>
      </c>
      <c r="O35">
        <f t="shared" si="0"/>
        <v>25</v>
      </c>
      <c r="P35">
        <f t="shared" si="0"/>
        <v>26</v>
      </c>
    </row>
    <row r="36" spans="10:16" ht="15.75">
      <c r="J36">
        <f aca="true" t="shared" si="1" ref="J36:J50">J35+17</f>
        <v>37</v>
      </c>
      <c r="K36">
        <f t="shared" si="0"/>
        <v>38</v>
      </c>
      <c r="L36">
        <f t="shared" si="0"/>
        <v>39</v>
      </c>
      <c r="M36">
        <f t="shared" si="0"/>
        <v>40</v>
      </c>
      <c r="N36">
        <f t="shared" si="0"/>
        <v>41</v>
      </c>
      <c r="O36">
        <f t="shared" si="0"/>
        <v>42</v>
      </c>
      <c r="P36">
        <f t="shared" si="0"/>
        <v>43</v>
      </c>
    </row>
    <row r="37" spans="10:16" ht="15.75">
      <c r="J37">
        <f t="shared" si="1"/>
        <v>54</v>
      </c>
      <c r="K37">
        <f t="shared" si="0"/>
        <v>55</v>
      </c>
      <c r="L37">
        <f t="shared" si="0"/>
        <v>56</v>
      </c>
      <c r="M37">
        <f t="shared" si="0"/>
        <v>57</v>
      </c>
      <c r="N37">
        <f t="shared" si="0"/>
        <v>58</v>
      </c>
      <c r="O37">
        <f t="shared" si="0"/>
        <v>59</v>
      </c>
      <c r="P37">
        <f t="shared" si="0"/>
        <v>60</v>
      </c>
    </row>
    <row r="38" spans="10:16" ht="15.75">
      <c r="J38">
        <f t="shared" si="1"/>
        <v>71</v>
      </c>
      <c r="K38">
        <f t="shared" si="0"/>
        <v>72</v>
      </c>
      <c r="L38">
        <f t="shared" si="0"/>
        <v>73</v>
      </c>
      <c r="M38">
        <f t="shared" si="0"/>
        <v>74</v>
      </c>
      <c r="N38">
        <f t="shared" si="0"/>
        <v>75</v>
      </c>
      <c r="O38">
        <f t="shared" si="0"/>
        <v>76</v>
      </c>
      <c r="P38">
        <f t="shared" si="0"/>
        <v>77</v>
      </c>
    </row>
    <row r="39" spans="10:16" ht="15.75">
      <c r="J39">
        <f t="shared" si="1"/>
        <v>88</v>
      </c>
      <c r="K39">
        <f t="shared" si="0"/>
        <v>89</v>
      </c>
      <c r="L39">
        <f t="shared" si="0"/>
        <v>90</v>
      </c>
      <c r="M39">
        <f t="shared" si="0"/>
        <v>91</v>
      </c>
      <c r="N39">
        <f t="shared" si="0"/>
        <v>92</v>
      </c>
      <c r="O39">
        <f t="shared" si="0"/>
        <v>93</v>
      </c>
      <c r="P39">
        <f t="shared" si="0"/>
        <v>94</v>
      </c>
    </row>
    <row r="40" spans="10:16" ht="15.75">
      <c r="J40">
        <f t="shared" si="1"/>
        <v>105</v>
      </c>
      <c r="K40">
        <f t="shared" si="0"/>
        <v>106</v>
      </c>
      <c r="L40">
        <f t="shared" si="0"/>
        <v>107</v>
      </c>
      <c r="M40">
        <f t="shared" si="0"/>
        <v>108</v>
      </c>
      <c r="N40">
        <f t="shared" si="0"/>
        <v>109</v>
      </c>
      <c r="O40">
        <f t="shared" si="0"/>
        <v>110</v>
      </c>
      <c r="P40">
        <f t="shared" si="0"/>
        <v>111</v>
      </c>
    </row>
    <row r="41" spans="10:16" ht="15.75">
      <c r="J41">
        <f t="shared" si="1"/>
        <v>122</v>
      </c>
      <c r="K41">
        <f t="shared" si="0"/>
        <v>123</v>
      </c>
      <c r="L41">
        <f t="shared" si="0"/>
        <v>124</v>
      </c>
      <c r="M41">
        <f t="shared" si="0"/>
        <v>125</v>
      </c>
      <c r="N41">
        <f t="shared" si="0"/>
        <v>126</v>
      </c>
      <c r="O41">
        <f t="shared" si="0"/>
        <v>127</v>
      </c>
      <c r="P41">
        <f t="shared" si="0"/>
        <v>128</v>
      </c>
    </row>
    <row r="42" spans="10:16" ht="15.75">
      <c r="J42">
        <f t="shared" si="1"/>
        <v>139</v>
      </c>
      <c r="K42">
        <f t="shared" si="0"/>
        <v>140</v>
      </c>
      <c r="L42">
        <f t="shared" si="0"/>
        <v>141</v>
      </c>
      <c r="M42">
        <f t="shared" si="0"/>
        <v>142</v>
      </c>
      <c r="N42">
        <f t="shared" si="0"/>
        <v>143</v>
      </c>
      <c r="O42">
        <f t="shared" si="0"/>
        <v>144</v>
      </c>
      <c r="P42">
        <f t="shared" si="0"/>
        <v>145</v>
      </c>
    </row>
    <row r="43" spans="10:16" ht="15.75">
      <c r="J43">
        <f t="shared" si="1"/>
        <v>156</v>
      </c>
      <c r="K43">
        <f t="shared" si="0"/>
        <v>157</v>
      </c>
      <c r="L43">
        <f t="shared" si="0"/>
        <v>158</v>
      </c>
      <c r="M43">
        <f t="shared" si="0"/>
        <v>159</v>
      </c>
      <c r="N43">
        <f t="shared" si="0"/>
        <v>160</v>
      </c>
      <c r="O43">
        <f t="shared" si="0"/>
        <v>161</v>
      </c>
      <c r="P43">
        <f t="shared" si="0"/>
        <v>162</v>
      </c>
    </row>
    <row r="44" spans="10:16" ht="15.75">
      <c r="J44">
        <f t="shared" si="1"/>
        <v>173</v>
      </c>
      <c r="K44">
        <f t="shared" si="0"/>
        <v>174</v>
      </c>
      <c r="L44">
        <f t="shared" si="0"/>
        <v>175</v>
      </c>
      <c r="M44">
        <f t="shared" si="0"/>
        <v>176</v>
      </c>
      <c r="N44">
        <f t="shared" si="0"/>
        <v>177</v>
      </c>
      <c r="O44">
        <f t="shared" si="0"/>
        <v>178</v>
      </c>
      <c r="P44">
        <f t="shared" si="0"/>
        <v>179</v>
      </c>
    </row>
    <row r="45" spans="10:16" ht="15.75">
      <c r="J45">
        <f t="shared" si="1"/>
        <v>190</v>
      </c>
      <c r="K45">
        <f t="shared" si="0"/>
        <v>191</v>
      </c>
      <c r="L45">
        <f t="shared" si="0"/>
        <v>192</v>
      </c>
      <c r="M45">
        <f t="shared" si="0"/>
        <v>193</v>
      </c>
      <c r="N45">
        <f t="shared" si="0"/>
        <v>194</v>
      </c>
      <c r="O45">
        <f t="shared" si="0"/>
        <v>195</v>
      </c>
      <c r="P45">
        <f t="shared" si="0"/>
        <v>196</v>
      </c>
    </row>
    <row r="46" spans="10:16" ht="15.75">
      <c r="J46">
        <f t="shared" si="1"/>
        <v>207</v>
      </c>
      <c r="K46">
        <f t="shared" si="0"/>
        <v>208</v>
      </c>
      <c r="L46">
        <f t="shared" si="0"/>
        <v>209</v>
      </c>
      <c r="M46">
        <f t="shared" si="0"/>
        <v>210</v>
      </c>
      <c r="N46">
        <f t="shared" si="0"/>
        <v>211</v>
      </c>
      <c r="O46">
        <f t="shared" si="0"/>
        <v>212</v>
      </c>
      <c r="P46">
        <f t="shared" si="0"/>
        <v>213</v>
      </c>
    </row>
    <row r="47" spans="10:16" ht="15.75">
      <c r="J47">
        <f t="shared" si="1"/>
        <v>224</v>
      </c>
      <c r="K47">
        <f t="shared" si="0"/>
        <v>225</v>
      </c>
      <c r="L47">
        <f t="shared" si="0"/>
        <v>226</v>
      </c>
      <c r="M47">
        <f t="shared" si="0"/>
        <v>227</v>
      </c>
      <c r="N47">
        <f t="shared" si="0"/>
        <v>228</v>
      </c>
      <c r="O47">
        <f t="shared" si="0"/>
        <v>229</v>
      </c>
      <c r="P47">
        <f t="shared" si="0"/>
        <v>230</v>
      </c>
    </row>
    <row r="48" spans="10:16" ht="15.75">
      <c r="J48">
        <f t="shared" si="1"/>
        <v>241</v>
      </c>
      <c r="K48">
        <f t="shared" si="0"/>
        <v>242</v>
      </c>
      <c r="L48">
        <f t="shared" si="0"/>
        <v>243</v>
      </c>
      <c r="M48">
        <f t="shared" si="0"/>
        <v>244</v>
      </c>
      <c r="N48">
        <f t="shared" si="0"/>
        <v>245</v>
      </c>
      <c r="O48">
        <f t="shared" si="0"/>
        <v>246</v>
      </c>
      <c r="P48">
        <f t="shared" si="0"/>
        <v>247</v>
      </c>
    </row>
    <row r="49" spans="10:16" ht="15.75">
      <c r="J49">
        <f t="shared" si="1"/>
        <v>258</v>
      </c>
      <c r="K49">
        <f t="shared" si="0"/>
        <v>259</v>
      </c>
      <c r="L49">
        <f t="shared" si="0"/>
        <v>260</v>
      </c>
      <c r="M49">
        <f t="shared" si="0"/>
        <v>261</v>
      </c>
      <c r="N49">
        <f t="shared" si="0"/>
        <v>262</v>
      </c>
      <c r="O49">
        <f t="shared" si="0"/>
        <v>263</v>
      </c>
      <c r="P49">
        <f t="shared" si="0"/>
        <v>264</v>
      </c>
    </row>
    <row r="50" spans="10:16" ht="15.75">
      <c r="J50">
        <f t="shared" si="1"/>
        <v>275</v>
      </c>
      <c r="K50">
        <f aca="true" t="shared" si="2" ref="K50:P50">J50+1</f>
        <v>276</v>
      </c>
      <c r="L50">
        <f t="shared" si="2"/>
        <v>277</v>
      </c>
      <c r="M50">
        <f t="shared" si="2"/>
        <v>278</v>
      </c>
      <c r="N50">
        <f t="shared" si="2"/>
        <v>279</v>
      </c>
      <c r="O50">
        <f t="shared" si="2"/>
        <v>280</v>
      </c>
      <c r="P50">
        <f t="shared" si="2"/>
        <v>281</v>
      </c>
    </row>
  </sheetData>
  <sheetProtection/>
  <mergeCells count="1">
    <mergeCell ref="A31:H31"/>
  </mergeCells>
  <printOptions horizontalCentered="1"/>
  <pageMargins left="0.75" right="0.75" top="1" bottom="1" header="0.6" footer="0.5"/>
  <pageSetup firstPageNumber="109" useFirstPageNumber="1" horizontalDpi="600" verticalDpi="600" orientation="landscape" r:id="rId1"/>
  <headerFooter alignWithMargins="0">
    <oddHeader>&amp;R&amp;"Arial,Regular"&amp;8SREB-State Data Exchange</oddHeader>
    <oddFooter>&amp;C&amp;"ARIAL,Regular"&amp;10&amp;P</oddFooter>
  </headerFooter>
</worksheet>
</file>

<file path=xl/worksheets/sheet6.xml><?xml version="1.0" encoding="utf-8"?>
<worksheet xmlns="http://schemas.openxmlformats.org/spreadsheetml/2006/main" xmlns:r="http://schemas.openxmlformats.org/officeDocument/2006/relationships">
  <sheetPr>
    <tabColor indexed="16"/>
  </sheetPr>
  <dimension ref="A1:T52"/>
  <sheetViews>
    <sheetView showGridLines="0" showZeros="0" view="pageBreakPreview" zoomScale="75" zoomScaleSheetLayoutView="75" zoomScalePageLayoutView="0" workbookViewId="0" topLeftCell="A1">
      <selection activeCell="S9" sqref="S9"/>
    </sheetView>
  </sheetViews>
  <sheetFormatPr defaultColWidth="8.796875" defaultRowHeight="15"/>
  <cols>
    <col min="1" max="1" width="17.09765625" style="0" customWidth="1"/>
    <col min="2" max="8" width="8.59765625" style="0" customWidth="1"/>
    <col min="9" max="9" width="8.69921875" style="0" bestFit="1" customWidth="1"/>
    <col min="10" max="10" width="8.09765625" style="250" customWidth="1"/>
    <col min="11" max="11" width="10.5" style="0" customWidth="1"/>
  </cols>
  <sheetData>
    <row r="1" spans="1:10" ht="18">
      <c r="A1" s="527" t="s">
        <v>1009</v>
      </c>
      <c r="B1" s="527"/>
      <c r="C1" s="527"/>
      <c r="D1" s="527"/>
      <c r="E1" s="527"/>
      <c r="F1" s="527"/>
      <c r="G1" s="527"/>
      <c r="H1" s="527"/>
      <c r="I1" s="527"/>
      <c r="J1" s="527"/>
    </row>
    <row r="2" spans="1:10" s="109" customFormat="1" ht="12.75">
      <c r="A2" s="110"/>
      <c r="B2" s="110"/>
      <c r="C2" s="110"/>
      <c r="D2" s="110"/>
      <c r="E2" s="110"/>
      <c r="F2" s="110"/>
      <c r="G2" s="110"/>
      <c r="H2" s="110"/>
      <c r="I2" s="110"/>
      <c r="J2" s="240"/>
    </row>
    <row r="3" spans="1:10" s="109" customFormat="1" ht="15.75">
      <c r="A3" s="528" t="s">
        <v>597</v>
      </c>
      <c r="B3" s="528"/>
      <c r="C3" s="528"/>
      <c r="D3" s="528"/>
      <c r="E3" s="528"/>
      <c r="F3" s="528"/>
      <c r="G3" s="528"/>
      <c r="H3" s="528"/>
      <c r="I3" s="528"/>
      <c r="J3" s="528"/>
    </row>
    <row r="4" spans="1:10" ht="15.75">
      <c r="A4" s="528" t="s">
        <v>615</v>
      </c>
      <c r="B4" s="528"/>
      <c r="C4" s="528"/>
      <c r="D4" s="528"/>
      <c r="E4" s="528"/>
      <c r="F4" s="528"/>
      <c r="G4" s="528"/>
      <c r="H4" s="528"/>
      <c r="I4" s="528"/>
      <c r="J4" s="528"/>
    </row>
    <row r="5" spans="1:10" ht="15.75">
      <c r="A5" s="528" t="s">
        <v>950</v>
      </c>
      <c r="B5" s="528"/>
      <c r="C5" s="528"/>
      <c r="D5" s="528"/>
      <c r="E5" s="528"/>
      <c r="F5" s="528"/>
      <c r="G5" s="528"/>
      <c r="H5" s="528"/>
      <c r="I5" s="528"/>
      <c r="J5" s="528"/>
    </row>
    <row r="6" spans="1:10" s="109" customFormat="1" ht="12.75">
      <c r="A6" s="2"/>
      <c r="B6" s="2"/>
      <c r="C6" s="2"/>
      <c r="D6" s="2"/>
      <c r="E6" s="2"/>
      <c r="F6" s="2"/>
      <c r="G6" s="2"/>
      <c r="H6" s="2"/>
      <c r="I6" s="2"/>
      <c r="J6" s="17"/>
    </row>
    <row r="7" spans="1:10" s="109" customFormat="1" ht="12.75">
      <c r="A7" s="3"/>
      <c r="B7" s="13" t="s">
        <v>424</v>
      </c>
      <c r="C7" s="13"/>
      <c r="D7" s="13"/>
      <c r="E7" s="13"/>
      <c r="F7" s="115"/>
      <c r="G7" s="116" t="s">
        <v>829</v>
      </c>
      <c r="H7" s="13"/>
      <c r="I7" s="13"/>
      <c r="J7" s="249"/>
    </row>
    <row r="8" spans="1:10" s="14" customFormat="1" ht="30.75" customHeight="1">
      <c r="A8" s="147"/>
      <c r="B8" s="78" t="s">
        <v>943</v>
      </c>
      <c r="C8" s="146">
        <v>1</v>
      </c>
      <c r="D8" s="146">
        <v>2</v>
      </c>
      <c r="E8" s="146">
        <v>3</v>
      </c>
      <c r="F8" s="148" t="s">
        <v>519</v>
      </c>
      <c r="G8" s="146">
        <v>1</v>
      </c>
      <c r="H8" s="146">
        <v>2</v>
      </c>
      <c r="I8" s="57" t="s">
        <v>425</v>
      </c>
      <c r="J8" s="237" t="s">
        <v>519</v>
      </c>
    </row>
    <row r="9" spans="1:10" ht="9" customHeight="1">
      <c r="A9" s="5"/>
      <c r="B9" s="11"/>
      <c r="C9" s="11"/>
      <c r="D9" s="11"/>
      <c r="E9" s="64"/>
      <c r="F9" s="65"/>
      <c r="G9" s="71"/>
      <c r="H9" s="72"/>
      <c r="I9" s="72"/>
      <c r="J9" s="73"/>
    </row>
    <row r="10" spans="1:10" ht="12.75" customHeight="1">
      <c r="A10" s="6" t="s">
        <v>981</v>
      </c>
      <c r="B10" s="23">
        <f>'Summary Medians from SPSS 07-08'!$G282</f>
        <v>7210.65</v>
      </c>
      <c r="C10" s="23">
        <f>'Summary Medians from SPSS 07-08'!$G283</f>
        <v>7116.3</v>
      </c>
      <c r="D10" s="23">
        <f>'Summary Medians from SPSS 07-08'!$G284</f>
        <v>7494.5</v>
      </c>
      <c r="E10" s="23">
        <f>'Summary Medians from SPSS 07-08'!$G285</f>
        <v>6095.55</v>
      </c>
      <c r="F10" s="41">
        <f>+'Summary Medians from SPSS 07-08'!$G$286</f>
        <v>7010</v>
      </c>
      <c r="G10" s="24">
        <f>+'Summary Medians from SPSS 07-08'!$G$287</f>
        <v>2838</v>
      </c>
      <c r="H10" s="53">
        <f>+'Summary Medians from SPSS 07-08'!$G$288</f>
        <v>2745</v>
      </c>
      <c r="I10" s="66">
        <f>+'Summary Medians from SPSS 07-08'!$G$289</f>
        <v>1438</v>
      </c>
      <c r="J10" s="24">
        <f>+'Summary Medians from SPSS 07-08'!$G$290</f>
        <v>2609</v>
      </c>
    </row>
    <row r="11" spans="1:10" ht="6" customHeight="1">
      <c r="A11" s="6"/>
      <c r="B11" s="45"/>
      <c r="C11" s="45"/>
      <c r="D11" s="45"/>
      <c r="E11" s="45"/>
      <c r="F11" s="41"/>
      <c r="G11" s="26"/>
      <c r="H11" s="54"/>
      <c r="I11" s="59"/>
      <c r="J11" s="26"/>
    </row>
    <row r="12" spans="1:10" ht="12.75" customHeight="1">
      <c r="A12" s="2" t="s">
        <v>600</v>
      </c>
      <c r="B12" s="27">
        <f>'Summary Medians from SPSS 07-08'!$G10</f>
        <v>0</v>
      </c>
      <c r="C12" s="27">
        <f>'Summary Medians from SPSS 07-08'!$G11</f>
        <v>5085</v>
      </c>
      <c r="D12" s="27">
        <f>'Summary Medians from SPSS 07-08'!$G12</f>
        <v>4830</v>
      </c>
      <c r="E12" s="27">
        <f>'Summary Medians from SPSS 07-08'!$G13</f>
        <v>4830</v>
      </c>
      <c r="F12" s="41">
        <f>+'Summary Medians from SPSS 07-08'!$G$14</f>
        <v>4830</v>
      </c>
      <c r="G12" s="28">
        <f>+'Summary Medians from SPSS 07-08'!$G$15</f>
        <v>4830</v>
      </c>
      <c r="H12" s="31">
        <f>+'Summary Medians from SPSS 07-08'!$G$16</f>
        <v>4875</v>
      </c>
      <c r="I12" s="58">
        <f>+'Summary Medians from SPSS 07-08'!$G$17</f>
        <v>0</v>
      </c>
      <c r="J12" s="26">
        <f>+'Summary Medians from SPSS 07-08'!$G$18</f>
        <v>4830</v>
      </c>
    </row>
    <row r="13" spans="1:10" ht="12.75" customHeight="1">
      <c r="A13" s="2" t="s">
        <v>601</v>
      </c>
      <c r="B13" s="27">
        <f>'Summary Medians from SPSS 07-08'!$G27</f>
        <v>8950</v>
      </c>
      <c r="C13" s="27">
        <f>'Summary Medians from SPSS 07-08'!$G28</f>
        <v>3990</v>
      </c>
      <c r="D13" s="27">
        <f>'Summary Medians from SPSS 07-08'!$G29</f>
        <v>4167.5</v>
      </c>
      <c r="E13" s="27">
        <f>'Summary Medians from SPSS 07-08'!$G30</f>
        <v>3880</v>
      </c>
      <c r="F13" s="41">
        <f>+'Summary Medians from SPSS 07-08'!$G$31</f>
        <v>3930</v>
      </c>
      <c r="G13" s="28">
        <f>+'Summary Medians from SPSS 07-08'!$G$32</f>
        <v>0</v>
      </c>
      <c r="H13" s="31">
        <f>+'Summary Medians from SPSS 07-08'!$G$33</f>
        <v>0</v>
      </c>
      <c r="I13" s="58">
        <f>+'Summary Medians from SPSS 07-08'!$G$34</f>
        <v>0</v>
      </c>
      <c r="J13" s="26">
        <f>+'Summary Medians from SPSS 07-08'!$G$35</f>
        <v>0</v>
      </c>
    </row>
    <row r="14" spans="1:10" ht="12.75" customHeight="1">
      <c r="A14" s="2" t="s">
        <v>811</v>
      </c>
      <c r="B14" s="27">
        <f>'Summary Medians from SPSS 07-08'!$G44</f>
        <v>0</v>
      </c>
      <c r="C14" s="27">
        <f>'Summary Medians from SPSS 07-08'!$G45</f>
        <v>0</v>
      </c>
      <c r="D14" s="27">
        <f>'Summary Medians from SPSS 07-08'!$G46</f>
        <v>5748</v>
      </c>
      <c r="E14" s="27">
        <f>'Summary Medians from SPSS 07-08'!$G47</f>
        <v>5748</v>
      </c>
      <c r="F14" s="41">
        <f>+'Summary Medians from SPSS 07-08'!$G$48</f>
        <v>5748</v>
      </c>
      <c r="G14" s="28">
        <f>+'Summary Medians from SPSS 07-08'!$G$49</f>
        <v>0</v>
      </c>
      <c r="H14" s="31">
        <f>+'Summary Medians from SPSS 07-08'!$G$50</f>
        <v>0</v>
      </c>
      <c r="I14" s="58">
        <f>+'Summary Medians from SPSS 07-08'!$G$51</f>
        <v>0</v>
      </c>
      <c r="J14" s="26">
        <f>+'Summary Medians from SPSS 07-08'!$G$52</f>
        <v>0</v>
      </c>
    </row>
    <row r="15" spans="1:10" ht="12.75" customHeight="1">
      <c r="A15" s="8" t="s">
        <v>602</v>
      </c>
      <c r="B15" s="25">
        <f>'Summary Medians from SPSS 07-08'!$G61</f>
        <v>6862.8</v>
      </c>
      <c r="C15" s="25">
        <f>'Summary Medians from SPSS 07-08'!$G62</f>
        <v>7460.25</v>
      </c>
      <c r="D15" s="25">
        <f>'Summary Medians from SPSS 07-08'!$G63</f>
        <v>7581.6</v>
      </c>
      <c r="E15" s="25">
        <f>'Summary Medians from SPSS 07-08'!$G64</f>
        <v>7454.4</v>
      </c>
      <c r="F15" s="41">
        <f>+'Summary Medians from SPSS 07-08'!$G$65</f>
        <v>7460.25</v>
      </c>
      <c r="G15" s="26">
        <f>+'Summary Medians from SPSS 07-08'!$G$66</f>
        <v>0</v>
      </c>
      <c r="H15" s="54">
        <f>+'Summary Medians from SPSS 07-08'!$G$67</f>
        <v>0</v>
      </c>
      <c r="I15" s="59">
        <f>+'Summary Medians from SPSS 07-08'!$G$68</f>
        <v>0</v>
      </c>
      <c r="J15" s="26">
        <f>+'Summary Medians from SPSS 07-08'!$G$69</f>
        <v>0</v>
      </c>
    </row>
    <row r="16" spans="1:10" ht="6.75" customHeight="1">
      <c r="A16" s="8"/>
      <c r="B16" s="27"/>
      <c r="C16" s="27"/>
      <c r="D16" s="27"/>
      <c r="E16" s="27"/>
      <c r="F16" s="41"/>
      <c r="G16" s="26"/>
      <c r="H16" s="54"/>
      <c r="I16" s="59"/>
      <c r="J16" s="26"/>
    </row>
    <row r="17" spans="1:10" ht="12.75" customHeight="1">
      <c r="A17" s="6" t="s">
        <v>603</v>
      </c>
      <c r="B17" s="25">
        <f>'Summary Medians from SPSS 07-08'!$G78</f>
        <v>7704</v>
      </c>
      <c r="C17" s="25">
        <f>'Summary Medians from SPSS 07-08'!$G79</f>
        <v>7474</v>
      </c>
      <c r="D17" s="25">
        <f>'Summary Medians from SPSS 07-08'!$G80</f>
        <v>7708</v>
      </c>
      <c r="E17" s="25">
        <f>'Summary Medians from SPSS 07-08'!$G81</f>
        <v>7190</v>
      </c>
      <c r="F17" s="41">
        <f>+'Summary Medians from SPSS 07-08'!$G$82</f>
        <v>7362</v>
      </c>
      <c r="G17" s="26">
        <f>+'Summary Medians from SPSS 07-08'!$G$83</f>
        <v>2838</v>
      </c>
      <c r="H17" s="54">
        <f>+'Summary Medians from SPSS 07-08'!$G$84</f>
        <v>2835</v>
      </c>
      <c r="I17" s="59">
        <f>+'Summary Medians from SPSS 07-08'!$G$85</f>
        <v>0</v>
      </c>
      <c r="J17" s="26">
        <f>+'Summary Medians from SPSS 07-08'!$G$86</f>
        <v>2835</v>
      </c>
    </row>
    <row r="18" spans="1:10" ht="12.75" customHeight="1">
      <c r="A18" s="2" t="s">
        <v>604</v>
      </c>
      <c r="B18" s="27">
        <f>'Summary Medians from SPSS 07-08'!$G95</f>
        <v>0</v>
      </c>
      <c r="C18" s="27">
        <f>'Summary Medians from SPSS 07-08'!$G96</f>
        <v>10350</v>
      </c>
      <c r="D18" s="27">
        <f>'Summary Medians from SPSS 07-08'!$G97</f>
        <v>10350</v>
      </c>
      <c r="E18" s="27">
        <f>'Summary Medians from SPSS 07-08'!$G98</f>
        <v>10350</v>
      </c>
      <c r="F18" s="41">
        <f>+'Summary Medians from SPSS 07-08'!$G$99</f>
        <v>10350</v>
      </c>
      <c r="G18" s="28">
        <f>+'Summary Medians from SPSS 07-08'!$G$100</f>
        <v>10350</v>
      </c>
      <c r="H18" s="31">
        <f>+'Summary Medians from SPSS 07-08'!$G$101</f>
        <v>10350</v>
      </c>
      <c r="I18" s="58">
        <f>+'Summary Medians from SPSS 07-08'!$G$102</f>
        <v>0</v>
      </c>
      <c r="J18" s="26">
        <f>+'Summary Medians from SPSS 07-08'!$G$103</f>
        <v>10350</v>
      </c>
    </row>
    <row r="19" spans="1:10" ht="12.75" customHeight="1">
      <c r="A19" s="2" t="s">
        <v>605</v>
      </c>
      <c r="B19" s="25">
        <f>'Summary Medians from SPSS 07-08'!$G112</f>
        <v>5629</v>
      </c>
      <c r="C19" s="25">
        <f>'Summary Medians from SPSS 07-08'!$G113</f>
        <v>4908</v>
      </c>
      <c r="D19" s="25">
        <f>'Summary Medians from SPSS 07-08'!$G114</f>
        <v>4614</v>
      </c>
      <c r="E19" s="25">
        <f>'Summary Medians from SPSS 07-08'!$G115</f>
        <v>4002</v>
      </c>
      <c r="F19" s="41">
        <f>+'Summary Medians from SPSS 07-08'!$G$116</f>
        <v>4451</v>
      </c>
      <c r="G19" s="26">
        <f>+'Summary Medians from SPSS 07-08'!$G$117</f>
        <v>2698</v>
      </c>
      <c r="H19" s="54">
        <f>+'Summary Medians from SPSS 07-08'!$G$118</f>
        <v>2728</v>
      </c>
      <c r="I19" s="59">
        <f>+'Summary Medians from SPSS 07-08'!$G$119</f>
        <v>1438</v>
      </c>
      <c r="J19" s="26">
        <f>+'Summary Medians from SPSS 07-08'!$G$120</f>
        <v>1438</v>
      </c>
    </row>
    <row r="20" spans="1:10" ht="12.75" customHeight="1">
      <c r="A20" s="6" t="s">
        <v>606</v>
      </c>
      <c r="B20" s="25">
        <f>'Summary Medians from SPSS 07-08'!$G129</f>
        <v>0</v>
      </c>
      <c r="C20" s="25">
        <f>'Summary Medians from SPSS 07-08'!$G130</f>
        <v>8835</v>
      </c>
      <c r="D20" s="25">
        <f>'Summary Medians from SPSS 07-08'!$G131</f>
        <v>7161</v>
      </c>
      <c r="E20" s="25">
        <f>'Summary Medians from SPSS 07-08'!$G132</f>
        <v>6990</v>
      </c>
      <c r="F20" s="41">
        <f>+'Summary Medians from SPSS 07-08'!$G$133</f>
        <v>7348</v>
      </c>
      <c r="G20" s="26">
        <f>+'Summary Medians from SPSS 07-08'!$G$134</f>
        <v>0</v>
      </c>
      <c r="H20" s="54">
        <f>+'Summary Medians from SPSS 07-08'!$G$135</f>
        <v>0</v>
      </c>
      <c r="I20" s="59">
        <f>+'Summary Medians from SPSS 07-08'!$G$136</f>
        <v>0</v>
      </c>
      <c r="J20" s="26">
        <f>+'Summary Medians from SPSS 07-08'!$G$137</f>
        <v>0</v>
      </c>
    </row>
    <row r="21" spans="1:10" ht="6.75" customHeight="1">
      <c r="A21" s="6"/>
      <c r="B21" s="25"/>
      <c r="C21" s="25"/>
      <c r="D21" s="25"/>
      <c r="E21" s="25"/>
      <c r="F21" s="41"/>
      <c r="G21" s="26"/>
      <c r="H21" s="54"/>
      <c r="I21" s="59"/>
      <c r="J21" s="26"/>
    </row>
    <row r="22" spans="1:10" ht="12.75" customHeight="1">
      <c r="A22" s="2" t="s">
        <v>607</v>
      </c>
      <c r="B22" s="27">
        <f>'Summary Medians from SPSS 07-08'!$G146</f>
        <v>0</v>
      </c>
      <c r="C22" s="27">
        <f>'Summary Medians from SPSS 07-08'!$G147</f>
        <v>3700</v>
      </c>
      <c r="D22" s="27">
        <f>'Summary Medians from SPSS 07-08'!$G148</f>
        <v>3585</v>
      </c>
      <c r="E22" s="27">
        <f>'Summary Medians from SPSS 07-08'!$G149</f>
        <v>4600</v>
      </c>
      <c r="F22" s="41">
        <f>+'Summary Medians from SPSS 07-08'!$G$150</f>
        <v>3652</v>
      </c>
      <c r="G22" s="28">
        <f>+'Summary Medians from SPSS 07-08'!$G$151</f>
        <v>0</v>
      </c>
      <c r="H22" s="31">
        <f>+'Summary Medians from SPSS 07-08'!$G$152</f>
        <v>0</v>
      </c>
      <c r="I22" s="58">
        <f>+'Summary Medians from SPSS 07-08'!$G$153</f>
        <v>0</v>
      </c>
      <c r="J22" s="26">
        <f>+'Summary Medians from SPSS 07-08'!$G$154</f>
        <v>0</v>
      </c>
    </row>
    <row r="23" spans="1:10" ht="12.75" customHeight="1">
      <c r="A23" s="2" t="s">
        <v>608</v>
      </c>
      <c r="B23" s="27">
        <f>'Summary Medians from SPSS 07-08'!$G163</f>
        <v>0</v>
      </c>
      <c r="C23" s="27">
        <f>'Summary Medians from SPSS 07-08'!$G164</f>
        <v>7532</v>
      </c>
      <c r="D23" s="27">
        <f>'Summary Medians from SPSS 07-08'!$G165</f>
        <v>7530</v>
      </c>
      <c r="E23" s="27">
        <f>'Summary Medians from SPSS 07-08'!$G166</f>
        <v>7532</v>
      </c>
      <c r="F23" s="41">
        <f>+'Summary Medians from SPSS 07-08'!$G$167</f>
        <v>7531</v>
      </c>
      <c r="G23" s="28">
        <f>+'Summary Medians from SPSS 07-08'!$G$168</f>
        <v>0</v>
      </c>
      <c r="H23" s="31">
        <f>+'Summary Medians from SPSS 07-08'!$G$169</f>
        <v>0</v>
      </c>
      <c r="I23" s="58">
        <f>+'Summary Medians from SPSS 07-08'!$G$170</f>
        <v>0</v>
      </c>
      <c r="J23" s="25">
        <f>+'Summary Medians from SPSS 07-08'!$G$171</f>
        <v>0</v>
      </c>
    </row>
    <row r="24" spans="1:10" ht="12.75" customHeight="1">
      <c r="A24" s="2" t="s">
        <v>609</v>
      </c>
      <c r="B24" s="27">
        <f>'Summary Medians from SPSS 07-08'!$G180</f>
        <v>0</v>
      </c>
      <c r="C24" s="27">
        <f>'Summary Medians from SPSS 07-08'!$G181</f>
        <v>6559.95</v>
      </c>
      <c r="D24" s="27">
        <f>'Summary Medians from SPSS 07-08'!$G182</f>
        <v>7136.55</v>
      </c>
      <c r="E24" s="27">
        <f>'Summary Medians from SPSS 07-08'!$G183</f>
        <v>5765.7</v>
      </c>
      <c r="F24" s="41">
        <f>+'Summary Medians from SPSS 07-08'!$G$184</f>
        <v>6086.55</v>
      </c>
      <c r="G24" s="28">
        <f>+'Summary Medians from SPSS 07-08'!$G$185</f>
        <v>2700</v>
      </c>
      <c r="H24" s="31">
        <f>+'Summary Medians from SPSS 07-08'!$G$186</f>
        <v>2520</v>
      </c>
      <c r="I24" s="58">
        <f>+'Summary Medians from SPSS 07-08'!$G$187</f>
        <v>0</v>
      </c>
      <c r="J24" s="25">
        <f>+'Summary Medians from SPSS 07-08'!$G$188</f>
        <v>2610</v>
      </c>
    </row>
    <row r="25" spans="1:10" ht="12.75" customHeight="1">
      <c r="A25" s="2" t="s">
        <v>610</v>
      </c>
      <c r="B25" s="27">
        <f>'Summary Medians from SPSS 07-08'!$G197</f>
        <v>13912</v>
      </c>
      <c r="C25" s="27">
        <f>'Summary Medians from SPSS 07-08'!$G198</f>
        <v>6698</v>
      </c>
      <c r="D25" s="27">
        <f>'Summary Medians from SPSS 07-08'!$G199</f>
        <v>5286</v>
      </c>
      <c r="E25" s="27">
        <f>'Summary Medians from SPSS 07-08'!$G200</f>
        <v>9346</v>
      </c>
      <c r="F25" s="41">
        <f>+'Summary Medians from SPSS 07-08'!$G$201</f>
        <v>6594</v>
      </c>
      <c r="G25" s="28">
        <f>+'Summary Medians from SPSS 07-08'!$G$202</f>
        <v>0</v>
      </c>
      <c r="H25" s="31">
        <f>+'Summary Medians from SPSS 07-08'!$G$203</f>
        <v>0</v>
      </c>
      <c r="I25" s="58">
        <f>+'Summary Medians from SPSS 07-08'!$G$204</f>
        <v>0</v>
      </c>
      <c r="J25" s="25">
        <f>+'Summary Medians from SPSS 07-08'!$G$205</f>
        <v>0</v>
      </c>
    </row>
    <row r="26" spans="1:10" ht="8.25" customHeight="1">
      <c r="A26" s="2"/>
      <c r="B26" s="27"/>
      <c r="C26" s="27"/>
      <c r="D26" s="27"/>
      <c r="E26" s="27"/>
      <c r="F26" s="41"/>
      <c r="G26" s="28"/>
      <c r="H26" s="31"/>
      <c r="I26" s="58"/>
      <c r="J26" s="25"/>
    </row>
    <row r="27" spans="1:10" ht="12.75" customHeight="1">
      <c r="A27" s="2" t="s">
        <v>611</v>
      </c>
      <c r="B27" s="27">
        <f>'Summary Medians from SPSS 07-08'!$G214</f>
        <v>0</v>
      </c>
      <c r="C27" s="27">
        <f>'Summary Medians from SPSS 07-08'!$G215</f>
        <v>9725</v>
      </c>
      <c r="D27" s="27">
        <f>'Summary Medians from SPSS 07-08'!$G216</f>
        <v>9701</v>
      </c>
      <c r="E27" s="27">
        <f>'Summary Medians from SPSS 07-08'!$G217</f>
        <v>9711</v>
      </c>
      <c r="F27" s="41">
        <f>+'Summary Medians from SPSS 07-08'!$G$218</f>
        <v>9703</v>
      </c>
      <c r="G27" s="28">
        <f>+'Summary Medians from SPSS 07-08'!$G$219</f>
        <v>0</v>
      </c>
      <c r="H27" s="31">
        <f>+'Summary Medians from SPSS 07-08'!$G$220</f>
        <v>0</v>
      </c>
      <c r="I27" s="58">
        <f>+'Summary Medians from SPSS 07-08'!$G$221</f>
        <v>0</v>
      </c>
      <c r="J27" s="25">
        <f>+'Summary Medians from SPSS 07-08'!$G$222</f>
        <v>0</v>
      </c>
    </row>
    <row r="28" spans="1:10" ht="12.75" customHeight="1">
      <c r="A28" s="6" t="s">
        <v>612</v>
      </c>
      <c r="B28" s="27">
        <f>'Summary Medians from SPSS 07-08'!$G231</f>
        <v>0</v>
      </c>
      <c r="C28" s="27">
        <f>'Summary Medians from SPSS 07-08'!$G232</f>
        <v>2543.5</v>
      </c>
      <c r="D28" s="27">
        <f>'Summary Medians from SPSS 07-08'!$G233</f>
        <v>2160</v>
      </c>
      <c r="E28" s="27">
        <f>'Summary Medians from SPSS 07-08'!$G234</f>
        <v>2610</v>
      </c>
      <c r="F28" s="41">
        <f>+'Summary Medians from SPSS 07-08'!$G$235</f>
        <v>2337</v>
      </c>
      <c r="G28" s="28">
        <f>+'Summary Medians from SPSS 07-08'!$G$236</f>
        <v>0</v>
      </c>
      <c r="H28" s="31">
        <f>+'Summary Medians from SPSS 07-08'!$G$237</f>
        <v>0</v>
      </c>
      <c r="I28" s="58">
        <f>+'Summary Medians from SPSS 07-08'!$G$238</f>
        <v>0</v>
      </c>
      <c r="J28" s="25">
        <f>+'Summary Medians from SPSS 07-08'!$G$239</f>
        <v>0</v>
      </c>
    </row>
    <row r="29" spans="1:10" ht="12.75" customHeight="1">
      <c r="A29" s="2" t="s">
        <v>817</v>
      </c>
      <c r="B29" s="27">
        <f>'Summary Medians from SPSS 07-08'!$G248</f>
        <v>0</v>
      </c>
      <c r="C29" s="27">
        <f>'Summary Medians from SPSS 07-08'!$G249</f>
        <v>7659</v>
      </c>
      <c r="D29" s="27">
        <f>'Summary Medians from SPSS 07-08'!$G250</f>
        <v>7659</v>
      </c>
      <c r="E29" s="27">
        <f>'Summary Medians from SPSS 07-08'!$G251</f>
        <v>7659</v>
      </c>
      <c r="F29" s="41">
        <f>+'Summary Medians from SPSS 07-08'!$G$252</f>
        <v>7659</v>
      </c>
      <c r="G29" s="28">
        <f>+'Summary Medians from SPSS 07-08'!$G$253</f>
        <v>0</v>
      </c>
      <c r="H29" s="31">
        <f>+'Summary Medians from SPSS 07-08'!$G$254</f>
        <v>0</v>
      </c>
      <c r="I29" s="58">
        <f>+'Summary Medians from SPSS 07-08'!$G$255</f>
        <v>0</v>
      </c>
      <c r="J29" s="25">
        <f>+'Summary Medians from SPSS 07-08'!$G$256</f>
        <v>0</v>
      </c>
    </row>
    <row r="30" spans="1:10" ht="12.75" customHeight="1">
      <c r="A30" s="9" t="s">
        <v>614</v>
      </c>
      <c r="B30" s="29">
        <f>'Summary Medians from SPSS 07-08'!$G265</f>
        <v>6460</v>
      </c>
      <c r="C30" s="29">
        <f>'Summary Medians from SPSS 07-08'!$G266</f>
        <v>0</v>
      </c>
      <c r="D30" s="29">
        <f>'Summary Medians from SPSS 07-08'!$G267</f>
        <v>7966</v>
      </c>
      <c r="E30" s="29">
        <f>'Summary Medians from SPSS 07-08'!$G268</f>
        <v>8084</v>
      </c>
      <c r="F30" s="42">
        <f>+'Summary Medians from SPSS 07-08'!$G$269</f>
        <v>7966</v>
      </c>
      <c r="G30" s="30">
        <f>+'Summary Medians from SPSS 07-08'!$G$270</f>
        <v>0</v>
      </c>
      <c r="H30" s="29">
        <f>+'Summary Medians from SPSS 07-08'!$G$271</f>
        <v>0</v>
      </c>
      <c r="I30" s="60">
        <f>+'Summary Medians from SPSS 07-08'!$G$272</f>
        <v>0</v>
      </c>
      <c r="J30" s="29">
        <f>+'Summary Medians from SPSS 07-08'!$G$273</f>
        <v>0</v>
      </c>
    </row>
    <row r="31" spans="1:10" ht="15.75">
      <c r="A31" s="472" t="s">
        <v>253</v>
      </c>
      <c r="B31" s="1"/>
      <c r="C31" s="1"/>
      <c r="D31" s="1"/>
      <c r="E31" s="1"/>
      <c r="F31" s="1"/>
      <c r="G31" s="1"/>
      <c r="H31" s="1"/>
      <c r="I31" s="1"/>
      <c r="J31" s="36"/>
    </row>
    <row r="32" spans="1:10" ht="55.5" customHeight="1">
      <c r="A32" s="529" t="s">
        <v>40</v>
      </c>
      <c r="B32" s="529"/>
      <c r="C32" s="529"/>
      <c r="D32" s="529"/>
      <c r="E32" s="529"/>
      <c r="F32" s="529"/>
      <c r="G32" s="529"/>
      <c r="H32" s="529"/>
      <c r="I32" s="529"/>
      <c r="J32" s="529"/>
    </row>
    <row r="33" ht="15.75">
      <c r="J33" s="232" t="s">
        <v>37</v>
      </c>
    </row>
    <row r="35" ht="15.75">
      <c r="L35" t="s">
        <v>951</v>
      </c>
    </row>
    <row r="36" spans="12:20" ht="15.75">
      <c r="L36">
        <v>10</v>
      </c>
      <c r="M36">
        <f aca="true" t="shared" si="0" ref="M36:T36">L36+1</f>
        <v>11</v>
      </c>
      <c r="N36">
        <f t="shared" si="0"/>
        <v>12</v>
      </c>
      <c r="O36">
        <f t="shared" si="0"/>
        <v>13</v>
      </c>
      <c r="P36">
        <f t="shared" si="0"/>
        <v>14</v>
      </c>
      <c r="Q36">
        <f t="shared" si="0"/>
        <v>15</v>
      </c>
      <c r="R36">
        <f t="shared" si="0"/>
        <v>16</v>
      </c>
      <c r="S36">
        <f t="shared" si="0"/>
        <v>17</v>
      </c>
      <c r="T36">
        <f t="shared" si="0"/>
        <v>18</v>
      </c>
    </row>
    <row r="37" spans="1:20" ht="15.75">
      <c r="A37" t="s">
        <v>254</v>
      </c>
      <c r="L37">
        <f>L36+17</f>
        <v>27</v>
      </c>
      <c r="M37">
        <f aca="true" t="shared" si="1" ref="M37:R52">L37+1</f>
        <v>28</v>
      </c>
      <c r="N37">
        <f t="shared" si="1"/>
        <v>29</v>
      </c>
      <c r="O37">
        <f t="shared" si="1"/>
        <v>30</v>
      </c>
      <c r="P37">
        <f t="shared" si="1"/>
        <v>31</v>
      </c>
      <c r="Q37">
        <f t="shared" si="1"/>
        <v>32</v>
      </c>
      <c r="R37">
        <f t="shared" si="1"/>
        <v>33</v>
      </c>
      <c r="S37">
        <f aca="true" t="shared" si="2" ref="S37:T52">R37+1</f>
        <v>34</v>
      </c>
      <c r="T37">
        <f t="shared" si="2"/>
        <v>35</v>
      </c>
    </row>
    <row r="38" spans="12:20" ht="15.75">
      <c r="L38">
        <f aca="true" t="shared" si="3" ref="L38:L52">L37+17</f>
        <v>44</v>
      </c>
      <c r="M38">
        <f t="shared" si="1"/>
        <v>45</v>
      </c>
      <c r="N38">
        <f t="shared" si="1"/>
        <v>46</v>
      </c>
      <c r="O38">
        <f t="shared" si="1"/>
        <v>47</v>
      </c>
      <c r="P38">
        <f t="shared" si="1"/>
        <v>48</v>
      </c>
      <c r="Q38">
        <f t="shared" si="1"/>
        <v>49</v>
      </c>
      <c r="R38">
        <f t="shared" si="1"/>
        <v>50</v>
      </c>
      <c r="S38">
        <f t="shared" si="2"/>
        <v>51</v>
      </c>
      <c r="T38">
        <f t="shared" si="2"/>
        <v>52</v>
      </c>
    </row>
    <row r="39" spans="12:20" ht="15.75">
      <c r="L39">
        <f t="shared" si="3"/>
        <v>61</v>
      </c>
      <c r="M39">
        <f t="shared" si="1"/>
        <v>62</v>
      </c>
      <c r="N39">
        <f t="shared" si="1"/>
        <v>63</v>
      </c>
      <c r="O39">
        <f t="shared" si="1"/>
        <v>64</v>
      </c>
      <c r="P39">
        <f t="shared" si="1"/>
        <v>65</v>
      </c>
      <c r="Q39">
        <f t="shared" si="1"/>
        <v>66</v>
      </c>
      <c r="R39">
        <f t="shared" si="1"/>
        <v>67</v>
      </c>
      <c r="S39">
        <f t="shared" si="2"/>
        <v>68</v>
      </c>
      <c r="T39">
        <f t="shared" si="2"/>
        <v>69</v>
      </c>
    </row>
    <row r="40" spans="12:20" ht="15.75">
      <c r="L40">
        <f t="shared" si="3"/>
        <v>78</v>
      </c>
      <c r="M40">
        <f t="shared" si="1"/>
        <v>79</v>
      </c>
      <c r="N40">
        <f t="shared" si="1"/>
        <v>80</v>
      </c>
      <c r="O40">
        <f t="shared" si="1"/>
        <v>81</v>
      </c>
      <c r="P40">
        <f t="shared" si="1"/>
        <v>82</v>
      </c>
      <c r="Q40">
        <f t="shared" si="1"/>
        <v>83</v>
      </c>
      <c r="R40">
        <f t="shared" si="1"/>
        <v>84</v>
      </c>
      <c r="S40">
        <f t="shared" si="2"/>
        <v>85</v>
      </c>
      <c r="T40">
        <f t="shared" si="2"/>
        <v>86</v>
      </c>
    </row>
    <row r="41" spans="12:20" ht="15.75">
      <c r="L41">
        <f t="shared" si="3"/>
        <v>95</v>
      </c>
      <c r="M41">
        <f t="shared" si="1"/>
        <v>96</v>
      </c>
      <c r="N41">
        <f t="shared" si="1"/>
        <v>97</v>
      </c>
      <c r="O41">
        <f t="shared" si="1"/>
        <v>98</v>
      </c>
      <c r="P41">
        <f t="shared" si="1"/>
        <v>99</v>
      </c>
      <c r="Q41">
        <f t="shared" si="1"/>
        <v>100</v>
      </c>
      <c r="R41">
        <f t="shared" si="1"/>
        <v>101</v>
      </c>
      <c r="S41">
        <f t="shared" si="2"/>
        <v>102</v>
      </c>
      <c r="T41">
        <f t="shared" si="2"/>
        <v>103</v>
      </c>
    </row>
    <row r="42" spans="12:20" ht="15.75">
      <c r="L42">
        <f t="shared" si="3"/>
        <v>112</v>
      </c>
      <c r="M42">
        <f t="shared" si="1"/>
        <v>113</v>
      </c>
      <c r="N42">
        <f t="shared" si="1"/>
        <v>114</v>
      </c>
      <c r="O42">
        <f t="shared" si="1"/>
        <v>115</v>
      </c>
      <c r="P42">
        <f t="shared" si="1"/>
        <v>116</v>
      </c>
      <c r="Q42">
        <f t="shared" si="1"/>
        <v>117</v>
      </c>
      <c r="R42">
        <f t="shared" si="1"/>
        <v>118</v>
      </c>
      <c r="S42">
        <f t="shared" si="2"/>
        <v>119</v>
      </c>
      <c r="T42">
        <f t="shared" si="2"/>
        <v>120</v>
      </c>
    </row>
    <row r="43" spans="12:20" ht="15.75">
      <c r="L43">
        <f t="shared" si="3"/>
        <v>129</v>
      </c>
      <c r="M43">
        <f t="shared" si="1"/>
        <v>130</v>
      </c>
      <c r="N43">
        <f t="shared" si="1"/>
        <v>131</v>
      </c>
      <c r="O43">
        <f t="shared" si="1"/>
        <v>132</v>
      </c>
      <c r="P43">
        <f t="shared" si="1"/>
        <v>133</v>
      </c>
      <c r="Q43">
        <f t="shared" si="1"/>
        <v>134</v>
      </c>
      <c r="R43">
        <f t="shared" si="1"/>
        <v>135</v>
      </c>
      <c r="S43">
        <f t="shared" si="2"/>
        <v>136</v>
      </c>
      <c r="T43">
        <f t="shared" si="2"/>
        <v>137</v>
      </c>
    </row>
    <row r="44" spans="12:20" ht="15.75">
      <c r="L44">
        <f t="shared" si="3"/>
        <v>146</v>
      </c>
      <c r="M44">
        <f t="shared" si="1"/>
        <v>147</v>
      </c>
      <c r="N44">
        <f t="shared" si="1"/>
        <v>148</v>
      </c>
      <c r="O44">
        <f t="shared" si="1"/>
        <v>149</v>
      </c>
      <c r="P44">
        <f t="shared" si="1"/>
        <v>150</v>
      </c>
      <c r="Q44">
        <f t="shared" si="1"/>
        <v>151</v>
      </c>
      <c r="R44">
        <f t="shared" si="1"/>
        <v>152</v>
      </c>
      <c r="S44">
        <f t="shared" si="2"/>
        <v>153</v>
      </c>
      <c r="T44">
        <f t="shared" si="2"/>
        <v>154</v>
      </c>
    </row>
    <row r="45" spans="12:20" ht="15.75">
      <c r="L45">
        <f t="shared" si="3"/>
        <v>163</v>
      </c>
      <c r="M45">
        <f t="shared" si="1"/>
        <v>164</v>
      </c>
      <c r="N45">
        <f t="shared" si="1"/>
        <v>165</v>
      </c>
      <c r="O45">
        <f t="shared" si="1"/>
        <v>166</v>
      </c>
      <c r="P45">
        <f t="shared" si="1"/>
        <v>167</v>
      </c>
      <c r="Q45">
        <f t="shared" si="1"/>
        <v>168</v>
      </c>
      <c r="R45">
        <f t="shared" si="1"/>
        <v>169</v>
      </c>
      <c r="S45">
        <f t="shared" si="2"/>
        <v>170</v>
      </c>
      <c r="T45">
        <f t="shared" si="2"/>
        <v>171</v>
      </c>
    </row>
    <row r="46" spans="12:20" ht="15.75">
      <c r="L46">
        <f t="shared" si="3"/>
        <v>180</v>
      </c>
      <c r="M46">
        <f t="shared" si="1"/>
        <v>181</v>
      </c>
      <c r="N46">
        <f t="shared" si="1"/>
        <v>182</v>
      </c>
      <c r="O46">
        <f t="shared" si="1"/>
        <v>183</v>
      </c>
      <c r="P46">
        <f t="shared" si="1"/>
        <v>184</v>
      </c>
      <c r="Q46">
        <f t="shared" si="1"/>
        <v>185</v>
      </c>
      <c r="R46">
        <f t="shared" si="1"/>
        <v>186</v>
      </c>
      <c r="S46">
        <f t="shared" si="2"/>
        <v>187</v>
      </c>
      <c r="T46">
        <f t="shared" si="2"/>
        <v>188</v>
      </c>
    </row>
    <row r="47" spans="12:20" ht="15.75">
      <c r="L47">
        <f t="shared" si="3"/>
        <v>197</v>
      </c>
      <c r="M47">
        <f t="shared" si="1"/>
        <v>198</v>
      </c>
      <c r="N47">
        <f t="shared" si="1"/>
        <v>199</v>
      </c>
      <c r="O47">
        <f t="shared" si="1"/>
        <v>200</v>
      </c>
      <c r="P47">
        <f t="shared" si="1"/>
        <v>201</v>
      </c>
      <c r="Q47">
        <f t="shared" si="1"/>
        <v>202</v>
      </c>
      <c r="R47">
        <f t="shared" si="1"/>
        <v>203</v>
      </c>
      <c r="S47">
        <f t="shared" si="2"/>
        <v>204</v>
      </c>
      <c r="T47">
        <f t="shared" si="2"/>
        <v>205</v>
      </c>
    </row>
    <row r="48" spans="12:20" ht="15.75">
      <c r="L48">
        <f t="shared" si="3"/>
        <v>214</v>
      </c>
      <c r="M48">
        <f t="shared" si="1"/>
        <v>215</v>
      </c>
      <c r="N48">
        <f t="shared" si="1"/>
        <v>216</v>
      </c>
      <c r="O48">
        <f t="shared" si="1"/>
        <v>217</v>
      </c>
      <c r="P48">
        <f t="shared" si="1"/>
        <v>218</v>
      </c>
      <c r="Q48">
        <f t="shared" si="1"/>
        <v>219</v>
      </c>
      <c r="R48">
        <f t="shared" si="1"/>
        <v>220</v>
      </c>
      <c r="S48">
        <f t="shared" si="2"/>
        <v>221</v>
      </c>
      <c r="T48">
        <f t="shared" si="2"/>
        <v>222</v>
      </c>
    </row>
    <row r="49" spans="12:20" ht="15.75">
      <c r="L49">
        <f t="shared" si="3"/>
        <v>231</v>
      </c>
      <c r="M49">
        <f t="shared" si="1"/>
        <v>232</v>
      </c>
      <c r="N49">
        <f t="shared" si="1"/>
        <v>233</v>
      </c>
      <c r="O49">
        <f t="shared" si="1"/>
        <v>234</v>
      </c>
      <c r="P49">
        <f t="shared" si="1"/>
        <v>235</v>
      </c>
      <c r="Q49">
        <f t="shared" si="1"/>
        <v>236</v>
      </c>
      <c r="R49">
        <f t="shared" si="1"/>
        <v>237</v>
      </c>
      <c r="S49">
        <f t="shared" si="2"/>
        <v>238</v>
      </c>
      <c r="T49">
        <f t="shared" si="2"/>
        <v>239</v>
      </c>
    </row>
    <row r="50" spans="12:20" ht="15.75">
      <c r="L50">
        <f t="shared" si="3"/>
        <v>248</v>
      </c>
      <c r="M50">
        <f t="shared" si="1"/>
        <v>249</v>
      </c>
      <c r="N50">
        <f t="shared" si="1"/>
        <v>250</v>
      </c>
      <c r="O50">
        <f t="shared" si="1"/>
        <v>251</v>
      </c>
      <c r="P50">
        <f t="shared" si="1"/>
        <v>252</v>
      </c>
      <c r="Q50">
        <f t="shared" si="1"/>
        <v>253</v>
      </c>
      <c r="R50">
        <f t="shared" si="1"/>
        <v>254</v>
      </c>
      <c r="S50">
        <f t="shared" si="2"/>
        <v>255</v>
      </c>
      <c r="T50">
        <f t="shared" si="2"/>
        <v>256</v>
      </c>
    </row>
    <row r="51" spans="12:20" ht="15.75">
      <c r="L51">
        <f t="shared" si="3"/>
        <v>265</v>
      </c>
      <c r="M51">
        <f t="shared" si="1"/>
        <v>266</v>
      </c>
      <c r="N51">
        <f t="shared" si="1"/>
        <v>267</v>
      </c>
      <c r="O51">
        <f t="shared" si="1"/>
        <v>268</v>
      </c>
      <c r="P51">
        <f t="shared" si="1"/>
        <v>269</v>
      </c>
      <c r="Q51">
        <f t="shared" si="1"/>
        <v>270</v>
      </c>
      <c r="R51">
        <f t="shared" si="1"/>
        <v>271</v>
      </c>
      <c r="S51">
        <f t="shared" si="2"/>
        <v>272</v>
      </c>
      <c r="T51">
        <f t="shared" si="2"/>
        <v>273</v>
      </c>
    </row>
    <row r="52" spans="12:20" ht="15.75">
      <c r="L52">
        <f t="shared" si="3"/>
        <v>282</v>
      </c>
      <c r="M52">
        <f t="shared" si="1"/>
        <v>283</v>
      </c>
      <c r="N52">
        <f t="shared" si="1"/>
        <v>284</v>
      </c>
      <c r="O52">
        <f t="shared" si="1"/>
        <v>285</v>
      </c>
      <c r="P52">
        <f t="shared" si="1"/>
        <v>286</v>
      </c>
      <c r="Q52">
        <f t="shared" si="1"/>
        <v>287</v>
      </c>
      <c r="R52">
        <f t="shared" si="1"/>
        <v>288</v>
      </c>
      <c r="S52">
        <f t="shared" si="2"/>
        <v>289</v>
      </c>
      <c r="T52">
        <f t="shared" si="2"/>
        <v>290</v>
      </c>
    </row>
  </sheetData>
  <sheetProtection/>
  <mergeCells count="5">
    <mergeCell ref="A32:J32"/>
    <mergeCell ref="A1:J1"/>
    <mergeCell ref="A3:J3"/>
    <mergeCell ref="A4:J4"/>
    <mergeCell ref="A5:J5"/>
  </mergeCells>
  <printOptions horizontalCentered="1"/>
  <pageMargins left="0.75" right="0.75" top="1" bottom="1" header="0.6" footer="0.5"/>
  <pageSetup firstPageNumber="110" useFirstPageNumber="1" horizontalDpi="600" verticalDpi="600" orientation="landscape" r:id="rId1"/>
  <headerFooter alignWithMargins="0">
    <oddHeader>&amp;R&amp;"Arial,Regular"&amp;8SREB-State Data Exchange</oddHeader>
    <oddFooter>&amp;C&amp;"ARIAL,Regular"&amp;10&amp;P</oddFooter>
  </headerFooter>
</worksheet>
</file>

<file path=xl/worksheets/sheet7.xml><?xml version="1.0" encoding="utf-8"?>
<worksheet xmlns="http://schemas.openxmlformats.org/spreadsheetml/2006/main" xmlns:r="http://schemas.openxmlformats.org/officeDocument/2006/relationships">
  <sheetPr>
    <tabColor indexed="16"/>
  </sheetPr>
  <dimension ref="A1:Q52"/>
  <sheetViews>
    <sheetView showGridLines="0" showZeros="0" view="pageBreakPreview" zoomScale="75" zoomScaleSheetLayoutView="75" zoomScalePageLayoutView="0" workbookViewId="0" topLeftCell="A1">
      <selection activeCell="S9" sqref="S9"/>
    </sheetView>
  </sheetViews>
  <sheetFormatPr defaultColWidth="8.796875" defaultRowHeight="15"/>
  <cols>
    <col min="1" max="1" width="17.59765625" style="0" customWidth="1"/>
    <col min="2" max="7" width="8.59765625" style="0" customWidth="1"/>
    <col min="8" max="8" width="8.59765625" style="62" customWidth="1"/>
  </cols>
  <sheetData>
    <row r="1" spans="1:8" ht="18">
      <c r="A1" s="527" t="s">
        <v>919</v>
      </c>
      <c r="B1" s="527"/>
      <c r="C1" s="527"/>
      <c r="D1" s="527"/>
      <c r="E1" s="527"/>
      <c r="F1" s="527"/>
      <c r="G1" s="527"/>
      <c r="H1" s="527"/>
    </row>
    <row r="2" spans="1:7" ht="14.25" customHeight="1">
      <c r="A2" s="20"/>
      <c r="B2" s="20"/>
      <c r="C2" s="20"/>
      <c r="D2" s="20"/>
      <c r="E2" s="20"/>
      <c r="F2" s="20"/>
      <c r="G2" s="20"/>
    </row>
    <row r="3" spans="1:8" s="109" customFormat="1" ht="15.75">
      <c r="A3" s="528" t="s">
        <v>597</v>
      </c>
      <c r="B3" s="528"/>
      <c r="C3" s="528"/>
      <c r="D3" s="528"/>
      <c r="E3" s="528"/>
      <c r="F3" s="528"/>
      <c r="G3" s="528"/>
      <c r="H3" s="528"/>
    </row>
    <row r="4" spans="1:8" ht="15.75">
      <c r="A4" s="528" t="s">
        <v>616</v>
      </c>
      <c r="B4" s="528"/>
      <c r="C4" s="528"/>
      <c r="D4" s="528"/>
      <c r="E4" s="528"/>
      <c r="F4" s="528"/>
      <c r="G4" s="528"/>
      <c r="H4" s="528"/>
    </row>
    <row r="5" spans="1:8" ht="15.75">
      <c r="A5" s="528" t="s">
        <v>39</v>
      </c>
      <c r="B5" s="528"/>
      <c r="C5" s="528"/>
      <c r="D5" s="528"/>
      <c r="E5" s="528"/>
      <c r="F5" s="528"/>
      <c r="G5" s="528"/>
      <c r="H5" s="528"/>
    </row>
    <row r="6" spans="1:7" ht="9.75" customHeight="1">
      <c r="A6" s="12"/>
      <c r="B6" s="12"/>
      <c r="C6" s="12"/>
      <c r="D6" s="12"/>
      <c r="E6" s="12"/>
      <c r="F6" s="12"/>
      <c r="G6" s="12"/>
    </row>
    <row r="7" spans="1:8" s="109" customFormat="1" ht="12.75">
      <c r="A7" s="13"/>
      <c r="B7" s="13" t="s">
        <v>599</v>
      </c>
      <c r="C7" s="13"/>
      <c r="D7" s="13"/>
      <c r="E7" s="13"/>
      <c r="F7" s="13"/>
      <c r="G7" s="13"/>
      <c r="H7" s="251"/>
    </row>
    <row r="8" spans="1:8" s="14" customFormat="1" ht="15.75">
      <c r="A8" s="145"/>
      <c r="B8" s="146">
        <v>1</v>
      </c>
      <c r="C8" s="146">
        <v>2</v>
      </c>
      <c r="D8" s="146">
        <v>3</v>
      </c>
      <c r="E8" s="146">
        <v>4</v>
      </c>
      <c r="F8" s="146">
        <v>5</v>
      </c>
      <c r="G8" s="146">
        <v>6</v>
      </c>
      <c r="H8" s="244" t="s">
        <v>519</v>
      </c>
    </row>
    <row r="9" spans="2:7" ht="9" customHeight="1">
      <c r="B9" s="14"/>
      <c r="C9" s="14"/>
      <c r="D9" s="14"/>
      <c r="E9" s="14"/>
      <c r="F9" s="14"/>
      <c r="G9" s="74"/>
    </row>
    <row r="10" spans="1:8" ht="12.75" customHeight="1">
      <c r="A10" s="6" t="s">
        <v>981</v>
      </c>
      <c r="B10" s="79">
        <f>+'Summary Medians from SPSS 07-08'!$J$275</f>
        <v>6367</v>
      </c>
      <c r="C10" s="79">
        <f>+'Summary Medians from SPSS 07-08'!$J$276</f>
        <v>6353.64</v>
      </c>
      <c r="D10" s="79">
        <f>+'Summary Medians from SPSS 07-08'!$J$277</f>
        <v>4774.5</v>
      </c>
      <c r="E10" s="79">
        <f>+'Summary Medians from SPSS 07-08'!$J$278</f>
        <v>5108</v>
      </c>
      <c r="F10" s="79">
        <f>+'Summary Medians from SPSS 07-08'!$J$279</f>
        <v>4196.5</v>
      </c>
      <c r="G10" s="79">
        <f>+'Summary Medians from SPSS 07-08'!$J$280</f>
        <v>4746</v>
      </c>
      <c r="H10" s="245">
        <f>+'Summary Medians from SPSS 07-08'!$J$281</f>
        <v>5194</v>
      </c>
    </row>
    <row r="11" spans="1:8" ht="9" customHeight="1">
      <c r="A11" s="6"/>
      <c r="B11" s="45"/>
      <c r="C11" s="45"/>
      <c r="D11" s="45"/>
      <c r="E11" s="45"/>
      <c r="F11" s="45"/>
      <c r="G11" s="47"/>
      <c r="H11" s="252"/>
    </row>
    <row r="12" spans="1:8" ht="12.75" customHeight="1">
      <c r="A12" s="2" t="s">
        <v>600</v>
      </c>
      <c r="B12" s="27">
        <f>+'Summary Medians from SPSS 07-08'!$J$3</f>
        <v>5700</v>
      </c>
      <c r="C12" s="27">
        <f>+'Summary Medians from SPSS 07-08'!$J$4</f>
        <v>6548</v>
      </c>
      <c r="D12" s="27">
        <f>+'Summary Medians from SPSS 07-08'!$J$5</f>
        <v>5213</v>
      </c>
      <c r="E12" s="27">
        <f>+'Summary Medians from SPSS 07-08'!$J$6</f>
        <v>5108</v>
      </c>
      <c r="F12" s="27">
        <f>+'Summary Medians from SPSS 07-08'!$J$7</f>
        <v>5037</v>
      </c>
      <c r="G12" s="27">
        <f>+'Summary Medians from SPSS 07-08'!$J$8</f>
        <v>0</v>
      </c>
      <c r="H12" s="246">
        <f>+'Summary Medians from SPSS 07-08'!$J$9</f>
        <v>5192</v>
      </c>
    </row>
    <row r="13" spans="1:8" ht="12.75" customHeight="1">
      <c r="A13" s="2" t="s">
        <v>601</v>
      </c>
      <c r="B13" s="27">
        <f>+'Summary Medians from SPSS 07-08'!$J$20</f>
        <v>7708</v>
      </c>
      <c r="C13" s="27">
        <f>+'Summary Medians from SPSS 07-08'!$J$21</f>
        <v>0</v>
      </c>
      <c r="D13" s="27">
        <f>+'Summary Medians from SPSS 07-08'!$J$22</f>
        <v>5943</v>
      </c>
      <c r="E13" s="27">
        <f>+'Summary Medians from SPSS 07-08'!$J$23</f>
        <v>5113.5</v>
      </c>
      <c r="F13" s="27">
        <f>+'Summary Medians from SPSS 07-08'!$J$24</f>
        <v>4764</v>
      </c>
      <c r="G13" s="27">
        <f>+'Summary Medians from SPSS 07-08'!$J$25</f>
        <v>4377</v>
      </c>
      <c r="H13" s="246">
        <f>+'Summary Medians from SPSS 07-08'!$J$26</f>
        <v>5555</v>
      </c>
    </row>
    <row r="14" spans="1:8" ht="12.75" customHeight="1">
      <c r="A14" s="2" t="s">
        <v>811</v>
      </c>
      <c r="B14" s="27">
        <f>+'Summary Medians from SPSS 07-08'!$J$37</f>
        <v>7994</v>
      </c>
      <c r="C14" s="27">
        <f>+'Summary Medians from SPSS 07-08'!$J$38</f>
        <v>0</v>
      </c>
      <c r="D14" s="27">
        <f>+'Summary Medians from SPSS 07-08'!$J$39</f>
        <v>0</v>
      </c>
      <c r="E14" s="27">
        <f>+'Summary Medians from SPSS 07-08'!$J$40</f>
        <v>6542</v>
      </c>
      <c r="F14" s="27">
        <f>+'Summary Medians from SPSS 07-08'!$J$41</f>
        <v>0</v>
      </c>
      <c r="G14" s="27">
        <f>+'Summary Medians from SPSS 07-08'!$J$42</f>
        <v>0</v>
      </c>
      <c r="H14" s="246">
        <f>+'Summary Medians from SPSS 07-08'!$J$43</f>
        <v>7268</v>
      </c>
    </row>
    <row r="15" spans="1:8" ht="12.75" customHeight="1">
      <c r="A15" s="6" t="s">
        <v>602</v>
      </c>
      <c r="B15" s="27">
        <f>+'Summary Medians from SPSS 07-08'!$J$54</f>
        <v>6580.36</v>
      </c>
      <c r="C15" s="27">
        <f>+'Summary Medians from SPSS 07-08'!$J$55</f>
        <v>6415.64</v>
      </c>
      <c r="D15" s="27">
        <f>+'Summary Medians from SPSS 07-08'!$J$56</f>
        <v>6054.48</v>
      </c>
      <c r="E15" s="27">
        <f>+'Summary Medians from SPSS 07-08'!$J$57</f>
        <v>0</v>
      </c>
      <c r="F15" s="27">
        <f>+'Summary Medians from SPSS 07-08'!$J$58</f>
        <v>5835.12</v>
      </c>
      <c r="G15" s="27">
        <f>+'Summary Medians from SPSS 07-08'!$J$59</f>
        <v>0</v>
      </c>
      <c r="H15" s="246">
        <f>+'Summary Medians from SPSS 07-08'!$J$60</f>
        <v>6326.88</v>
      </c>
    </row>
    <row r="16" spans="1:8" ht="9" customHeight="1">
      <c r="A16" s="6"/>
      <c r="B16" s="27"/>
      <c r="C16" s="27"/>
      <c r="D16" s="27"/>
      <c r="E16" s="27"/>
      <c r="F16" s="27"/>
      <c r="G16" s="27"/>
      <c r="H16" s="246"/>
    </row>
    <row r="17" spans="1:8" ht="12.75" customHeight="1">
      <c r="A17" s="6" t="s">
        <v>603</v>
      </c>
      <c r="B17" s="27">
        <f>+'Summary Medians from SPSS 07-08'!$J$71</f>
        <v>6228</v>
      </c>
      <c r="C17" s="27">
        <f>+'Summary Medians from SPSS 07-08'!$J$72</f>
        <v>6444</v>
      </c>
      <c r="D17" s="27">
        <f>+'Summary Medians from SPSS 07-08'!$J$73</f>
        <v>4596</v>
      </c>
      <c r="E17" s="27">
        <f>+'Summary Medians from SPSS 07-08'!$J$74</f>
        <v>4056</v>
      </c>
      <c r="F17" s="27">
        <f>+'Summary Medians from SPSS 07-08'!$J$75</f>
        <v>3906</v>
      </c>
      <c r="G17" s="27">
        <f>+'Summary Medians from SPSS 07-08'!$J$76</f>
        <v>4194</v>
      </c>
      <c r="H17" s="246">
        <f>+'Summary Medians from SPSS 07-08'!$J$77</f>
        <v>4194</v>
      </c>
    </row>
    <row r="18" spans="1:8" ht="12.75" customHeight="1">
      <c r="A18" s="2" t="s">
        <v>604</v>
      </c>
      <c r="B18" s="27">
        <f>+'Summary Medians from SPSS 07-08'!$J$88</f>
        <v>7670</v>
      </c>
      <c r="C18" s="27">
        <f>+'Summary Medians from SPSS 07-08'!$J$89</f>
        <v>7458</v>
      </c>
      <c r="D18" s="27">
        <f>+'Summary Medians from SPSS 07-08'!$J$90</f>
        <v>6156</v>
      </c>
      <c r="E18" s="27">
        <f>+'Summary Medians from SPSS 07-08'!$J$91</f>
        <v>6909</v>
      </c>
      <c r="F18" s="27">
        <f>+'Summary Medians from SPSS 07-08'!$J$92</f>
        <v>5400</v>
      </c>
      <c r="G18" s="27">
        <f>+'Summary Medians from SPSS 07-08'!$J$93</f>
        <v>0</v>
      </c>
      <c r="H18" s="246">
        <f>+'Summary Medians from SPSS 07-08'!$J$94</f>
        <v>6585</v>
      </c>
    </row>
    <row r="19" spans="1:8" ht="12.75" customHeight="1">
      <c r="A19" s="2" t="s">
        <v>605</v>
      </c>
      <c r="B19" s="27">
        <f>+'Summary Medians from SPSS 07-08'!$J$105</f>
        <v>4622</v>
      </c>
      <c r="C19" s="27">
        <f>+'Summary Medians from SPSS 07-08'!$J$106</f>
        <v>3918</v>
      </c>
      <c r="D19" s="27">
        <f>+'Summary Medians from SPSS 07-08'!$J$107</f>
        <v>3511</v>
      </c>
      <c r="E19" s="27">
        <f>+'Summary Medians from SPSS 07-08'!$J$108</f>
        <v>3641</v>
      </c>
      <c r="F19" s="27">
        <f>+'Summary Medians from SPSS 07-08'!$J$109</f>
        <v>3792</v>
      </c>
      <c r="G19" s="27">
        <f>+'Summary Medians from SPSS 07-08'!$J$110</f>
        <v>0</v>
      </c>
      <c r="H19" s="246">
        <f>+'Summary Medians from SPSS 07-08'!$J$111</f>
        <v>3684</v>
      </c>
    </row>
    <row r="20" spans="1:8" ht="12.75" customHeight="1">
      <c r="A20" s="6" t="s">
        <v>606</v>
      </c>
      <c r="B20" s="27">
        <f>+'Summary Medians from SPSS 07-08'!$J$122</f>
        <v>11328</v>
      </c>
      <c r="C20" s="27">
        <f>+'Summary Medians from SPSS 07-08'!$J$123</f>
        <v>12192</v>
      </c>
      <c r="D20" s="27">
        <f>+'Summary Medians from SPSS 07-08'!$J$124</f>
        <v>8808</v>
      </c>
      <c r="E20" s="27">
        <f>+'Summary Medians from SPSS 07-08'!$J$125</f>
        <v>8767</v>
      </c>
      <c r="F20" s="27">
        <f>+'Summary Medians from SPSS 07-08'!$J$126</f>
        <v>0</v>
      </c>
      <c r="G20" s="27">
        <f>+'Summary Medians from SPSS 07-08'!$J$127</f>
        <v>11989</v>
      </c>
      <c r="H20" s="246">
        <f>+'Summary Medians from SPSS 07-08'!$J$128</f>
        <v>9024</v>
      </c>
    </row>
    <row r="21" spans="1:8" ht="9" customHeight="1">
      <c r="A21" s="6"/>
      <c r="B21" s="27"/>
      <c r="C21" s="27"/>
      <c r="D21" s="27"/>
      <c r="E21" s="27"/>
      <c r="F21" s="27"/>
      <c r="G21" s="27"/>
      <c r="H21" s="246"/>
    </row>
    <row r="22" spans="1:8" ht="12.75" customHeight="1">
      <c r="A22" s="2" t="s">
        <v>607</v>
      </c>
      <c r="B22" s="27">
        <f>+'Summary Medians from SPSS 07-08'!$J$139</f>
        <v>4946.5</v>
      </c>
      <c r="C22" s="27">
        <f>+'Summary Medians from SPSS 07-08'!$J$140</f>
        <v>4705.5</v>
      </c>
      <c r="D22" s="27">
        <f>+'Summary Medians from SPSS 07-08'!$J$141</f>
        <v>0</v>
      </c>
      <c r="E22" s="27">
        <f>+'Summary Medians from SPSS 07-08'!$J$142</f>
        <v>4286</v>
      </c>
      <c r="F22" s="27">
        <f>+'Summary Medians from SPSS 07-08'!$J$143</f>
        <v>4393.5</v>
      </c>
      <c r="G22" s="27">
        <f>+'Summary Medians from SPSS 07-08'!$J$144</f>
        <v>0</v>
      </c>
      <c r="H22" s="246">
        <f>+'Summary Medians from SPSS 07-08'!$J$145</f>
        <v>4527.5</v>
      </c>
    </row>
    <row r="23" spans="1:8" ht="12.75" customHeight="1">
      <c r="A23" s="2" t="s">
        <v>608</v>
      </c>
      <c r="B23" s="27">
        <f>+'Summary Medians from SPSS 07-08'!$J$156</f>
        <v>5936</v>
      </c>
      <c r="C23" s="27">
        <f>+'Summary Medians from SPSS 07-08'!$J$157</f>
        <v>4480</v>
      </c>
      <c r="D23" s="27">
        <f>+'Summary Medians from SPSS 07-08'!$J$158</f>
        <v>4495</v>
      </c>
      <c r="E23" s="27">
        <f>+'Summary Medians from SPSS 07-08'!$J$159</f>
        <v>3336</v>
      </c>
      <c r="F23" s="27">
        <f>+'Summary Medians from SPSS 07-08'!$J$160</f>
        <v>3424.5</v>
      </c>
      <c r="G23" s="27">
        <f>+'Summary Medians from SPSS 07-08'!$J$161</f>
        <v>3702</v>
      </c>
      <c r="H23" s="246">
        <f>+'Summary Medians from SPSS 07-08'!$J$162</f>
        <v>4413</v>
      </c>
    </row>
    <row r="24" spans="1:8" ht="12.75" customHeight="1">
      <c r="A24" s="2" t="s">
        <v>609</v>
      </c>
      <c r="B24" s="27">
        <f>+'Summary Medians from SPSS 07-08'!$J$173</f>
        <v>5856.93</v>
      </c>
      <c r="C24" s="27">
        <f>+'Summary Medians from SPSS 07-08'!$J$174</f>
        <v>0</v>
      </c>
      <c r="D24" s="27">
        <f>+'Summary Medians from SPSS 07-08'!$J$175</f>
        <v>3833.4</v>
      </c>
      <c r="E24" s="27">
        <f>+'Summary Medians from SPSS 07-08'!$J$176</f>
        <v>0</v>
      </c>
      <c r="F24" s="27">
        <f>+'Summary Medians from SPSS 07-08'!$J$177</f>
        <v>3632.4</v>
      </c>
      <c r="G24" s="27">
        <f>+'Summary Medians from SPSS 07-08'!$J$178</f>
        <v>0</v>
      </c>
      <c r="H24" s="246">
        <f>+'Summary Medians from SPSS 07-08'!$J$179</f>
        <v>3727.56</v>
      </c>
    </row>
    <row r="25" spans="1:8" ht="12.75" customHeight="1">
      <c r="A25" s="2" t="s">
        <v>610</v>
      </c>
      <c r="B25" s="27">
        <f>+'Summary Medians from SPSS 07-08'!$J$190</f>
        <v>8036</v>
      </c>
      <c r="C25" s="27">
        <f>+'Summary Medians from SPSS 07-08'!$J$191</f>
        <v>0</v>
      </c>
      <c r="D25" s="27">
        <f>+'Summary Medians from SPSS 07-08'!$J$192</f>
        <v>8806</v>
      </c>
      <c r="E25" s="27">
        <f>+'Summary Medians from SPSS 07-08'!$J$193</f>
        <v>6735</v>
      </c>
      <c r="F25" s="27">
        <f>+'Summary Medians from SPSS 07-08'!$J$194</f>
        <v>7278</v>
      </c>
      <c r="G25" s="27">
        <f>+'Summary Medians from SPSS 07-08'!$J$195</f>
        <v>9288</v>
      </c>
      <c r="H25" s="246">
        <f>+'Summary Medians from SPSS 07-08'!$J$196</f>
        <v>7778</v>
      </c>
    </row>
    <row r="26" spans="1:8" ht="9" customHeight="1">
      <c r="A26" s="2"/>
      <c r="H26" s="247"/>
    </row>
    <row r="27" spans="1:8" ht="12.75" customHeight="1">
      <c r="A27" s="2" t="s">
        <v>611</v>
      </c>
      <c r="B27" s="27">
        <f>+'Summary Medians from SPSS 07-08'!$J$207</f>
        <v>6720</v>
      </c>
      <c r="C27" s="27">
        <f>+'Summary Medians from SPSS 07-08'!$J$208</f>
        <v>6990</v>
      </c>
      <c r="D27" s="27">
        <f>+'Summary Medians from SPSS 07-08'!$J$209</f>
        <v>6259.5</v>
      </c>
      <c r="E27" s="27">
        <f>+'Summary Medians from SPSS 07-08'!$J$210</f>
        <v>6497</v>
      </c>
      <c r="F27" s="27">
        <f>+'Summary Medians from SPSS 07-08'!$J$211</f>
        <v>5803</v>
      </c>
      <c r="G27" s="27">
        <f>+'Summary Medians from SPSS 07-08'!$J$212</f>
        <v>0</v>
      </c>
      <c r="H27" s="246">
        <f>+'Summary Medians from SPSS 07-08'!$J$213</f>
        <v>6368</v>
      </c>
    </row>
    <row r="28" spans="1:8" ht="12.75" customHeight="1">
      <c r="A28" s="6" t="s">
        <v>612</v>
      </c>
      <c r="B28" s="27">
        <f>+'Summary Medians from SPSS 07-08'!$J$224</f>
        <v>6338.5</v>
      </c>
      <c r="C28" s="27">
        <f>+'Summary Medians from SPSS 07-08'!$J$225</f>
        <v>5654</v>
      </c>
      <c r="D28" s="27">
        <f>+'Summary Medians from SPSS 07-08'!$J$226</f>
        <v>4372</v>
      </c>
      <c r="E28" s="27">
        <f>+'Summary Medians from SPSS 07-08'!$J$227</f>
        <v>3677.5</v>
      </c>
      <c r="F28" s="27">
        <f>+'Summary Medians from SPSS 07-08'!$J$228</f>
        <v>4184</v>
      </c>
      <c r="G28" s="27">
        <f>+'Summary Medians from SPSS 07-08'!$J$229</f>
        <v>6567</v>
      </c>
      <c r="H28" s="246">
        <f>+'Summary Medians from SPSS 07-08'!$J$230</f>
        <v>4474</v>
      </c>
    </row>
    <row r="29" spans="1:8" ht="12.75" customHeight="1">
      <c r="A29" s="2" t="s">
        <v>613</v>
      </c>
      <c r="B29" s="27">
        <f>+'Summary Medians from SPSS 07-08'!$J$241</f>
        <v>10113</v>
      </c>
      <c r="C29" s="27">
        <f>+'Summary Medians from SPSS 07-08'!$J$242</f>
        <v>8496</v>
      </c>
      <c r="D29" s="27">
        <f>+'Summary Medians from SPSS 07-08'!$J$243</f>
        <v>6703</v>
      </c>
      <c r="E29" s="27">
        <f>+'Summary Medians from SPSS 07-08'!$J$244</f>
        <v>6960.5</v>
      </c>
      <c r="F29" s="27">
        <f>+'Summary Medians from SPSS 07-08'!$J$245</f>
        <v>5999.5</v>
      </c>
      <c r="G29" s="27">
        <f>+'Summary Medians from SPSS 07-08'!$J$246</f>
        <v>0</v>
      </c>
      <c r="H29" s="246">
        <f>+'Summary Medians from SPSS 07-08'!$J$247</f>
        <v>7338</v>
      </c>
    </row>
    <row r="30" spans="1:8" ht="12.75" customHeight="1">
      <c r="A30" s="9" t="s">
        <v>614</v>
      </c>
      <c r="B30" s="32">
        <f>+'Summary Medians from SPSS 07-08'!$J$258</f>
        <v>5196</v>
      </c>
      <c r="C30" s="32">
        <f>+'Summary Medians from SPSS 07-08'!$J$259</f>
        <v>0</v>
      </c>
      <c r="D30" s="32">
        <f>+'Summary Medians from SPSS 07-08'!$J$260</f>
        <v>4606</v>
      </c>
      <c r="E30" s="32">
        <f>+'Summary Medians from SPSS 07-08'!$J$261</f>
        <v>0</v>
      </c>
      <c r="F30" s="32">
        <f>+'Summary Medians from SPSS 07-08'!$J$262</f>
        <v>0</v>
      </c>
      <c r="G30" s="32">
        <f>+'Summary Medians from SPSS 07-08'!$J$263</f>
        <v>4746</v>
      </c>
      <c r="H30" s="248">
        <f>+'Summary Medians from SPSS 07-08'!$J$264</f>
        <v>4746</v>
      </c>
    </row>
    <row r="31" spans="2:7" ht="9" customHeight="1">
      <c r="B31" s="14"/>
      <c r="C31" s="14"/>
      <c r="D31" s="14"/>
      <c r="E31" s="14"/>
      <c r="F31" s="14"/>
      <c r="G31" s="14"/>
    </row>
    <row r="32" spans="1:8" ht="33.75" customHeight="1">
      <c r="A32" s="526" t="s">
        <v>261</v>
      </c>
      <c r="B32" s="530"/>
      <c r="C32" s="530"/>
      <c r="D32" s="530"/>
      <c r="E32" s="530"/>
      <c r="F32" s="530"/>
      <c r="G32" s="530"/>
      <c r="H32" s="530"/>
    </row>
    <row r="33" s="62" customFormat="1" ht="21" customHeight="1">
      <c r="H33" s="475" t="s">
        <v>37</v>
      </c>
    </row>
    <row r="34" s="62" customFormat="1" ht="15.75"/>
    <row r="35" spans="9:17" s="62" customFormat="1" ht="15.75">
      <c r="I35" t="s">
        <v>951</v>
      </c>
      <c r="J35"/>
      <c r="K35"/>
      <c r="L35"/>
      <c r="M35"/>
      <c r="N35"/>
      <c r="O35"/>
      <c r="P35"/>
      <c r="Q35"/>
    </row>
    <row r="36" spans="9:17" s="62" customFormat="1" ht="15.75">
      <c r="I36">
        <v>3</v>
      </c>
      <c r="J36">
        <f aca="true" t="shared" si="0" ref="J36:O51">I36+1</f>
        <v>4</v>
      </c>
      <c r="K36">
        <f t="shared" si="0"/>
        <v>5</v>
      </c>
      <c r="L36">
        <f t="shared" si="0"/>
        <v>6</v>
      </c>
      <c r="M36">
        <f t="shared" si="0"/>
        <v>7</v>
      </c>
      <c r="N36">
        <f t="shared" si="0"/>
        <v>8</v>
      </c>
      <c r="O36">
        <f t="shared" si="0"/>
        <v>9</v>
      </c>
      <c r="P36"/>
      <c r="Q36"/>
    </row>
    <row r="37" spans="9:17" s="62" customFormat="1" ht="15.75">
      <c r="I37">
        <f>I36+17</f>
        <v>20</v>
      </c>
      <c r="J37">
        <f t="shared" si="0"/>
        <v>21</v>
      </c>
      <c r="K37">
        <f t="shared" si="0"/>
        <v>22</v>
      </c>
      <c r="L37">
        <f t="shared" si="0"/>
        <v>23</v>
      </c>
      <c r="M37">
        <f t="shared" si="0"/>
        <v>24</v>
      </c>
      <c r="N37">
        <f t="shared" si="0"/>
        <v>25</v>
      </c>
      <c r="O37">
        <f t="shared" si="0"/>
        <v>26</v>
      </c>
      <c r="P37"/>
      <c r="Q37"/>
    </row>
    <row r="38" spans="9:17" s="62" customFormat="1" ht="15.75">
      <c r="I38">
        <f aca="true" t="shared" si="1" ref="I38:I52">I37+17</f>
        <v>37</v>
      </c>
      <c r="J38">
        <f t="shared" si="0"/>
        <v>38</v>
      </c>
      <c r="K38">
        <f t="shared" si="0"/>
        <v>39</v>
      </c>
      <c r="L38">
        <f t="shared" si="0"/>
        <v>40</v>
      </c>
      <c r="M38">
        <f t="shared" si="0"/>
        <v>41</v>
      </c>
      <c r="N38">
        <f t="shared" si="0"/>
        <v>42</v>
      </c>
      <c r="O38">
        <f t="shared" si="0"/>
        <v>43</v>
      </c>
      <c r="P38"/>
      <c r="Q38"/>
    </row>
    <row r="39" spans="9:17" s="62" customFormat="1" ht="15.75">
      <c r="I39">
        <f t="shared" si="1"/>
        <v>54</v>
      </c>
      <c r="J39">
        <f t="shared" si="0"/>
        <v>55</v>
      </c>
      <c r="K39">
        <f t="shared" si="0"/>
        <v>56</v>
      </c>
      <c r="L39">
        <f t="shared" si="0"/>
        <v>57</v>
      </c>
      <c r="M39">
        <f t="shared" si="0"/>
        <v>58</v>
      </c>
      <c r="N39">
        <f t="shared" si="0"/>
        <v>59</v>
      </c>
      <c r="O39">
        <f t="shared" si="0"/>
        <v>60</v>
      </c>
      <c r="P39"/>
      <c r="Q39"/>
    </row>
    <row r="40" spans="9:17" s="62" customFormat="1" ht="15.75">
      <c r="I40">
        <f t="shared" si="1"/>
        <v>71</v>
      </c>
      <c r="J40">
        <f t="shared" si="0"/>
        <v>72</v>
      </c>
      <c r="K40">
        <f t="shared" si="0"/>
        <v>73</v>
      </c>
      <c r="L40">
        <f t="shared" si="0"/>
        <v>74</v>
      </c>
      <c r="M40">
        <f t="shared" si="0"/>
        <v>75</v>
      </c>
      <c r="N40">
        <f t="shared" si="0"/>
        <v>76</v>
      </c>
      <c r="O40">
        <f t="shared" si="0"/>
        <v>77</v>
      </c>
      <c r="P40"/>
      <c r="Q40"/>
    </row>
    <row r="41" spans="9:17" s="62" customFormat="1" ht="15.75">
      <c r="I41">
        <f t="shared" si="1"/>
        <v>88</v>
      </c>
      <c r="J41">
        <f t="shared" si="0"/>
        <v>89</v>
      </c>
      <c r="K41">
        <f t="shared" si="0"/>
        <v>90</v>
      </c>
      <c r="L41">
        <f t="shared" si="0"/>
        <v>91</v>
      </c>
      <c r="M41">
        <f t="shared" si="0"/>
        <v>92</v>
      </c>
      <c r="N41">
        <f t="shared" si="0"/>
        <v>93</v>
      </c>
      <c r="O41">
        <f t="shared" si="0"/>
        <v>94</v>
      </c>
      <c r="P41"/>
      <c r="Q41"/>
    </row>
    <row r="42" spans="9:17" s="62" customFormat="1" ht="15.75">
      <c r="I42">
        <f t="shared" si="1"/>
        <v>105</v>
      </c>
      <c r="J42">
        <f t="shared" si="0"/>
        <v>106</v>
      </c>
      <c r="K42">
        <f t="shared" si="0"/>
        <v>107</v>
      </c>
      <c r="L42">
        <f t="shared" si="0"/>
        <v>108</v>
      </c>
      <c r="M42">
        <f t="shared" si="0"/>
        <v>109</v>
      </c>
      <c r="N42">
        <f t="shared" si="0"/>
        <v>110</v>
      </c>
      <c r="O42">
        <f t="shared" si="0"/>
        <v>111</v>
      </c>
      <c r="P42"/>
      <c r="Q42"/>
    </row>
    <row r="43" spans="9:17" s="62" customFormat="1" ht="15.75">
      <c r="I43">
        <f t="shared" si="1"/>
        <v>122</v>
      </c>
      <c r="J43">
        <f t="shared" si="0"/>
        <v>123</v>
      </c>
      <c r="K43">
        <f t="shared" si="0"/>
        <v>124</v>
      </c>
      <c r="L43">
        <f t="shared" si="0"/>
        <v>125</v>
      </c>
      <c r="M43">
        <f t="shared" si="0"/>
        <v>126</v>
      </c>
      <c r="N43">
        <f t="shared" si="0"/>
        <v>127</v>
      </c>
      <c r="O43">
        <f t="shared" si="0"/>
        <v>128</v>
      </c>
      <c r="P43"/>
      <c r="Q43"/>
    </row>
    <row r="44" spans="9:17" s="62" customFormat="1" ht="15.75">
      <c r="I44">
        <f t="shared" si="1"/>
        <v>139</v>
      </c>
      <c r="J44">
        <f t="shared" si="0"/>
        <v>140</v>
      </c>
      <c r="K44">
        <f t="shared" si="0"/>
        <v>141</v>
      </c>
      <c r="L44">
        <f t="shared" si="0"/>
        <v>142</v>
      </c>
      <c r="M44">
        <f t="shared" si="0"/>
        <v>143</v>
      </c>
      <c r="N44">
        <f t="shared" si="0"/>
        <v>144</v>
      </c>
      <c r="O44">
        <f t="shared" si="0"/>
        <v>145</v>
      </c>
      <c r="P44"/>
      <c r="Q44"/>
    </row>
    <row r="45" spans="9:17" s="62" customFormat="1" ht="15.75">
      <c r="I45">
        <f t="shared" si="1"/>
        <v>156</v>
      </c>
      <c r="J45">
        <f t="shared" si="0"/>
        <v>157</v>
      </c>
      <c r="K45">
        <f t="shared" si="0"/>
        <v>158</v>
      </c>
      <c r="L45">
        <f t="shared" si="0"/>
        <v>159</v>
      </c>
      <c r="M45">
        <f t="shared" si="0"/>
        <v>160</v>
      </c>
      <c r="N45">
        <f t="shared" si="0"/>
        <v>161</v>
      </c>
      <c r="O45">
        <f t="shared" si="0"/>
        <v>162</v>
      </c>
      <c r="P45"/>
      <c r="Q45"/>
    </row>
    <row r="46" spans="9:17" s="62" customFormat="1" ht="15.75">
      <c r="I46">
        <f t="shared" si="1"/>
        <v>173</v>
      </c>
      <c r="J46">
        <f t="shared" si="0"/>
        <v>174</v>
      </c>
      <c r="K46">
        <f t="shared" si="0"/>
        <v>175</v>
      </c>
      <c r="L46">
        <f t="shared" si="0"/>
        <v>176</v>
      </c>
      <c r="M46">
        <f t="shared" si="0"/>
        <v>177</v>
      </c>
      <c r="N46">
        <f t="shared" si="0"/>
        <v>178</v>
      </c>
      <c r="O46">
        <f t="shared" si="0"/>
        <v>179</v>
      </c>
      <c r="P46"/>
      <c r="Q46"/>
    </row>
    <row r="47" spans="9:17" s="62" customFormat="1" ht="15.75">
      <c r="I47">
        <f t="shared" si="1"/>
        <v>190</v>
      </c>
      <c r="J47">
        <f t="shared" si="0"/>
        <v>191</v>
      </c>
      <c r="K47">
        <f t="shared" si="0"/>
        <v>192</v>
      </c>
      <c r="L47">
        <f t="shared" si="0"/>
        <v>193</v>
      </c>
      <c r="M47">
        <f t="shared" si="0"/>
        <v>194</v>
      </c>
      <c r="N47">
        <f t="shared" si="0"/>
        <v>195</v>
      </c>
      <c r="O47">
        <f t="shared" si="0"/>
        <v>196</v>
      </c>
      <c r="P47"/>
      <c r="Q47"/>
    </row>
    <row r="48" spans="9:17" s="62" customFormat="1" ht="15.75">
      <c r="I48">
        <f t="shared" si="1"/>
        <v>207</v>
      </c>
      <c r="J48">
        <f t="shared" si="0"/>
        <v>208</v>
      </c>
      <c r="K48">
        <f t="shared" si="0"/>
        <v>209</v>
      </c>
      <c r="L48">
        <f t="shared" si="0"/>
        <v>210</v>
      </c>
      <c r="M48">
        <f t="shared" si="0"/>
        <v>211</v>
      </c>
      <c r="N48">
        <f t="shared" si="0"/>
        <v>212</v>
      </c>
      <c r="O48">
        <f t="shared" si="0"/>
        <v>213</v>
      </c>
      <c r="P48"/>
      <c r="Q48"/>
    </row>
    <row r="49" spans="9:17" s="62" customFormat="1" ht="15.75">
      <c r="I49">
        <f t="shared" si="1"/>
        <v>224</v>
      </c>
      <c r="J49">
        <f t="shared" si="0"/>
        <v>225</v>
      </c>
      <c r="K49">
        <f t="shared" si="0"/>
        <v>226</v>
      </c>
      <c r="L49">
        <f t="shared" si="0"/>
        <v>227</v>
      </c>
      <c r="M49">
        <f t="shared" si="0"/>
        <v>228</v>
      </c>
      <c r="N49">
        <f t="shared" si="0"/>
        <v>229</v>
      </c>
      <c r="O49">
        <f t="shared" si="0"/>
        <v>230</v>
      </c>
      <c r="P49"/>
      <c r="Q49"/>
    </row>
    <row r="50" spans="9:17" s="62" customFormat="1" ht="15.75">
      <c r="I50">
        <f t="shared" si="1"/>
        <v>241</v>
      </c>
      <c r="J50">
        <f t="shared" si="0"/>
        <v>242</v>
      </c>
      <c r="K50">
        <f t="shared" si="0"/>
        <v>243</v>
      </c>
      <c r="L50">
        <f t="shared" si="0"/>
        <v>244</v>
      </c>
      <c r="M50">
        <f t="shared" si="0"/>
        <v>245</v>
      </c>
      <c r="N50">
        <f t="shared" si="0"/>
        <v>246</v>
      </c>
      <c r="O50">
        <f t="shared" si="0"/>
        <v>247</v>
      </c>
      <c r="P50"/>
      <c r="Q50"/>
    </row>
    <row r="51" spans="9:17" s="62" customFormat="1" ht="15.75">
      <c r="I51">
        <f t="shared" si="1"/>
        <v>258</v>
      </c>
      <c r="J51">
        <f t="shared" si="0"/>
        <v>259</v>
      </c>
      <c r="K51">
        <f t="shared" si="0"/>
        <v>260</v>
      </c>
      <c r="L51">
        <f t="shared" si="0"/>
        <v>261</v>
      </c>
      <c r="M51">
        <f t="shared" si="0"/>
        <v>262</v>
      </c>
      <c r="N51">
        <f t="shared" si="0"/>
        <v>263</v>
      </c>
      <c r="O51">
        <f t="shared" si="0"/>
        <v>264</v>
      </c>
      <c r="P51"/>
      <c r="Q51"/>
    </row>
    <row r="52" spans="9:17" s="62" customFormat="1" ht="15.75">
      <c r="I52">
        <f t="shared" si="1"/>
        <v>275</v>
      </c>
      <c r="J52">
        <f aca="true" t="shared" si="2" ref="J52:O52">I52+1</f>
        <v>276</v>
      </c>
      <c r="K52">
        <f t="shared" si="2"/>
        <v>277</v>
      </c>
      <c r="L52">
        <f t="shared" si="2"/>
        <v>278</v>
      </c>
      <c r="M52">
        <f t="shared" si="2"/>
        <v>279</v>
      </c>
      <c r="N52">
        <f t="shared" si="2"/>
        <v>280</v>
      </c>
      <c r="O52">
        <f t="shared" si="2"/>
        <v>281</v>
      </c>
      <c r="P52"/>
      <c r="Q52"/>
    </row>
    <row r="53" s="62" customFormat="1" ht="15.75"/>
    <row r="54" s="62" customFormat="1" ht="15.75"/>
    <row r="55" s="62" customFormat="1" ht="15.75"/>
    <row r="56" s="62" customFormat="1" ht="15.75"/>
    <row r="57" s="62" customFormat="1" ht="15.75"/>
    <row r="58" s="62" customFormat="1" ht="15.75"/>
    <row r="59" s="62" customFormat="1" ht="15.75"/>
    <row r="60" s="62" customFormat="1" ht="15.75"/>
    <row r="61" s="62" customFormat="1" ht="15.75"/>
    <row r="62" s="62" customFormat="1" ht="15.75"/>
    <row r="63" s="62" customFormat="1" ht="15.75"/>
    <row r="64" s="62" customFormat="1" ht="15.75"/>
    <row r="65" s="62" customFormat="1" ht="15.75"/>
    <row r="66" s="62" customFormat="1" ht="15.75"/>
    <row r="67" s="62" customFormat="1" ht="15.75"/>
    <row r="68" s="62" customFormat="1" ht="15.75"/>
    <row r="69" s="62" customFormat="1" ht="15.75"/>
    <row r="70" s="62" customFormat="1" ht="15.75"/>
    <row r="71" s="62" customFormat="1" ht="15.75"/>
    <row r="72" s="62" customFormat="1" ht="15.75"/>
    <row r="73" s="62" customFormat="1" ht="15.75"/>
    <row r="74" s="62" customFormat="1" ht="15.75"/>
    <row r="75" s="62" customFormat="1" ht="15.75"/>
    <row r="76" s="62" customFormat="1" ht="15.75"/>
    <row r="77" s="62" customFormat="1" ht="15.75"/>
    <row r="78" s="62" customFormat="1" ht="15.75"/>
    <row r="79" s="62" customFormat="1" ht="15.75"/>
    <row r="80" s="62" customFormat="1" ht="15.75"/>
    <row r="81" s="62" customFormat="1" ht="15.75"/>
    <row r="82" s="62" customFormat="1" ht="15.75"/>
    <row r="83" s="62" customFormat="1" ht="15.75"/>
    <row r="84" s="62" customFormat="1" ht="15.75"/>
    <row r="85" s="62" customFormat="1" ht="15.75"/>
    <row r="86" s="62" customFormat="1" ht="15.75"/>
    <row r="87" s="62" customFormat="1" ht="15.75"/>
    <row r="88" s="62" customFormat="1" ht="15.75"/>
    <row r="89" s="62" customFormat="1" ht="15.75"/>
    <row r="90" s="62" customFormat="1" ht="15.75"/>
    <row r="91" s="62" customFormat="1" ht="15.75"/>
    <row r="92" s="62" customFormat="1" ht="15.75"/>
    <row r="93" s="62" customFormat="1" ht="15.75"/>
    <row r="94" s="62" customFormat="1" ht="15.75"/>
    <row r="95" s="62" customFormat="1" ht="15.75"/>
    <row r="96" s="62" customFormat="1" ht="15.75"/>
    <row r="97" s="62" customFormat="1" ht="15.75"/>
    <row r="98" s="62" customFormat="1" ht="15.75"/>
    <row r="99" s="62" customFormat="1" ht="15.75"/>
    <row r="100" s="62" customFormat="1" ht="15.75"/>
    <row r="101" s="62" customFormat="1" ht="15.75"/>
    <row r="102" s="62" customFormat="1" ht="15.75"/>
    <row r="103" s="62" customFormat="1" ht="15.75"/>
    <row r="104" s="62" customFormat="1" ht="15.75"/>
    <row r="105" s="62" customFormat="1" ht="15.75"/>
    <row r="106" s="62" customFormat="1" ht="15.75"/>
    <row r="107" s="62" customFormat="1" ht="15.75"/>
    <row r="108" s="62" customFormat="1" ht="15.75"/>
    <row r="109" s="62" customFormat="1" ht="15.75"/>
    <row r="110" s="62" customFormat="1" ht="15.75"/>
    <row r="111" s="62" customFormat="1" ht="15.75"/>
    <row r="112" s="62" customFormat="1" ht="15.75"/>
    <row r="113" s="62" customFormat="1" ht="15.75"/>
    <row r="114" s="62" customFormat="1" ht="15.75"/>
    <row r="115" s="62" customFormat="1" ht="15.75"/>
    <row r="116" s="62" customFormat="1" ht="15.75"/>
    <row r="117" s="62" customFormat="1" ht="15.75"/>
    <row r="118" s="62" customFormat="1" ht="15.75"/>
    <row r="119" s="62" customFormat="1" ht="15.75"/>
    <row r="120" s="62" customFormat="1" ht="15.75"/>
    <row r="121" s="62" customFormat="1" ht="15.75"/>
    <row r="122" s="62" customFormat="1" ht="15.75"/>
    <row r="123" s="62" customFormat="1" ht="15.75"/>
    <row r="124" s="62" customFormat="1" ht="15.75"/>
    <row r="125" s="62" customFormat="1" ht="15.75"/>
    <row r="126" s="62" customFormat="1" ht="15.75"/>
    <row r="127" s="62" customFormat="1" ht="15.75"/>
    <row r="128" s="62" customFormat="1" ht="15.75"/>
    <row r="129" s="62" customFormat="1" ht="15.75"/>
    <row r="130" s="62" customFormat="1" ht="15.75"/>
    <row r="131" s="62" customFormat="1" ht="15.75"/>
    <row r="132" s="62" customFormat="1" ht="15.75"/>
    <row r="133" s="62" customFormat="1" ht="15.75"/>
    <row r="134" s="62" customFormat="1" ht="15.75"/>
    <row r="135" s="62" customFormat="1" ht="15.75"/>
    <row r="136" s="62" customFormat="1" ht="15.75"/>
    <row r="137" s="62" customFormat="1" ht="15.75"/>
    <row r="138" s="62" customFormat="1" ht="15.75"/>
    <row r="139" s="62" customFormat="1" ht="15.75"/>
    <row r="140" s="62" customFormat="1" ht="15.75"/>
    <row r="141" s="62" customFormat="1" ht="15.75"/>
    <row r="142" s="62" customFormat="1" ht="15.75"/>
    <row r="143" s="62" customFormat="1" ht="15.75"/>
    <row r="144" s="62" customFormat="1" ht="15.75"/>
    <row r="145" s="62" customFormat="1" ht="15.75"/>
    <row r="146" s="62" customFormat="1" ht="15.75"/>
    <row r="147" s="62" customFormat="1" ht="15.75"/>
    <row r="148" s="62" customFormat="1" ht="15.75"/>
    <row r="149" s="62" customFormat="1" ht="15.75"/>
    <row r="150" s="62" customFormat="1" ht="15.75"/>
    <row r="151" s="62" customFormat="1" ht="15.75"/>
    <row r="152" s="62" customFormat="1" ht="15.75"/>
    <row r="153" s="62" customFormat="1" ht="15.75"/>
    <row r="154" s="62" customFormat="1" ht="15.75"/>
    <row r="155" s="62" customFormat="1" ht="15.75"/>
    <row r="156" s="62" customFormat="1" ht="15.75"/>
    <row r="157" s="62" customFormat="1" ht="15.75"/>
    <row r="158" s="62" customFormat="1" ht="15.75"/>
    <row r="159" s="62" customFormat="1" ht="15.75"/>
    <row r="160" s="62" customFormat="1" ht="15.75"/>
    <row r="161" s="62" customFormat="1" ht="15.75"/>
    <row r="162" s="62" customFormat="1" ht="15.75"/>
    <row r="163" s="62" customFormat="1" ht="15.75"/>
    <row r="164" s="62" customFormat="1" ht="15.75"/>
    <row r="165" s="62" customFormat="1" ht="15.75"/>
    <row r="166" s="62" customFormat="1" ht="15.75"/>
    <row r="167" s="62" customFormat="1" ht="15.75"/>
    <row r="168" s="62" customFormat="1" ht="15.75"/>
    <row r="169" s="62" customFormat="1" ht="15.75"/>
    <row r="170" s="62" customFormat="1" ht="15.75"/>
    <row r="171" s="62" customFormat="1" ht="15.75"/>
    <row r="172" s="62" customFormat="1" ht="15.75"/>
    <row r="173" s="62" customFormat="1" ht="15.75"/>
    <row r="174" s="62" customFormat="1" ht="15.75"/>
    <row r="175" s="62" customFormat="1" ht="15.75"/>
    <row r="176" s="62" customFormat="1" ht="15.75"/>
    <row r="177" s="62" customFormat="1" ht="15.75"/>
    <row r="178" s="62" customFormat="1" ht="15.75"/>
    <row r="179" s="62" customFormat="1" ht="15.75"/>
    <row r="180" s="62" customFormat="1" ht="15.75"/>
    <row r="181" s="62" customFormat="1" ht="15.75"/>
    <row r="182" s="62" customFormat="1" ht="15.75"/>
    <row r="183" s="62" customFormat="1" ht="15.75"/>
    <row r="184" s="62" customFormat="1" ht="15.75"/>
    <row r="185" s="62" customFormat="1" ht="15.75"/>
    <row r="186" s="62" customFormat="1" ht="15.75"/>
    <row r="187" s="62" customFormat="1" ht="15.75"/>
    <row r="188" s="62" customFormat="1" ht="15.75"/>
    <row r="189" s="62" customFormat="1" ht="15.75"/>
    <row r="190" s="62" customFormat="1" ht="15.75"/>
    <row r="191" s="62" customFormat="1" ht="15.75"/>
    <row r="192" s="62" customFormat="1" ht="15.75"/>
    <row r="193" s="62" customFormat="1" ht="15.75"/>
    <row r="194" s="62" customFormat="1" ht="15.75"/>
    <row r="195" s="62" customFormat="1" ht="15.75"/>
    <row r="196" s="62" customFormat="1" ht="15.75"/>
    <row r="197" s="62" customFormat="1" ht="15.75"/>
    <row r="198" s="62" customFormat="1" ht="15.75"/>
    <row r="199" s="62" customFormat="1" ht="15.75"/>
    <row r="200" s="62" customFormat="1" ht="15.75"/>
    <row r="201" s="62" customFormat="1" ht="15.75"/>
    <row r="202" s="62" customFormat="1" ht="15.75"/>
    <row r="203" s="62" customFormat="1" ht="15.75"/>
    <row r="204" s="62" customFormat="1" ht="15.75"/>
    <row r="205" s="62" customFormat="1" ht="15.75"/>
    <row r="206" s="62" customFormat="1" ht="15.75"/>
    <row r="207" s="62" customFormat="1" ht="15.75"/>
    <row r="208" s="62" customFormat="1" ht="15.75"/>
    <row r="209" s="62" customFormat="1" ht="15.75"/>
    <row r="210" s="62" customFormat="1" ht="15.75"/>
    <row r="211" s="62" customFormat="1" ht="15.75"/>
    <row r="212" s="62" customFormat="1" ht="15.75"/>
    <row r="213" s="62" customFormat="1" ht="15.75"/>
    <row r="214" s="62" customFormat="1" ht="15.75"/>
    <row r="215" s="62" customFormat="1" ht="15.75"/>
    <row r="216" s="62" customFormat="1" ht="15.75"/>
    <row r="217" s="62" customFormat="1" ht="15.75"/>
    <row r="218" s="62" customFormat="1" ht="15.75"/>
    <row r="219" s="62" customFormat="1" ht="15.75"/>
    <row r="220" s="62" customFormat="1" ht="15.75"/>
    <row r="221" s="62" customFormat="1" ht="15.75"/>
    <row r="222" s="62" customFormat="1" ht="15.75"/>
    <row r="223" s="62" customFormat="1" ht="15.75"/>
    <row r="224" s="62" customFormat="1" ht="15.75"/>
    <row r="225" s="62" customFormat="1" ht="15.75"/>
    <row r="226" s="62" customFormat="1" ht="15.75"/>
    <row r="227" s="62" customFormat="1" ht="15.75"/>
    <row r="228" s="62" customFormat="1" ht="15.75"/>
    <row r="229" s="62" customFormat="1" ht="15.75"/>
    <row r="230" s="62" customFormat="1" ht="15.75"/>
    <row r="231" s="62" customFormat="1" ht="15.75"/>
    <row r="232" s="62" customFormat="1" ht="15.75"/>
    <row r="233" s="62" customFormat="1" ht="15.75"/>
    <row r="234" s="62" customFormat="1" ht="15.75"/>
    <row r="235" s="62" customFormat="1" ht="15.75"/>
    <row r="236" s="62" customFormat="1" ht="15.75"/>
    <row r="237" s="62" customFormat="1" ht="15.75"/>
    <row r="238" s="62" customFormat="1" ht="15.75"/>
    <row r="239" s="62" customFormat="1" ht="15.75"/>
    <row r="240" s="62" customFormat="1" ht="15.75"/>
    <row r="241" s="62" customFormat="1" ht="15.75"/>
    <row r="242" s="62" customFormat="1" ht="15.75"/>
    <row r="243" s="62" customFormat="1" ht="15.75"/>
    <row r="244" s="62" customFormat="1" ht="15.75"/>
    <row r="245" s="62" customFormat="1" ht="15.75"/>
    <row r="246" s="62" customFormat="1" ht="15.75"/>
    <row r="247" s="62" customFormat="1" ht="15.75"/>
    <row r="248" s="62" customFormat="1" ht="15.75"/>
    <row r="249" s="62" customFormat="1" ht="15.75"/>
    <row r="250" s="62" customFormat="1" ht="15.75"/>
    <row r="251" s="62" customFormat="1" ht="15.75"/>
    <row r="252" s="62" customFormat="1" ht="15.75"/>
    <row r="253" s="62" customFormat="1" ht="15.75"/>
    <row r="254" s="62" customFormat="1" ht="15.75"/>
    <row r="255" s="62" customFormat="1" ht="15.75"/>
    <row r="256" s="62" customFormat="1" ht="15.75"/>
    <row r="257" s="62" customFormat="1" ht="15.75"/>
    <row r="258" s="62" customFormat="1" ht="15.75"/>
    <row r="259" s="62" customFormat="1" ht="15.75"/>
    <row r="260" s="62" customFormat="1" ht="15.75"/>
    <row r="261" s="62" customFormat="1" ht="15.75"/>
    <row r="262" s="62" customFormat="1" ht="15.75"/>
    <row r="263" s="62" customFormat="1" ht="15.75"/>
    <row r="264" s="62" customFormat="1" ht="15.75"/>
    <row r="265" s="62" customFormat="1" ht="15.75"/>
    <row r="266" s="62" customFormat="1" ht="15.75"/>
    <row r="267" s="62" customFormat="1" ht="15.75"/>
    <row r="268" s="62" customFormat="1" ht="15.75"/>
    <row r="269" s="62" customFormat="1" ht="15.75"/>
    <row r="270" s="62" customFormat="1" ht="15.75"/>
    <row r="271" s="62" customFormat="1" ht="15.75"/>
    <row r="272" s="62" customFormat="1" ht="15.75"/>
    <row r="273" s="62" customFormat="1" ht="15.75"/>
    <row r="274" s="62" customFormat="1" ht="15.75"/>
    <row r="275" s="62" customFormat="1" ht="15.75"/>
    <row r="276" s="62" customFormat="1" ht="15.75"/>
    <row r="277" s="62" customFormat="1" ht="15.75"/>
    <row r="278" s="62" customFormat="1" ht="15.75"/>
    <row r="279" s="62" customFormat="1" ht="15.75"/>
    <row r="280" s="62" customFormat="1" ht="15.75"/>
    <row r="281" s="62" customFormat="1" ht="15.75"/>
    <row r="282" s="62" customFormat="1" ht="15.75"/>
    <row r="283" s="62" customFormat="1" ht="15.75"/>
    <row r="284" s="62" customFormat="1" ht="15.75"/>
    <row r="285" s="62" customFormat="1" ht="15.75"/>
    <row r="286" s="62" customFormat="1" ht="15.75"/>
    <row r="287" s="62" customFormat="1" ht="15.75"/>
    <row r="288" s="62" customFormat="1" ht="15.75"/>
    <row r="289" s="62" customFormat="1" ht="15.75"/>
    <row r="290" s="62" customFormat="1" ht="15.75"/>
    <row r="291" s="62" customFormat="1" ht="15.75"/>
    <row r="292" s="62" customFormat="1" ht="15.75"/>
    <row r="293" s="62" customFormat="1" ht="15.75"/>
    <row r="294" s="62" customFormat="1" ht="15.75"/>
    <row r="295" s="62" customFormat="1" ht="15.75"/>
    <row r="296" s="62" customFormat="1" ht="15.75"/>
    <row r="297" s="62" customFormat="1" ht="15.75"/>
    <row r="298" s="62" customFormat="1" ht="15.75"/>
    <row r="299" s="62" customFormat="1" ht="15.75"/>
    <row r="300" s="62" customFormat="1" ht="15.75"/>
    <row r="301" s="62" customFormat="1" ht="15.75"/>
    <row r="302" s="62" customFormat="1" ht="15.75"/>
    <row r="303" s="62" customFormat="1" ht="15.75"/>
    <row r="304" s="62" customFormat="1" ht="15.75"/>
    <row r="305" s="62" customFormat="1" ht="15.75"/>
    <row r="306" s="62" customFormat="1" ht="15.75"/>
    <row r="307" s="62" customFormat="1" ht="15.75"/>
    <row r="308" s="62" customFormat="1" ht="15.75"/>
    <row r="309" s="62" customFormat="1" ht="15.75"/>
    <row r="310" s="62" customFormat="1" ht="15.75"/>
    <row r="311" s="62" customFormat="1" ht="15.75"/>
    <row r="312" s="62" customFormat="1" ht="15.75"/>
    <row r="313" s="62" customFormat="1" ht="15.75"/>
    <row r="314" s="62" customFormat="1" ht="15.75"/>
    <row r="315" s="62" customFormat="1" ht="15.75"/>
    <row r="316" s="62" customFormat="1" ht="15.75"/>
    <row r="317" s="62" customFormat="1" ht="15.75"/>
    <row r="318" s="62" customFormat="1" ht="15.75"/>
    <row r="319" s="62" customFormat="1" ht="15.75"/>
    <row r="320" s="62" customFormat="1" ht="15.75"/>
    <row r="321" s="62" customFormat="1" ht="15.75"/>
    <row r="322" s="62" customFormat="1" ht="15.75"/>
    <row r="323" s="62" customFormat="1" ht="15.75"/>
    <row r="324" s="62" customFormat="1" ht="15.75"/>
    <row r="325" s="62" customFormat="1" ht="15.75"/>
    <row r="326" s="62" customFormat="1" ht="15.75"/>
    <row r="327" s="62" customFormat="1" ht="15.75"/>
    <row r="328" s="62" customFormat="1" ht="15.75"/>
    <row r="329" s="62" customFormat="1" ht="15.75"/>
    <row r="330" s="62" customFormat="1" ht="15.75"/>
    <row r="331" s="62" customFormat="1" ht="15.75"/>
    <row r="332" s="62" customFormat="1" ht="15.75"/>
    <row r="333" s="62" customFormat="1" ht="15.75"/>
    <row r="334" s="62" customFormat="1" ht="15.75"/>
    <row r="335" s="62" customFormat="1" ht="15.75"/>
    <row r="336" s="62" customFormat="1" ht="15.75"/>
    <row r="337" s="62" customFormat="1" ht="15.75"/>
    <row r="338" s="62" customFormat="1" ht="15.75"/>
    <row r="339" s="62" customFormat="1" ht="15.75"/>
    <row r="340" s="62" customFormat="1" ht="15.75"/>
    <row r="341" s="62" customFormat="1" ht="15.75"/>
    <row r="342" s="62" customFormat="1" ht="15.75"/>
    <row r="343" s="62" customFormat="1" ht="15.75"/>
    <row r="344" s="62" customFormat="1" ht="15.75"/>
    <row r="345" s="62" customFormat="1" ht="15.75"/>
    <row r="346" s="62" customFormat="1" ht="15.75"/>
    <row r="347" s="62" customFormat="1" ht="15.75"/>
    <row r="348" s="62" customFormat="1" ht="15.75"/>
    <row r="349" s="62" customFormat="1" ht="15.75"/>
    <row r="350" s="62" customFormat="1" ht="15.75"/>
    <row r="351" s="62" customFormat="1" ht="15.75"/>
    <row r="352" s="62" customFormat="1" ht="15.75"/>
    <row r="353" s="62" customFormat="1" ht="15.75"/>
    <row r="354" s="62" customFormat="1" ht="15.75"/>
    <row r="355" s="62" customFormat="1" ht="15.75"/>
    <row r="356" s="62" customFormat="1" ht="15.75"/>
    <row r="357" s="62" customFormat="1" ht="15.75"/>
    <row r="358" s="62" customFormat="1" ht="15.75"/>
    <row r="359" s="62" customFormat="1" ht="15.75"/>
    <row r="360" s="62" customFormat="1" ht="15.75"/>
    <row r="361" s="62" customFormat="1" ht="15.75"/>
    <row r="362" s="62" customFormat="1" ht="15.75"/>
    <row r="363" s="62" customFormat="1" ht="15.75"/>
    <row r="364" s="62" customFormat="1" ht="15.75"/>
    <row r="365" s="62" customFormat="1" ht="15.75"/>
    <row r="366" s="62" customFormat="1" ht="15.75"/>
    <row r="367" s="62" customFormat="1" ht="15.75"/>
    <row r="368" s="62" customFormat="1" ht="15.75"/>
    <row r="369" s="62" customFormat="1" ht="15.75"/>
    <row r="370" s="62" customFormat="1" ht="15.75"/>
    <row r="371" s="62" customFormat="1" ht="15.75"/>
    <row r="372" s="62" customFormat="1" ht="15.75"/>
    <row r="373" s="62" customFormat="1" ht="15.75"/>
    <row r="374" s="62" customFormat="1" ht="15.75"/>
    <row r="375" s="62" customFormat="1" ht="15.75"/>
    <row r="376" s="62" customFormat="1" ht="15.75"/>
    <row r="377" s="62" customFormat="1" ht="15.75"/>
    <row r="378" s="62" customFormat="1" ht="15.75"/>
    <row r="379" s="62" customFormat="1" ht="15.75"/>
    <row r="380" s="62" customFormat="1" ht="15.75"/>
    <row r="381" s="62" customFormat="1" ht="15.75"/>
    <row r="382" s="62" customFormat="1" ht="15.75"/>
    <row r="383" s="62" customFormat="1" ht="15.75"/>
    <row r="384" s="62" customFormat="1" ht="15.75"/>
    <row r="385" s="62" customFormat="1" ht="15.75"/>
    <row r="386" s="62" customFormat="1" ht="15.75"/>
    <row r="387" s="62" customFormat="1" ht="15.75"/>
    <row r="388" s="62" customFormat="1" ht="15.75"/>
    <row r="389" s="62" customFormat="1" ht="15.75"/>
    <row r="390" s="62" customFormat="1" ht="15.75"/>
    <row r="391" s="62" customFormat="1" ht="15.75"/>
    <row r="392" s="62" customFormat="1" ht="15.75"/>
    <row r="393" s="62" customFormat="1" ht="15.75"/>
    <row r="394" s="62" customFormat="1" ht="15.75"/>
    <row r="395" s="62" customFormat="1" ht="15.75"/>
    <row r="396" s="62" customFormat="1" ht="15.75"/>
    <row r="397" s="62" customFormat="1" ht="15.75"/>
    <row r="398" s="62" customFormat="1" ht="15.75"/>
    <row r="399" s="62" customFormat="1" ht="15.75"/>
    <row r="400" s="62" customFormat="1" ht="15.75"/>
    <row r="401" s="62" customFormat="1" ht="15.75"/>
    <row r="402" s="62" customFormat="1" ht="15.75"/>
    <row r="403" s="62" customFormat="1" ht="15.75"/>
    <row r="404" s="62" customFormat="1" ht="15.75"/>
    <row r="405" s="62" customFormat="1" ht="15.75"/>
    <row r="406" s="62" customFormat="1" ht="15.75"/>
    <row r="407" s="62" customFormat="1" ht="15.75"/>
    <row r="408" s="62" customFormat="1" ht="15.75"/>
    <row r="409" s="62" customFormat="1" ht="15.75"/>
    <row r="410" s="62" customFormat="1" ht="15.75"/>
    <row r="411" s="62" customFormat="1" ht="15.75"/>
    <row r="412" s="62" customFormat="1" ht="15.75"/>
    <row r="413" s="62" customFormat="1" ht="15.75"/>
    <row r="414" s="62" customFormat="1" ht="15.75"/>
    <row r="415" s="62" customFormat="1" ht="15.75"/>
    <row r="416" s="62" customFormat="1" ht="15.75"/>
    <row r="417" s="62" customFormat="1" ht="15.75"/>
    <row r="418" s="62" customFormat="1" ht="15.75"/>
    <row r="419" s="62" customFormat="1" ht="15.75"/>
    <row r="420" s="62" customFormat="1" ht="15.75"/>
    <row r="421" s="62" customFormat="1" ht="15.75"/>
    <row r="422" s="62" customFormat="1" ht="15.75"/>
    <row r="423" s="62" customFormat="1" ht="15.75"/>
    <row r="424" s="62" customFormat="1" ht="15.75"/>
    <row r="425" s="62" customFormat="1" ht="15.75"/>
    <row r="426" s="62" customFormat="1" ht="15.75"/>
    <row r="427" s="62" customFormat="1" ht="15.75"/>
    <row r="428" s="62" customFormat="1" ht="15.75"/>
    <row r="429" s="62" customFormat="1" ht="15.75"/>
    <row r="430" s="62" customFormat="1" ht="15.75"/>
    <row r="431" s="62" customFormat="1" ht="15.75"/>
    <row r="432" s="62" customFormat="1" ht="15.75"/>
    <row r="433" s="62" customFormat="1" ht="15.75"/>
    <row r="434" s="62" customFormat="1" ht="15.75"/>
    <row r="435" s="62" customFormat="1" ht="15.75"/>
    <row r="436" s="62" customFormat="1" ht="15.75"/>
    <row r="437" s="62" customFormat="1" ht="15.75"/>
    <row r="438" s="62" customFormat="1" ht="15.75"/>
    <row r="439" s="62" customFormat="1" ht="15.75"/>
    <row r="440" s="62" customFormat="1" ht="15.75"/>
    <row r="441" s="62" customFormat="1" ht="15.75"/>
    <row r="442" s="62" customFormat="1" ht="15.75"/>
    <row r="443" s="62" customFormat="1" ht="15.75"/>
    <row r="444" s="62" customFormat="1" ht="15.75"/>
    <row r="445" s="62" customFormat="1" ht="15.75"/>
    <row r="446" s="62" customFormat="1" ht="15.75"/>
    <row r="447" s="62" customFormat="1" ht="15.75"/>
    <row r="448" s="62" customFormat="1" ht="15.75"/>
    <row r="449" s="62" customFormat="1" ht="15.75"/>
    <row r="450" s="62" customFormat="1" ht="15.75"/>
    <row r="451" s="62" customFormat="1" ht="15.75"/>
    <row r="452" s="62" customFormat="1" ht="15.75"/>
    <row r="453" s="62" customFormat="1" ht="15.75"/>
    <row r="454" s="62" customFormat="1" ht="15.75"/>
    <row r="455" s="62" customFormat="1" ht="15.75"/>
    <row r="456" s="62" customFormat="1" ht="15.75"/>
    <row r="457" s="62" customFormat="1" ht="15.75"/>
    <row r="458" s="62" customFormat="1" ht="15.75"/>
    <row r="459" s="62" customFormat="1" ht="15.75"/>
    <row r="460" s="62" customFormat="1" ht="15.75"/>
    <row r="461" s="62" customFormat="1" ht="15.75"/>
    <row r="462" s="62" customFormat="1" ht="15.75"/>
    <row r="463" s="62" customFormat="1" ht="15.75"/>
    <row r="464" s="62" customFormat="1" ht="15.75"/>
    <row r="465" s="62" customFormat="1" ht="15.75"/>
    <row r="466" s="62" customFormat="1" ht="15.75"/>
    <row r="467" s="62" customFormat="1" ht="15.75"/>
    <row r="468" s="62" customFormat="1" ht="15.75"/>
    <row r="469" s="62" customFormat="1" ht="15.75"/>
    <row r="470" s="62" customFormat="1" ht="15.75"/>
    <row r="471" s="62" customFormat="1" ht="15.75"/>
    <row r="472" s="62" customFormat="1" ht="15.75"/>
    <row r="473" s="62" customFormat="1" ht="15.75"/>
    <row r="474" s="62" customFormat="1" ht="15.75"/>
    <row r="475" s="62" customFormat="1" ht="15.75"/>
    <row r="476" s="62" customFormat="1" ht="15.75"/>
    <row r="477" s="62" customFormat="1" ht="15.75"/>
    <row r="478" s="62" customFormat="1" ht="15.75"/>
    <row r="479" s="62" customFormat="1" ht="15.75"/>
    <row r="480" s="62" customFormat="1" ht="15.75"/>
    <row r="481" s="62" customFormat="1" ht="15.75"/>
    <row r="482" s="62" customFormat="1" ht="15.75"/>
    <row r="483" s="62" customFormat="1" ht="15.75"/>
    <row r="484" s="62" customFormat="1" ht="15.75"/>
    <row r="485" s="62" customFormat="1" ht="15.75"/>
    <row r="486" s="62" customFormat="1" ht="15.75"/>
    <row r="487" s="62" customFormat="1" ht="15.75"/>
    <row r="488" s="62" customFormat="1" ht="15.75"/>
    <row r="489" s="62" customFormat="1" ht="15.75"/>
    <row r="490" s="62" customFormat="1" ht="15.75"/>
    <row r="491" s="62" customFormat="1" ht="15.75"/>
    <row r="492" s="62" customFormat="1" ht="15.75"/>
    <row r="493" s="62" customFormat="1" ht="15.75"/>
    <row r="494" s="62" customFormat="1" ht="15.75"/>
    <row r="495" s="62" customFormat="1" ht="15.75"/>
    <row r="496" s="62" customFormat="1" ht="15.75"/>
    <row r="497" s="62" customFormat="1" ht="15.75"/>
    <row r="498" s="62" customFormat="1" ht="15.75"/>
    <row r="499" s="62" customFormat="1" ht="15.75"/>
    <row r="500" s="62" customFormat="1" ht="15.75"/>
    <row r="501" s="62" customFormat="1" ht="15.75"/>
    <row r="502" s="62" customFormat="1" ht="15.75"/>
    <row r="503" s="62" customFormat="1" ht="15.75"/>
    <row r="504" s="62" customFormat="1" ht="15.75"/>
    <row r="505" s="62" customFormat="1" ht="15.75"/>
    <row r="506" s="62" customFormat="1" ht="15.75"/>
    <row r="507" s="62" customFormat="1" ht="15.75"/>
    <row r="508" s="62" customFormat="1" ht="15.75"/>
    <row r="509" s="62" customFormat="1" ht="15.75"/>
    <row r="510" s="62" customFormat="1" ht="15.75"/>
    <row r="511" s="62" customFormat="1" ht="15.75"/>
    <row r="512" s="62" customFormat="1" ht="15.75"/>
    <row r="513" s="62" customFormat="1" ht="15.75"/>
    <row r="514" s="62" customFormat="1" ht="15.75"/>
    <row r="515" s="62" customFormat="1" ht="15.75"/>
    <row r="516" s="62" customFormat="1" ht="15.75"/>
    <row r="517" s="62" customFormat="1" ht="15.75"/>
    <row r="518" s="62" customFormat="1" ht="15.75"/>
    <row r="519" s="62" customFormat="1" ht="15.75"/>
    <row r="520" s="62" customFormat="1" ht="15.75"/>
    <row r="521" s="62" customFormat="1" ht="15.75"/>
    <row r="522" s="62" customFormat="1" ht="15.75"/>
    <row r="523" s="62" customFormat="1" ht="15.75"/>
    <row r="524" s="62" customFormat="1" ht="15.75"/>
    <row r="525" s="62" customFormat="1" ht="15.75"/>
    <row r="526" s="62" customFormat="1" ht="15.75"/>
    <row r="527" s="62" customFormat="1" ht="15.75"/>
    <row r="528" s="62" customFormat="1" ht="15.75"/>
    <row r="529" s="62" customFormat="1" ht="15.75"/>
    <row r="530" s="62" customFormat="1" ht="15.75"/>
    <row r="531" s="62" customFormat="1" ht="15.75"/>
    <row r="532" s="62" customFormat="1" ht="15.75"/>
    <row r="533" s="62" customFormat="1" ht="15.75"/>
    <row r="534" s="62" customFormat="1" ht="15.75"/>
    <row r="535" s="62" customFormat="1" ht="15.75"/>
    <row r="536" s="62" customFormat="1" ht="15.75"/>
    <row r="537" s="62" customFormat="1" ht="15.75"/>
    <row r="538" s="62" customFormat="1" ht="15.75"/>
    <row r="539" s="62" customFormat="1" ht="15.75"/>
    <row r="540" s="62" customFormat="1" ht="15.75"/>
    <row r="541" s="62" customFormat="1" ht="15.75"/>
    <row r="542" s="62" customFormat="1" ht="15.75"/>
    <row r="543" s="62" customFormat="1" ht="15.75"/>
    <row r="544" s="62" customFormat="1" ht="15.75"/>
    <row r="545" s="62" customFormat="1" ht="15.75"/>
    <row r="546" s="62" customFormat="1" ht="15.75"/>
    <row r="547" s="62" customFormat="1" ht="15.75"/>
    <row r="548" s="62" customFormat="1" ht="15.75"/>
    <row r="549" s="62" customFormat="1" ht="15.75"/>
    <row r="550" s="62" customFormat="1" ht="15.75"/>
    <row r="551" s="62" customFormat="1" ht="15.75"/>
    <row r="552" s="62" customFormat="1" ht="15.75"/>
    <row r="553" s="62" customFormat="1" ht="15.75"/>
    <row r="554" s="62" customFormat="1" ht="15.75"/>
    <row r="555" s="62" customFormat="1" ht="15.75"/>
    <row r="556" s="62" customFormat="1" ht="15.75"/>
    <row r="557" s="62" customFormat="1" ht="15.75"/>
    <row r="558" s="62" customFormat="1" ht="15.75"/>
    <row r="559" s="62" customFormat="1" ht="15.75"/>
    <row r="560" s="62" customFormat="1" ht="15.75"/>
    <row r="561" s="62" customFormat="1" ht="15.75"/>
    <row r="562" s="62" customFormat="1" ht="15.75"/>
    <row r="563" s="62" customFormat="1" ht="15.75"/>
    <row r="564" s="62" customFormat="1" ht="15.75"/>
    <row r="565" s="62" customFormat="1" ht="15.75"/>
    <row r="566" s="62" customFormat="1" ht="15.75"/>
    <row r="567" s="62" customFormat="1" ht="15.75"/>
    <row r="568" s="62" customFormat="1" ht="15.75"/>
    <row r="569" s="62" customFormat="1" ht="15.75"/>
    <row r="570" s="62" customFormat="1" ht="15.75"/>
    <row r="571" s="62" customFormat="1" ht="15.75"/>
    <row r="572" s="62" customFormat="1" ht="15.75"/>
    <row r="573" s="62" customFormat="1" ht="15.75"/>
    <row r="574" s="62" customFormat="1" ht="15.75"/>
    <row r="575" s="62" customFormat="1" ht="15.75"/>
    <row r="576" s="62" customFormat="1" ht="15.75"/>
    <row r="577" s="62" customFormat="1" ht="15.75"/>
    <row r="578" s="62" customFormat="1" ht="15.75"/>
    <row r="579" s="62" customFormat="1" ht="15.75"/>
    <row r="580" s="62" customFormat="1" ht="15.75"/>
    <row r="581" s="62" customFormat="1" ht="15.75"/>
    <row r="582" s="62" customFormat="1" ht="15.75"/>
    <row r="583" s="62" customFormat="1" ht="15.75"/>
    <row r="584" s="62" customFormat="1" ht="15.75"/>
    <row r="585" s="62" customFormat="1" ht="15.75"/>
    <row r="586" s="62" customFormat="1" ht="15.75"/>
    <row r="587" s="62" customFormat="1" ht="15.75"/>
    <row r="588" s="62" customFormat="1" ht="15.75"/>
    <row r="589" s="62" customFormat="1" ht="15.75"/>
    <row r="590" s="62" customFormat="1" ht="15.75"/>
    <row r="591" s="62" customFormat="1" ht="15.75"/>
    <row r="592" s="62" customFormat="1" ht="15.75"/>
    <row r="593" s="62" customFormat="1" ht="15.75"/>
    <row r="594" s="62" customFormat="1" ht="15.75"/>
    <row r="595" s="62" customFormat="1" ht="15.75"/>
    <row r="596" s="62" customFormat="1" ht="15.75"/>
    <row r="597" s="62" customFormat="1" ht="15.75"/>
    <row r="598" s="62" customFormat="1" ht="15.75"/>
    <row r="599" s="62" customFormat="1" ht="15.75"/>
    <row r="600" s="62" customFormat="1" ht="15.75"/>
    <row r="601" s="62" customFormat="1" ht="15.75"/>
    <row r="602" s="62" customFormat="1" ht="15.75"/>
    <row r="603" s="62" customFormat="1" ht="15.75"/>
    <row r="604" s="62" customFormat="1" ht="15.75"/>
    <row r="605" s="62" customFormat="1" ht="15.75"/>
    <row r="606" s="62" customFormat="1" ht="15.75"/>
    <row r="607" s="62" customFormat="1" ht="15.75"/>
    <row r="608" s="62" customFormat="1" ht="15.75"/>
    <row r="609" s="62" customFormat="1" ht="15.75"/>
    <row r="610" s="62" customFormat="1" ht="15.75"/>
    <row r="611" s="62" customFormat="1" ht="15.75"/>
    <row r="612" s="62" customFormat="1" ht="15.75"/>
    <row r="613" s="62" customFormat="1" ht="15.75"/>
    <row r="614" s="62" customFormat="1" ht="15.75"/>
    <row r="615" s="62" customFormat="1" ht="15.75"/>
    <row r="616" s="62" customFormat="1" ht="15.75"/>
    <row r="617" s="62" customFormat="1" ht="15.75"/>
    <row r="618" s="62" customFormat="1" ht="15.75"/>
    <row r="619" s="62" customFormat="1" ht="15.75"/>
    <row r="620" s="62" customFormat="1" ht="15.75"/>
    <row r="621" s="62" customFormat="1" ht="15.75"/>
    <row r="622" s="62" customFormat="1" ht="15.75"/>
    <row r="623" s="62" customFormat="1" ht="15.75"/>
    <row r="624" s="62" customFormat="1" ht="15.75"/>
    <row r="625" s="62" customFormat="1" ht="15.75"/>
    <row r="626" s="62" customFormat="1" ht="15.75"/>
    <row r="627" s="62" customFormat="1" ht="15.75"/>
    <row r="628" s="62" customFormat="1" ht="15.75"/>
    <row r="629" s="62" customFormat="1" ht="15.75"/>
    <row r="630" s="62" customFormat="1" ht="15.75"/>
    <row r="631" s="62" customFormat="1" ht="15.75"/>
    <row r="632" s="62" customFormat="1" ht="15.75"/>
    <row r="633" s="62" customFormat="1" ht="15.75"/>
    <row r="634" s="62" customFormat="1" ht="15.75"/>
    <row r="635" s="62" customFormat="1" ht="15.75"/>
    <row r="636" s="62" customFormat="1" ht="15.75"/>
    <row r="637" s="62" customFormat="1" ht="15.75"/>
    <row r="638" s="62" customFormat="1" ht="15.75"/>
    <row r="639" s="62" customFormat="1" ht="15.75"/>
    <row r="640" s="62" customFormat="1" ht="15.75"/>
    <row r="641" s="62" customFormat="1" ht="15.75"/>
    <row r="642" s="62" customFormat="1" ht="15.75"/>
    <row r="643" s="62" customFormat="1" ht="15.75"/>
    <row r="644" s="62" customFormat="1" ht="15.75"/>
    <row r="645" s="62" customFormat="1" ht="15.75"/>
    <row r="646" s="62" customFormat="1" ht="15.75"/>
    <row r="647" s="62" customFormat="1" ht="15.75"/>
    <row r="648" s="62" customFormat="1" ht="15.75"/>
    <row r="649" s="62" customFormat="1" ht="15.75"/>
    <row r="650" s="62" customFormat="1" ht="15.75"/>
    <row r="651" s="62" customFormat="1" ht="15.75"/>
    <row r="652" s="62" customFormat="1" ht="15.75"/>
    <row r="653" s="62" customFormat="1" ht="15.75"/>
    <row r="654" s="62" customFormat="1" ht="15.75"/>
    <row r="655" s="62" customFormat="1" ht="15.75"/>
    <row r="656" s="62" customFormat="1" ht="15.75"/>
    <row r="657" s="62" customFormat="1" ht="15.75"/>
    <row r="658" s="62" customFormat="1" ht="15.75"/>
    <row r="659" s="62" customFormat="1" ht="15.75"/>
    <row r="660" s="62" customFormat="1" ht="15.75"/>
    <row r="661" s="62" customFormat="1" ht="15.75"/>
    <row r="662" s="62" customFormat="1" ht="15.75"/>
    <row r="663" s="62" customFormat="1" ht="15.75"/>
    <row r="664" s="62" customFormat="1" ht="15.75"/>
    <row r="665" s="62" customFormat="1" ht="15.75"/>
    <row r="666" s="62" customFormat="1" ht="15.75"/>
    <row r="667" s="62" customFormat="1" ht="15.75"/>
    <row r="668" s="62" customFormat="1" ht="15.75"/>
    <row r="669" s="62" customFormat="1" ht="15.75"/>
    <row r="670" s="62" customFormat="1" ht="15.75"/>
    <row r="671" s="62" customFormat="1" ht="15.75"/>
    <row r="672" s="62" customFormat="1" ht="15.75"/>
    <row r="673" s="62" customFormat="1" ht="15.75"/>
    <row r="674" s="62" customFormat="1" ht="15.75"/>
    <row r="675" s="62" customFormat="1" ht="15.75"/>
    <row r="676" s="62" customFormat="1" ht="15.75"/>
    <row r="677" s="62" customFormat="1" ht="15.75"/>
    <row r="678" s="62" customFormat="1" ht="15.75"/>
    <row r="679" s="62" customFormat="1" ht="15.75"/>
    <row r="680" s="62" customFormat="1" ht="15.75"/>
    <row r="681" s="62" customFormat="1" ht="15.75"/>
    <row r="682" s="62" customFormat="1" ht="15.75"/>
    <row r="683" s="62" customFormat="1" ht="15.75"/>
    <row r="684" s="62" customFormat="1" ht="15.75"/>
    <row r="685" s="62" customFormat="1" ht="15.75"/>
    <row r="686" s="62" customFormat="1" ht="15.75"/>
    <row r="687" s="62" customFormat="1" ht="15.75"/>
    <row r="688" s="62" customFormat="1" ht="15.75"/>
    <row r="689" s="62" customFormat="1" ht="15.75"/>
    <row r="690" s="62" customFormat="1" ht="15.75"/>
    <row r="691" s="62" customFormat="1" ht="15.75"/>
    <row r="692" s="62" customFormat="1" ht="15.75"/>
    <row r="693" s="62" customFormat="1" ht="15.75"/>
    <row r="694" s="62" customFormat="1" ht="15.75"/>
    <row r="695" s="62" customFormat="1" ht="15.75"/>
    <row r="696" s="62" customFormat="1" ht="15.75"/>
    <row r="697" s="62" customFormat="1" ht="15.75"/>
    <row r="698" s="62" customFormat="1" ht="15.75"/>
    <row r="699" s="62" customFormat="1" ht="15.75"/>
    <row r="700" s="62" customFormat="1" ht="15.75"/>
    <row r="701" s="62" customFormat="1" ht="15.75"/>
    <row r="702" s="62" customFormat="1" ht="15.75"/>
    <row r="703" s="62" customFormat="1" ht="15.75"/>
    <row r="704" s="62" customFormat="1" ht="15.75"/>
    <row r="705" s="62" customFormat="1" ht="15.75"/>
    <row r="706" s="62" customFormat="1" ht="15.75"/>
    <row r="707" s="62" customFormat="1" ht="15.75"/>
    <row r="708" s="62" customFormat="1" ht="15.75"/>
    <row r="709" s="62" customFormat="1" ht="15.75"/>
    <row r="710" s="62" customFormat="1" ht="15.75"/>
    <row r="711" s="62" customFormat="1" ht="15.75"/>
    <row r="712" s="62" customFormat="1" ht="15.75"/>
    <row r="713" s="62" customFormat="1" ht="15.75"/>
    <row r="714" s="62" customFormat="1" ht="15.75"/>
    <row r="715" s="62" customFormat="1" ht="15.75"/>
    <row r="716" s="62" customFormat="1" ht="15.75"/>
    <row r="717" s="62" customFormat="1" ht="15.75"/>
    <row r="718" s="62" customFormat="1" ht="15.75"/>
    <row r="719" s="62" customFormat="1" ht="15.75"/>
    <row r="720" s="62" customFormat="1" ht="15.75"/>
    <row r="721" s="62" customFormat="1" ht="15.75"/>
    <row r="722" s="62" customFormat="1" ht="15.75"/>
    <row r="723" s="62" customFormat="1" ht="15.75"/>
    <row r="724" s="62" customFormat="1" ht="15.75"/>
    <row r="725" s="62" customFormat="1" ht="15.75"/>
    <row r="726" s="62" customFormat="1" ht="15.75"/>
    <row r="727" s="62" customFormat="1" ht="15.75"/>
    <row r="728" s="62" customFormat="1" ht="15.75"/>
    <row r="729" s="62" customFormat="1" ht="15.75"/>
    <row r="730" s="62" customFormat="1" ht="15.75"/>
    <row r="731" s="62" customFormat="1" ht="15.75"/>
    <row r="732" s="62" customFormat="1" ht="15.75"/>
    <row r="733" s="62" customFormat="1" ht="15.75"/>
    <row r="734" s="62" customFormat="1" ht="15.75"/>
    <row r="735" s="62" customFormat="1" ht="15.75"/>
    <row r="736" s="62" customFormat="1" ht="15.75"/>
    <row r="737" s="62" customFormat="1" ht="15.75"/>
    <row r="738" s="62" customFormat="1" ht="15.75"/>
    <row r="739" s="62" customFormat="1" ht="15.75"/>
    <row r="740" s="62" customFormat="1" ht="15.75"/>
    <row r="741" s="62" customFormat="1" ht="15.75"/>
    <row r="742" s="62" customFormat="1" ht="15.75"/>
    <row r="743" s="62" customFormat="1" ht="15.75"/>
    <row r="744" s="62" customFormat="1" ht="15.75"/>
    <row r="745" s="62" customFormat="1" ht="15.75"/>
    <row r="746" s="62" customFormat="1" ht="15.75"/>
    <row r="747" s="62" customFormat="1" ht="15.75"/>
    <row r="748" s="62" customFormat="1" ht="15.75"/>
    <row r="749" s="62" customFormat="1" ht="15.75"/>
    <row r="750" s="62" customFormat="1" ht="15.75"/>
    <row r="751" s="62" customFormat="1" ht="15.75"/>
    <row r="752" s="62" customFormat="1" ht="15.75"/>
    <row r="753" s="62" customFormat="1" ht="15.75"/>
    <row r="754" s="62" customFormat="1" ht="15.75"/>
    <row r="755" s="62" customFormat="1" ht="15.75"/>
    <row r="756" s="62" customFormat="1" ht="15.75"/>
    <row r="757" s="62" customFormat="1" ht="15.75"/>
    <row r="758" s="62" customFormat="1" ht="15.75"/>
    <row r="759" s="62" customFormat="1" ht="15.75"/>
    <row r="760" s="62" customFormat="1" ht="15.75"/>
    <row r="761" s="62" customFormat="1" ht="15.75"/>
    <row r="762" s="62" customFormat="1" ht="15.75"/>
    <row r="763" s="62" customFormat="1" ht="15.75"/>
    <row r="764" s="62" customFormat="1" ht="15.75"/>
    <row r="765" s="62" customFormat="1" ht="15.75"/>
    <row r="766" s="62" customFormat="1" ht="15.75"/>
    <row r="767" s="62" customFormat="1" ht="15.75"/>
    <row r="768" s="62" customFormat="1" ht="15.75"/>
    <row r="769" s="62" customFormat="1" ht="15.75"/>
    <row r="770" s="62" customFormat="1" ht="15.75"/>
    <row r="771" s="62" customFormat="1" ht="15.75"/>
    <row r="772" s="62" customFormat="1" ht="15.75"/>
    <row r="773" s="62" customFormat="1" ht="15.75"/>
    <row r="774" s="62" customFormat="1" ht="15.75"/>
    <row r="775" s="62" customFormat="1" ht="15.75"/>
    <row r="776" s="62" customFormat="1" ht="15.75"/>
    <row r="777" s="62" customFormat="1" ht="15.75"/>
    <row r="778" s="62" customFormat="1" ht="15.75"/>
    <row r="779" s="62" customFormat="1" ht="15.75"/>
    <row r="780" s="62" customFormat="1" ht="15.75"/>
    <row r="781" s="62" customFormat="1" ht="15.75"/>
    <row r="782" s="62" customFormat="1" ht="15.75"/>
    <row r="783" s="62" customFormat="1" ht="15.75"/>
    <row r="784" s="62" customFormat="1" ht="15.75"/>
    <row r="785" s="62" customFormat="1" ht="15.75"/>
    <row r="786" s="62" customFormat="1" ht="15.75"/>
    <row r="787" s="62" customFormat="1" ht="15.75"/>
    <row r="788" s="62" customFormat="1" ht="15.75"/>
    <row r="789" s="62" customFormat="1" ht="15.75"/>
    <row r="790" s="62" customFormat="1" ht="15.75"/>
    <row r="791" s="62" customFormat="1" ht="15.75"/>
    <row r="792" s="62" customFormat="1" ht="15.75"/>
    <row r="793" s="62" customFormat="1" ht="15.75"/>
    <row r="794" s="62" customFormat="1" ht="15.75"/>
    <row r="795" s="62" customFormat="1" ht="15.75"/>
    <row r="796" s="62" customFormat="1" ht="15.75"/>
    <row r="797" s="62" customFormat="1" ht="15.75"/>
    <row r="798" s="62" customFormat="1" ht="15.75"/>
    <row r="799" s="62" customFormat="1" ht="15.75"/>
    <row r="800" s="62" customFormat="1" ht="15.75"/>
    <row r="801" s="62" customFormat="1" ht="15.75"/>
    <row r="802" s="62" customFormat="1" ht="15.75"/>
    <row r="803" s="62" customFormat="1" ht="15.75"/>
    <row r="804" s="62" customFormat="1" ht="15.75"/>
    <row r="805" s="62" customFormat="1" ht="15.75"/>
    <row r="806" s="62" customFormat="1" ht="15.75"/>
    <row r="807" s="62" customFormat="1" ht="15.75"/>
    <row r="808" s="62" customFormat="1" ht="15.75"/>
    <row r="809" s="62" customFormat="1" ht="15.75"/>
    <row r="810" s="62" customFormat="1" ht="15.75"/>
    <row r="811" s="62" customFormat="1" ht="15.75"/>
    <row r="812" s="62" customFormat="1" ht="15.75"/>
    <row r="813" s="62" customFormat="1" ht="15.75"/>
    <row r="814" s="62" customFormat="1" ht="15.75"/>
    <row r="815" s="62" customFormat="1" ht="15.75"/>
    <row r="816" s="62" customFormat="1" ht="15.75"/>
    <row r="817" s="62" customFormat="1" ht="15.75"/>
    <row r="818" s="62" customFormat="1" ht="15.75"/>
    <row r="819" s="62" customFormat="1" ht="15.75"/>
    <row r="820" s="62" customFormat="1" ht="15.75"/>
    <row r="821" s="62" customFormat="1" ht="15.75"/>
    <row r="822" s="62" customFormat="1" ht="15.75"/>
    <row r="823" s="62" customFormat="1" ht="15.75"/>
    <row r="824" s="62" customFormat="1" ht="15.75"/>
    <row r="825" s="62" customFormat="1" ht="15.75"/>
    <row r="826" s="62" customFormat="1" ht="15.75"/>
    <row r="827" s="62" customFormat="1" ht="15.75"/>
    <row r="828" s="62" customFormat="1" ht="15.75"/>
    <row r="829" s="62" customFormat="1" ht="15.75"/>
    <row r="830" s="62" customFormat="1" ht="15.75"/>
    <row r="831" s="62" customFormat="1" ht="15.75"/>
    <row r="832" s="62" customFormat="1" ht="15.75"/>
    <row r="833" s="62" customFormat="1" ht="15.75"/>
    <row r="834" s="62" customFormat="1" ht="15.75"/>
    <row r="835" s="62" customFormat="1" ht="15.75"/>
    <row r="836" s="62" customFormat="1" ht="15.75"/>
    <row r="837" s="62" customFormat="1" ht="15.75"/>
    <row r="838" s="62" customFormat="1" ht="15.75"/>
    <row r="839" s="62" customFormat="1" ht="15.75"/>
    <row r="840" s="62" customFormat="1" ht="15.75"/>
    <row r="841" s="62" customFormat="1" ht="15.75"/>
    <row r="842" s="62" customFormat="1" ht="15.75"/>
    <row r="843" s="62" customFormat="1" ht="15.75"/>
    <row r="844" s="62" customFormat="1" ht="15.75"/>
    <row r="845" s="62" customFormat="1" ht="15.75"/>
    <row r="846" s="62" customFormat="1" ht="15.75"/>
    <row r="847" s="62" customFormat="1" ht="15.75"/>
    <row r="848" s="62" customFormat="1" ht="15.75"/>
    <row r="849" s="62" customFormat="1" ht="15.75"/>
    <row r="850" s="62" customFormat="1" ht="15.75"/>
    <row r="851" s="62" customFormat="1" ht="15.75"/>
    <row r="852" s="62" customFormat="1" ht="15.75"/>
    <row r="853" s="62" customFormat="1" ht="15.75"/>
    <row r="854" s="62" customFormat="1" ht="15.75"/>
    <row r="855" s="62" customFormat="1" ht="15.75"/>
    <row r="856" s="62" customFormat="1" ht="15.75"/>
    <row r="857" s="62" customFormat="1" ht="15.75"/>
    <row r="858" s="62" customFormat="1" ht="15.75"/>
    <row r="859" s="62" customFormat="1" ht="15.75"/>
    <row r="860" s="62" customFormat="1" ht="15.75"/>
    <row r="861" s="62" customFormat="1" ht="15.75"/>
    <row r="862" s="62" customFormat="1" ht="15.75"/>
    <row r="863" s="62" customFormat="1" ht="15.75"/>
    <row r="864" s="62" customFormat="1" ht="15.75"/>
    <row r="865" s="62" customFormat="1" ht="15.75"/>
    <row r="866" s="62" customFormat="1" ht="15.75"/>
    <row r="867" s="62" customFormat="1" ht="15.75"/>
    <row r="868" s="62" customFormat="1" ht="15.75"/>
    <row r="869" s="62" customFormat="1" ht="15.75"/>
    <row r="870" s="62" customFormat="1" ht="15.75"/>
    <row r="871" s="62" customFormat="1" ht="15.75"/>
    <row r="872" s="62" customFormat="1" ht="15.75"/>
    <row r="873" s="62" customFormat="1" ht="15.75"/>
    <row r="874" s="62" customFormat="1" ht="15.75"/>
    <row r="875" s="62" customFormat="1" ht="15.75"/>
    <row r="876" s="62" customFormat="1" ht="15.75"/>
    <row r="877" s="62" customFormat="1" ht="15.75"/>
    <row r="878" s="62" customFormat="1" ht="15.75"/>
    <row r="879" s="62" customFormat="1" ht="15.75"/>
    <row r="880" s="62" customFormat="1" ht="15.75"/>
    <row r="881" s="62" customFormat="1" ht="15.75"/>
    <row r="882" s="62" customFormat="1" ht="15.75"/>
    <row r="883" s="62" customFormat="1" ht="15.75"/>
    <row r="884" s="62" customFormat="1" ht="15.75"/>
    <row r="885" s="62" customFormat="1" ht="15.75"/>
    <row r="886" s="62" customFormat="1" ht="15.75"/>
    <row r="887" s="62" customFormat="1" ht="15.75"/>
    <row r="888" s="62" customFormat="1" ht="15.75"/>
    <row r="889" s="62" customFormat="1" ht="15.75"/>
    <row r="890" s="62" customFormat="1" ht="15.75"/>
    <row r="891" s="62" customFormat="1" ht="15.75"/>
    <row r="892" s="62" customFormat="1" ht="15.75"/>
    <row r="893" s="62" customFormat="1" ht="15.75"/>
    <row r="894" s="62" customFormat="1" ht="15.75"/>
    <row r="895" s="62" customFormat="1" ht="15.75"/>
    <row r="896" s="62" customFormat="1" ht="15.75"/>
    <row r="897" s="62" customFormat="1" ht="15.75"/>
    <row r="898" s="62" customFormat="1" ht="15.75"/>
    <row r="899" s="62" customFormat="1" ht="15.75"/>
    <row r="900" s="62" customFormat="1" ht="15.75"/>
    <row r="901" s="62" customFormat="1" ht="15.75"/>
    <row r="902" s="62" customFormat="1" ht="15.75"/>
    <row r="903" s="62" customFormat="1" ht="15.75"/>
    <row r="904" s="62" customFormat="1" ht="15.75"/>
    <row r="905" s="62" customFormat="1" ht="15.75"/>
    <row r="906" s="62" customFormat="1" ht="15.75"/>
    <row r="907" s="62" customFormat="1" ht="15.75"/>
    <row r="908" s="62" customFormat="1" ht="15.75"/>
    <row r="909" s="62" customFormat="1" ht="15.75"/>
    <row r="910" s="62" customFormat="1" ht="15.75"/>
    <row r="911" s="62" customFormat="1" ht="15.75"/>
    <row r="912" s="62" customFormat="1" ht="15.75"/>
    <row r="913" s="62" customFormat="1" ht="15.75"/>
    <row r="914" s="62" customFormat="1" ht="15.75"/>
    <row r="915" s="62" customFormat="1" ht="15.75"/>
    <row r="916" s="62" customFormat="1" ht="15.75"/>
    <row r="917" s="62" customFormat="1" ht="15.75"/>
    <row r="918" s="62" customFormat="1" ht="15.75"/>
    <row r="919" s="62" customFormat="1" ht="15.75"/>
    <row r="920" s="62" customFormat="1" ht="15.75"/>
    <row r="921" s="62" customFormat="1" ht="15.75"/>
    <row r="922" s="62" customFormat="1" ht="15.75"/>
    <row r="923" s="62" customFormat="1" ht="15.75"/>
    <row r="924" s="62" customFormat="1" ht="15.75"/>
    <row r="925" s="62" customFormat="1" ht="15.75"/>
    <row r="926" s="62" customFormat="1" ht="15.75"/>
    <row r="927" s="62" customFormat="1" ht="15.75"/>
    <row r="928" s="62" customFormat="1" ht="15.75"/>
    <row r="929" s="62" customFormat="1" ht="15.75"/>
    <row r="930" s="62" customFormat="1" ht="15.75"/>
    <row r="931" s="62" customFormat="1" ht="15.75"/>
    <row r="932" s="62" customFormat="1" ht="15.75"/>
    <row r="933" s="62" customFormat="1" ht="15.75"/>
    <row r="934" s="62" customFormat="1" ht="15.75"/>
    <row r="935" s="62" customFormat="1" ht="15.75"/>
    <row r="936" s="62" customFormat="1" ht="15.75"/>
    <row r="937" s="62" customFormat="1" ht="15.75"/>
    <row r="938" s="62" customFormat="1" ht="15.75"/>
    <row r="939" s="62" customFormat="1" ht="15.75"/>
    <row r="940" s="62" customFormat="1" ht="15.75"/>
    <row r="941" s="62" customFormat="1" ht="15.75"/>
    <row r="942" s="62" customFormat="1" ht="15.75"/>
    <row r="943" s="62" customFormat="1" ht="15.75"/>
    <row r="944" s="62" customFormat="1" ht="15.75"/>
    <row r="945" s="62" customFormat="1" ht="15.75"/>
    <row r="946" s="62" customFormat="1" ht="15.75"/>
    <row r="947" s="62" customFormat="1" ht="15.75"/>
    <row r="948" s="62" customFormat="1" ht="15.75"/>
    <row r="949" s="62" customFormat="1" ht="15.75"/>
    <row r="950" s="62" customFormat="1" ht="15.75"/>
    <row r="951" s="62" customFormat="1" ht="15.75"/>
    <row r="952" s="62" customFormat="1" ht="15.75"/>
    <row r="953" s="62" customFormat="1" ht="15.75"/>
    <row r="954" s="62" customFormat="1" ht="15.75"/>
    <row r="955" s="62" customFormat="1" ht="15.75"/>
    <row r="956" s="62" customFormat="1" ht="15.75"/>
    <row r="957" s="62" customFormat="1" ht="15.75"/>
    <row r="958" s="62" customFormat="1" ht="15.75"/>
    <row r="959" s="62" customFormat="1" ht="15.75"/>
    <row r="960" s="62" customFormat="1" ht="15.75"/>
    <row r="961" s="62" customFormat="1" ht="15.75"/>
    <row r="962" s="62" customFormat="1" ht="15.75"/>
    <row r="963" s="62" customFormat="1" ht="15.75"/>
    <row r="964" s="62" customFormat="1" ht="15.75"/>
    <row r="965" s="62" customFormat="1" ht="15.75"/>
    <row r="966" s="62" customFormat="1" ht="15.75"/>
    <row r="967" s="62" customFormat="1" ht="15.75"/>
    <row r="968" s="62" customFormat="1" ht="15.75"/>
    <row r="969" s="62" customFormat="1" ht="15.75"/>
    <row r="970" s="62" customFormat="1" ht="15.75"/>
    <row r="971" s="62" customFormat="1" ht="15.75"/>
    <row r="972" s="62" customFormat="1" ht="15.75"/>
    <row r="973" s="62" customFormat="1" ht="15.75"/>
    <row r="974" s="62" customFormat="1" ht="15.75"/>
    <row r="975" s="62" customFormat="1" ht="15.75"/>
    <row r="976" s="62" customFormat="1" ht="15.75"/>
    <row r="977" s="62" customFormat="1" ht="15.75"/>
    <row r="978" s="62" customFormat="1" ht="15.75"/>
    <row r="979" s="62" customFormat="1" ht="15.75"/>
    <row r="980" s="62" customFormat="1" ht="15.75"/>
    <row r="981" s="62" customFormat="1" ht="15.75"/>
    <row r="982" s="62" customFormat="1" ht="15.75"/>
    <row r="983" s="62" customFormat="1" ht="15.75"/>
    <row r="984" s="62" customFormat="1" ht="15.75"/>
    <row r="985" s="62" customFormat="1" ht="15.75"/>
    <row r="986" s="62" customFormat="1" ht="15.75"/>
    <row r="987" s="62" customFormat="1" ht="15.75"/>
    <row r="988" s="62" customFormat="1" ht="15.75"/>
    <row r="989" s="62" customFormat="1" ht="15.75"/>
    <row r="990" s="62" customFormat="1" ht="15.75"/>
    <row r="991" s="62" customFormat="1" ht="15.75"/>
    <row r="992" s="62" customFormat="1" ht="15.75"/>
    <row r="993" s="62" customFormat="1" ht="15.75"/>
    <row r="994" s="62" customFormat="1" ht="15.75"/>
    <row r="995" s="62" customFormat="1" ht="15.75"/>
    <row r="996" s="62" customFormat="1" ht="15.75"/>
    <row r="997" s="62" customFormat="1" ht="15.75"/>
    <row r="998" s="62" customFormat="1" ht="15.75"/>
    <row r="999" s="62" customFormat="1" ht="15.75"/>
    <row r="1000" s="62" customFormat="1" ht="15.75"/>
    <row r="1001" s="62" customFormat="1" ht="15.75"/>
    <row r="1002" s="62" customFormat="1" ht="15.75"/>
    <row r="1003" s="62" customFormat="1" ht="15.75"/>
    <row r="1004" s="62" customFormat="1" ht="15.75"/>
    <row r="1005" s="62" customFormat="1" ht="15.75"/>
    <row r="1006" s="62" customFormat="1" ht="15.75"/>
    <row r="1007" s="62" customFormat="1" ht="15.75"/>
    <row r="1008" s="62" customFormat="1" ht="15.75"/>
    <row r="1009" s="62" customFormat="1" ht="15.75"/>
    <row r="1010" s="62" customFormat="1" ht="15.75"/>
    <row r="1011" s="62" customFormat="1" ht="15.75"/>
    <row r="1012" s="62" customFormat="1" ht="15.75"/>
    <row r="1013" s="62" customFormat="1" ht="15.75"/>
    <row r="1014" s="62" customFormat="1" ht="15.75"/>
    <row r="1015" s="62" customFormat="1" ht="15.75"/>
    <row r="1016" s="62" customFormat="1" ht="15.75"/>
    <row r="1017" s="62" customFormat="1" ht="15.75"/>
    <row r="1018" s="62" customFormat="1" ht="15.75"/>
    <row r="1019" s="62" customFormat="1" ht="15.75"/>
    <row r="1020" s="62" customFormat="1" ht="15.75"/>
    <row r="1021" s="62" customFormat="1" ht="15.75"/>
    <row r="1022" s="62" customFormat="1" ht="15.75"/>
    <row r="1023" s="62" customFormat="1" ht="15.75"/>
    <row r="1024" s="62" customFormat="1" ht="15.75"/>
    <row r="1025" s="62" customFormat="1" ht="15.75"/>
    <row r="1026" s="62" customFormat="1" ht="15.75"/>
    <row r="1027" s="62" customFormat="1" ht="15.75"/>
    <row r="1028" s="62" customFormat="1" ht="15.75"/>
    <row r="1029" s="62" customFormat="1" ht="15.75"/>
    <row r="1030" s="62" customFormat="1" ht="15.75"/>
    <row r="1031" s="62" customFormat="1" ht="15.75"/>
    <row r="1032" s="62" customFormat="1" ht="15.75"/>
    <row r="1033" s="62" customFormat="1" ht="15.75"/>
    <row r="1034" s="62" customFormat="1" ht="15.75"/>
    <row r="1035" s="62" customFormat="1" ht="15.75"/>
    <row r="1036" s="62" customFormat="1" ht="15.75"/>
    <row r="1037" s="62" customFormat="1" ht="15.75"/>
    <row r="1038" s="62" customFormat="1" ht="15.75"/>
    <row r="1039" s="62" customFormat="1" ht="15.75"/>
    <row r="1040" s="62" customFormat="1" ht="15.75"/>
    <row r="1041" s="62" customFormat="1" ht="15.75"/>
    <row r="1042" s="62" customFormat="1" ht="15.75"/>
    <row r="1043" s="62" customFormat="1" ht="15.75"/>
    <row r="1044" s="62" customFormat="1" ht="15.75"/>
    <row r="1045" s="62" customFormat="1" ht="15.75"/>
    <row r="1046" s="62" customFormat="1" ht="15.75"/>
    <row r="1047" s="62" customFormat="1" ht="15.75"/>
    <row r="1048" s="62" customFormat="1" ht="15.75"/>
    <row r="1049" s="62" customFormat="1" ht="15.75"/>
    <row r="1050" s="62" customFormat="1" ht="15.75"/>
    <row r="1051" s="62" customFormat="1" ht="15.75"/>
    <row r="1052" s="62" customFormat="1" ht="15.75"/>
    <row r="1053" s="62" customFormat="1" ht="15.75"/>
    <row r="1054" s="62" customFormat="1" ht="15.75"/>
    <row r="1055" s="62" customFormat="1" ht="15.75"/>
    <row r="1056" s="62" customFormat="1" ht="15.75"/>
    <row r="1057" s="62" customFormat="1" ht="15.75"/>
    <row r="1058" s="62" customFormat="1" ht="15.75"/>
    <row r="1059" s="62" customFormat="1" ht="15.75"/>
    <row r="1060" s="62" customFormat="1" ht="15.75"/>
    <row r="1061" s="62" customFormat="1" ht="15.75"/>
    <row r="1062" s="62" customFormat="1" ht="15.75"/>
    <row r="1063" s="62" customFormat="1" ht="15.75"/>
    <row r="1064" s="62" customFormat="1" ht="15.75"/>
    <row r="1065" s="62" customFormat="1" ht="15.75"/>
    <row r="1066" s="62" customFormat="1" ht="15.75"/>
    <row r="1067" s="62" customFormat="1" ht="15.75"/>
    <row r="1068" s="62" customFormat="1" ht="15.75"/>
    <row r="1069" s="62" customFormat="1" ht="15.75"/>
    <row r="1070" s="62" customFormat="1" ht="15.75"/>
    <row r="1071" s="62" customFormat="1" ht="15.75"/>
    <row r="1072" s="62" customFormat="1" ht="15.75"/>
    <row r="1073" s="62" customFormat="1" ht="15.75"/>
    <row r="1074" s="62" customFormat="1" ht="15.75"/>
    <row r="1075" s="62" customFormat="1" ht="15.75"/>
    <row r="1076" s="62" customFormat="1" ht="15.75"/>
    <row r="1077" s="62" customFormat="1" ht="15.75"/>
    <row r="1078" s="62" customFormat="1" ht="15.75"/>
    <row r="1079" s="62" customFormat="1" ht="15.75"/>
    <row r="1080" s="62" customFormat="1" ht="15.75"/>
    <row r="1081" s="62" customFormat="1" ht="15.75"/>
    <row r="1082" s="62" customFormat="1" ht="15.75"/>
    <row r="1083" s="62" customFormat="1" ht="15.75"/>
    <row r="1084" s="62" customFormat="1" ht="15.75"/>
    <row r="1085" s="62" customFormat="1" ht="15.75"/>
    <row r="1086" s="62" customFormat="1" ht="15.75"/>
    <row r="1087" s="62" customFormat="1" ht="15.75"/>
    <row r="1088" s="62" customFormat="1" ht="15.75"/>
    <row r="1089" s="62" customFormat="1" ht="15.75"/>
    <row r="1090" s="62" customFormat="1" ht="15.75"/>
    <row r="1091" s="62" customFormat="1" ht="15.75"/>
    <row r="1092" s="62" customFormat="1" ht="15.75"/>
    <row r="1093" s="62" customFormat="1" ht="15.75"/>
    <row r="1094" s="62" customFormat="1" ht="15.75"/>
    <row r="1095" s="62" customFormat="1" ht="15.75"/>
    <row r="1096" s="62" customFormat="1" ht="15.75"/>
    <row r="1097" s="62" customFormat="1" ht="15.75"/>
    <row r="1098" s="62" customFormat="1" ht="15.75"/>
    <row r="1099" s="62" customFormat="1" ht="15.75"/>
    <row r="1100" s="62" customFormat="1" ht="15.75"/>
    <row r="1101" s="62" customFormat="1" ht="15.75"/>
    <row r="1102" s="62" customFormat="1" ht="15.75"/>
    <row r="1103" s="62" customFormat="1" ht="15.75"/>
    <row r="1104" s="62" customFormat="1" ht="15.75"/>
    <row r="1105" s="62" customFormat="1" ht="15.75"/>
    <row r="1106" s="62" customFormat="1" ht="15.75"/>
    <row r="1107" s="62" customFormat="1" ht="15.75"/>
    <row r="1108" s="62" customFormat="1" ht="15.75"/>
    <row r="1109" s="62" customFormat="1" ht="15.75"/>
    <row r="1110" s="62" customFormat="1" ht="15.75"/>
    <row r="1111" s="62" customFormat="1" ht="15.75"/>
    <row r="1112" s="62" customFormat="1" ht="15.75"/>
    <row r="1113" s="62" customFormat="1" ht="15.75"/>
    <row r="1114" s="62" customFormat="1" ht="15.75"/>
    <row r="1115" s="62" customFormat="1" ht="15.75"/>
    <row r="1116" s="62" customFormat="1" ht="15.75"/>
    <row r="1117" s="62" customFormat="1" ht="15.75"/>
    <row r="1118" s="62" customFormat="1" ht="15.75"/>
    <row r="1119" s="62" customFormat="1" ht="15.75"/>
    <row r="1120" s="62" customFormat="1" ht="15.75"/>
    <row r="1121" s="62" customFormat="1" ht="15.75"/>
    <row r="1122" s="62" customFormat="1" ht="15.75"/>
    <row r="1123" s="62" customFormat="1" ht="15.75"/>
    <row r="1124" s="62" customFormat="1" ht="15.75"/>
    <row r="1125" s="62" customFormat="1" ht="15.75"/>
    <row r="1126" s="62" customFormat="1" ht="15.75"/>
    <row r="1127" s="62" customFormat="1" ht="15.75"/>
    <row r="1128" s="62" customFormat="1" ht="15.75"/>
    <row r="1129" s="62" customFormat="1" ht="15.75"/>
    <row r="1130" s="62" customFormat="1" ht="15.75"/>
    <row r="1131" s="62" customFormat="1" ht="15.75"/>
    <row r="1132" s="62" customFormat="1" ht="15.75"/>
    <row r="1133" s="62" customFormat="1" ht="15.75"/>
    <row r="1134" s="62" customFormat="1" ht="15.75"/>
    <row r="1135" s="62" customFormat="1" ht="15.75"/>
    <row r="1136" s="62" customFormat="1" ht="15.75"/>
    <row r="1137" s="62" customFormat="1" ht="15.75"/>
    <row r="1138" s="62" customFormat="1" ht="15.75"/>
    <row r="1139" s="62" customFormat="1" ht="15.75"/>
    <row r="1140" s="62" customFormat="1" ht="15.75"/>
    <row r="1141" s="62" customFormat="1" ht="15.75"/>
    <row r="1142" s="62" customFormat="1" ht="15.75"/>
    <row r="1143" s="62" customFormat="1" ht="15.75"/>
    <row r="1144" s="62" customFormat="1" ht="15.75"/>
    <row r="1145" s="62" customFormat="1" ht="15.75"/>
    <row r="1146" s="62" customFormat="1" ht="15.75"/>
    <row r="1147" s="62" customFormat="1" ht="15.75"/>
    <row r="1148" s="62" customFormat="1" ht="15.75"/>
    <row r="1149" s="62" customFormat="1" ht="15.75"/>
    <row r="1150" s="62" customFormat="1" ht="15.75"/>
    <row r="1151" s="62" customFormat="1" ht="15.75"/>
    <row r="1152" s="62" customFormat="1" ht="15.75"/>
    <row r="1153" s="62" customFormat="1" ht="15.75"/>
    <row r="1154" s="62" customFormat="1" ht="15.75"/>
    <row r="1155" s="62" customFormat="1" ht="15.75"/>
    <row r="1156" s="62" customFormat="1" ht="15.75"/>
    <row r="1157" s="62" customFormat="1" ht="15.75"/>
    <row r="1158" s="62" customFormat="1" ht="15.75"/>
    <row r="1159" s="62" customFormat="1" ht="15.75"/>
    <row r="1160" s="62" customFormat="1" ht="15.75"/>
    <row r="1161" s="62" customFormat="1" ht="15.75"/>
    <row r="1162" s="62" customFormat="1" ht="15.75"/>
    <row r="1163" s="62" customFormat="1" ht="15.75"/>
    <row r="1164" s="62" customFormat="1" ht="15.75"/>
    <row r="1165" s="62" customFormat="1" ht="15.75"/>
    <row r="1166" s="62" customFormat="1" ht="15.75"/>
    <row r="1167" s="62" customFormat="1" ht="15.75"/>
    <row r="1168" s="62" customFormat="1" ht="15.75"/>
    <row r="1169" s="62" customFormat="1" ht="15.75"/>
    <row r="1170" s="62" customFormat="1" ht="15.75"/>
    <row r="1171" s="62" customFormat="1" ht="15.75"/>
    <row r="1172" s="62" customFormat="1" ht="15.75"/>
    <row r="1173" s="62" customFormat="1" ht="15.75"/>
    <row r="1174" s="62" customFormat="1" ht="15.75"/>
    <row r="1175" s="62" customFormat="1" ht="15.75"/>
    <row r="1176" s="62" customFormat="1" ht="15.75"/>
    <row r="1177" s="62" customFormat="1" ht="15.75"/>
    <row r="1178" s="62" customFormat="1" ht="15.75"/>
    <row r="1179" s="62" customFormat="1" ht="15.75"/>
    <row r="1180" s="62" customFormat="1" ht="15.75"/>
    <row r="1181" s="62" customFormat="1" ht="15.75"/>
    <row r="1182" s="62" customFormat="1" ht="15.75"/>
    <row r="1183" s="62" customFormat="1" ht="15.75"/>
    <row r="1184" s="62" customFormat="1" ht="15.75"/>
    <row r="1185" s="62" customFormat="1" ht="15.75"/>
    <row r="1186" s="62" customFormat="1" ht="15.75"/>
    <row r="1187" s="62" customFormat="1" ht="15.75"/>
    <row r="1188" s="62" customFormat="1" ht="15.75"/>
    <row r="1189" s="62" customFormat="1" ht="15.75"/>
    <row r="1190" s="62" customFormat="1" ht="15.75"/>
    <row r="1191" s="62" customFormat="1" ht="15.75"/>
    <row r="1192" s="62" customFormat="1" ht="15.75"/>
    <row r="1193" s="62" customFormat="1" ht="15.75"/>
    <row r="1194" s="62" customFormat="1" ht="15.75"/>
    <row r="1195" s="62" customFormat="1" ht="15.75"/>
    <row r="1196" s="62" customFormat="1" ht="15.75"/>
    <row r="1197" s="62" customFormat="1" ht="15.75"/>
    <row r="1198" s="62" customFormat="1" ht="15.75"/>
    <row r="1199" s="62" customFormat="1" ht="15.75"/>
    <row r="1200" s="62" customFormat="1" ht="15.75"/>
    <row r="1201" s="62" customFormat="1" ht="15.75"/>
    <row r="1202" s="62" customFormat="1" ht="15.75"/>
    <row r="1203" s="62" customFormat="1" ht="15.75"/>
    <row r="1204" s="62" customFormat="1" ht="15.75"/>
    <row r="1205" s="62" customFormat="1" ht="15.75"/>
    <row r="1206" s="62" customFormat="1" ht="15.75"/>
    <row r="1207" s="62" customFormat="1" ht="15.75"/>
    <row r="1208" s="62" customFormat="1" ht="15.75"/>
    <row r="1209" s="62" customFormat="1" ht="15.75"/>
    <row r="1210" s="62" customFormat="1" ht="15.75"/>
    <row r="1211" s="62" customFormat="1" ht="15.75"/>
    <row r="1212" s="62" customFormat="1" ht="15.75"/>
    <row r="1213" s="62" customFormat="1" ht="15.75"/>
    <row r="1214" s="62" customFormat="1" ht="15.75"/>
    <row r="1215" s="62" customFormat="1" ht="15.75"/>
    <row r="1216" s="62" customFormat="1" ht="15.75"/>
    <row r="1217" s="62" customFormat="1" ht="15.75"/>
    <row r="1218" s="62" customFormat="1" ht="15.75"/>
    <row r="1219" s="62" customFormat="1" ht="15.75"/>
    <row r="1220" s="62" customFormat="1" ht="15.75"/>
    <row r="1221" s="62" customFormat="1" ht="15.75"/>
    <row r="1222" s="62" customFormat="1" ht="15.75"/>
    <row r="1223" s="62" customFormat="1" ht="15.75"/>
    <row r="1224" s="62" customFormat="1" ht="15.75"/>
    <row r="1225" s="62" customFormat="1" ht="15.75"/>
    <row r="1226" s="62" customFormat="1" ht="15.75"/>
    <row r="1227" s="62" customFormat="1" ht="15.75"/>
    <row r="1228" s="62" customFormat="1" ht="15.75"/>
    <row r="1229" s="62" customFormat="1" ht="15.75"/>
    <row r="1230" s="62" customFormat="1" ht="15.75"/>
    <row r="1231" s="62" customFormat="1" ht="15.75"/>
    <row r="1232" s="62" customFormat="1" ht="15.75"/>
    <row r="1233" s="62" customFormat="1" ht="15.75"/>
    <row r="1234" s="62" customFormat="1" ht="15.75"/>
    <row r="1235" s="62" customFormat="1" ht="15.75"/>
    <row r="1236" s="62" customFormat="1" ht="15.75"/>
    <row r="1237" s="62" customFormat="1" ht="15.75"/>
    <row r="1238" s="62" customFormat="1" ht="15.75"/>
    <row r="1239" s="62" customFormat="1" ht="15.75"/>
    <row r="1240" s="62" customFormat="1" ht="15.75"/>
    <row r="1241" s="62" customFormat="1" ht="15.75"/>
    <row r="1242" s="62" customFormat="1" ht="15.75"/>
    <row r="1243" s="62" customFormat="1" ht="15.75"/>
    <row r="1244" s="62" customFormat="1" ht="15.75"/>
    <row r="1245" s="62" customFormat="1" ht="15.75"/>
    <row r="1246" s="62" customFormat="1" ht="15.75"/>
    <row r="1247" s="62" customFormat="1" ht="15.75"/>
    <row r="1248" s="62" customFormat="1" ht="15.75"/>
    <row r="1249" s="62" customFormat="1" ht="15.75"/>
    <row r="1250" s="62" customFormat="1" ht="15.75"/>
    <row r="1251" s="62" customFormat="1" ht="15.75"/>
    <row r="1252" s="62" customFormat="1" ht="15.75"/>
    <row r="1253" s="62" customFormat="1" ht="15.75"/>
    <row r="1254" s="62" customFormat="1" ht="15.75"/>
    <row r="1255" s="62" customFormat="1" ht="15.75"/>
    <row r="1256" s="62" customFormat="1" ht="15.75"/>
    <row r="1257" s="62" customFormat="1" ht="15.75"/>
    <row r="1258" s="62" customFormat="1" ht="15.75"/>
    <row r="1259" s="62" customFormat="1" ht="15.75"/>
    <row r="1260" s="62" customFormat="1" ht="15.75"/>
    <row r="1261" s="62" customFormat="1" ht="15.75"/>
    <row r="1262" s="62" customFormat="1" ht="15.75"/>
    <row r="1263" s="62" customFormat="1" ht="15.75"/>
    <row r="1264" s="62" customFormat="1" ht="15.75"/>
    <row r="1265" s="62" customFormat="1" ht="15.75"/>
    <row r="1266" s="62" customFormat="1" ht="15.75"/>
    <row r="1267" s="62" customFormat="1" ht="15.75"/>
    <row r="1268" s="62" customFormat="1" ht="15.75"/>
    <row r="1269" s="62" customFormat="1" ht="15.75"/>
    <row r="1270" s="62" customFormat="1" ht="15.75"/>
    <row r="1271" s="62" customFormat="1" ht="15.75"/>
    <row r="1272" s="62" customFormat="1" ht="15.75"/>
    <row r="1273" s="62" customFormat="1" ht="15.75"/>
    <row r="1274" s="62" customFormat="1" ht="15.75"/>
    <row r="1275" s="62" customFormat="1" ht="15.75"/>
    <row r="1276" s="62" customFormat="1" ht="15.75"/>
    <row r="1277" s="62" customFormat="1" ht="15.75"/>
    <row r="1278" s="62" customFormat="1" ht="15.75"/>
    <row r="1279" s="62" customFormat="1" ht="15.75"/>
    <row r="1280" s="62" customFormat="1" ht="15.75"/>
    <row r="1281" s="62" customFormat="1" ht="15.75"/>
    <row r="1282" s="62" customFormat="1" ht="15.75"/>
    <row r="1283" s="62" customFormat="1" ht="15.75"/>
    <row r="1284" s="62" customFormat="1" ht="15.75"/>
    <row r="1285" s="62" customFormat="1" ht="15.75"/>
    <row r="1286" s="62" customFormat="1" ht="15.75"/>
    <row r="1287" s="62" customFormat="1" ht="15.75"/>
    <row r="1288" s="62" customFormat="1" ht="15.75"/>
    <row r="1289" s="62" customFormat="1" ht="15.75"/>
    <row r="1290" s="62" customFormat="1" ht="15.75"/>
    <row r="1291" s="62" customFormat="1" ht="15.75"/>
    <row r="1292" s="62" customFormat="1" ht="15.75"/>
    <row r="1293" s="62" customFormat="1" ht="15.75"/>
    <row r="1294" s="62" customFormat="1" ht="15.75"/>
    <row r="1295" s="62" customFormat="1" ht="15.75"/>
    <row r="1296" s="62" customFormat="1" ht="15.75"/>
    <row r="1297" s="62" customFormat="1" ht="15.75"/>
    <row r="1298" s="62" customFormat="1" ht="15.75"/>
    <row r="1299" s="62" customFormat="1" ht="15.75"/>
    <row r="1300" s="62" customFormat="1" ht="15.75"/>
    <row r="1301" s="62" customFormat="1" ht="15.75"/>
    <row r="1302" s="62" customFormat="1" ht="15.75"/>
    <row r="1303" s="62" customFormat="1" ht="15.75"/>
    <row r="1304" s="62" customFormat="1" ht="15.75"/>
    <row r="1305" s="62" customFormat="1" ht="15.75"/>
    <row r="1306" s="62" customFormat="1" ht="15.75"/>
    <row r="1307" s="62" customFormat="1" ht="15.75"/>
    <row r="1308" s="62" customFormat="1" ht="15.75"/>
    <row r="1309" s="62" customFormat="1" ht="15.75"/>
    <row r="1310" s="62" customFormat="1" ht="15.75"/>
    <row r="1311" s="62" customFormat="1" ht="15.75"/>
    <row r="1312" s="62" customFormat="1" ht="15.75"/>
    <row r="1313" s="62" customFormat="1" ht="15.75"/>
    <row r="1314" s="62" customFormat="1" ht="15.75"/>
    <row r="1315" s="62" customFormat="1" ht="15.75"/>
    <row r="1316" s="62" customFormat="1" ht="15.75"/>
    <row r="1317" s="62" customFormat="1" ht="15.75"/>
    <row r="1318" s="62" customFormat="1" ht="15.75"/>
    <row r="1319" s="62" customFormat="1" ht="15.75"/>
    <row r="1320" s="62" customFormat="1" ht="15.75"/>
    <row r="1321" s="62" customFormat="1" ht="15.75"/>
    <row r="1322" s="62" customFormat="1" ht="15.75"/>
    <row r="1323" s="62" customFormat="1" ht="15.75"/>
    <row r="1324" s="62" customFormat="1" ht="15.75"/>
    <row r="1325" s="62" customFormat="1" ht="15.75"/>
    <row r="1326" s="62" customFormat="1" ht="15.75"/>
    <row r="1327" s="62" customFormat="1" ht="15.75"/>
    <row r="1328" s="62" customFormat="1" ht="15.75"/>
    <row r="1329" s="62" customFormat="1" ht="15.75"/>
    <row r="1330" s="62" customFormat="1" ht="15.75"/>
    <row r="1331" s="62" customFormat="1" ht="15.75"/>
    <row r="1332" s="62" customFormat="1" ht="15.75"/>
    <row r="1333" s="62" customFormat="1" ht="15.75"/>
    <row r="1334" s="62" customFormat="1" ht="15.75"/>
    <row r="1335" s="62" customFormat="1" ht="15.75"/>
    <row r="1336" s="62" customFormat="1" ht="15.75"/>
    <row r="1337" s="62" customFormat="1" ht="15.75"/>
    <row r="1338" s="62" customFormat="1" ht="15.75"/>
    <row r="1339" s="62" customFormat="1" ht="15.75"/>
    <row r="1340" s="62" customFormat="1" ht="15.75"/>
    <row r="1341" s="62" customFormat="1" ht="15.75"/>
    <row r="1342" s="62" customFormat="1" ht="15.75"/>
    <row r="1343" s="62" customFormat="1" ht="15.75"/>
    <row r="1344" s="62" customFormat="1" ht="15.75"/>
    <row r="1345" s="62" customFormat="1" ht="15.75"/>
    <row r="1346" s="62" customFormat="1" ht="15.75"/>
    <row r="1347" s="62" customFormat="1" ht="15.75"/>
    <row r="1348" s="62" customFormat="1" ht="15.75"/>
    <row r="1349" s="62" customFormat="1" ht="15.75"/>
    <row r="1350" s="62" customFormat="1" ht="15.75"/>
    <row r="1351" s="62" customFormat="1" ht="15.75"/>
    <row r="1352" s="62" customFormat="1" ht="15.75"/>
    <row r="1353" s="62" customFormat="1" ht="15.75"/>
    <row r="1354" s="62" customFormat="1" ht="15.75"/>
    <row r="1355" s="62" customFormat="1" ht="15.75"/>
    <row r="1356" s="62" customFormat="1" ht="15.75"/>
    <row r="1357" s="62" customFormat="1" ht="15.75"/>
    <row r="1358" s="62" customFormat="1" ht="15.75"/>
    <row r="1359" s="62" customFormat="1" ht="15.75"/>
    <row r="1360" s="62" customFormat="1" ht="15.75"/>
    <row r="1361" s="62" customFormat="1" ht="15.75"/>
    <row r="1362" s="62" customFormat="1" ht="15.75"/>
    <row r="1363" s="62" customFormat="1" ht="15.75"/>
    <row r="1364" s="62" customFormat="1" ht="15.75"/>
    <row r="1365" s="62" customFormat="1" ht="15.75"/>
    <row r="1366" s="62" customFormat="1" ht="15.75"/>
    <row r="1367" s="62" customFormat="1" ht="15.75"/>
    <row r="1368" s="62" customFormat="1" ht="15.75"/>
    <row r="1369" s="62" customFormat="1" ht="15.75"/>
    <row r="1370" s="62" customFormat="1" ht="15.75"/>
    <row r="1371" s="62" customFormat="1" ht="15.75"/>
    <row r="1372" s="62" customFormat="1" ht="15.75"/>
    <row r="1373" s="62" customFormat="1" ht="15.75"/>
    <row r="1374" s="62" customFormat="1" ht="15.75"/>
    <row r="1375" s="62" customFormat="1" ht="15.75"/>
    <row r="1376" s="62" customFormat="1" ht="15.75"/>
    <row r="1377" s="62" customFormat="1" ht="15.75"/>
    <row r="1378" s="62" customFormat="1" ht="15.75"/>
    <row r="1379" s="62" customFormat="1" ht="15.75"/>
    <row r="1380" s="62" customFormat="1" ht="15.75"/>
    <row r="1381" s="62" customFormat="1" ht="15.75"/>
    <row r="1382" s="62" customFormat="1" ht="15.75"/>
    <row r="1383" s="62" customFormat="1" ht="15.75"/>
    <row r="1384" s="62" customFormat="1" ht="15.75"/>
    <row r="1385" s="62" customFormat="1" ht="15.75"/>
    <row r="1386" s="62" customFormat="1" ht="15.75"/>
    <row r="1387" s="62" customFormat="1" ht="15.75"/>
    <row r="1388" s="62" customFormat="1" ht="15.75"/>
    <row r="1389" s="62" customFormat="1" ht="15.75"/>
    <row r="1390" s="62" customFormat="1" ht="15.75"/>
    <row r="1391" s="62" customFormat="1" ht="15.75"/>
    <row r="1392" s="62" customFormat="1" ht="15.75"/>
    <row r="1393" s="62" customFormat="1" ht="15.75"/>
    <row r="1394" s="62" customFormat="1" ht="15.75"/>
    <row r="1395" s="62" customFormat="1" ht="15.75"/>
    <row r="1396" s="62" customFormat="1" ht="15.75"/>
    <row r="1397" s="62" customFormat="1" ht="15.75"/>
    <row r="1398" s="62" customFormat="1" ht="15.75"/>
    <row r="1399" s="62" customFormat="1" ht="15.75"/>
    <row r="1400" s="62" customFormat="1" ht="15.75"/>
    <row r="1401" s="62" customFormat="1" ht="15.75"/>
    <row r="1402" s="62" customFormat="1" ht="15.75"/>
    <row r="1403" s="62" customFormat="1" ht="15.75"/>
    <row r="1404" s="62" customFormat="1" ht="15.75"/>
    <row r="1405" s="62" customFormat="1" ht="15.75"/>
    <row r="1406" s="62" customFormat="1" ht="15.75"/>
    <row r="1407" s="62" customFormat="1" ht="15.75"/>
    <row r="1408" s="62" customFormat="1" ht="15.75"/>
    <row r="1409" s="62" customFormat="1" ht="15.75"/>
    <row r="1410" s="62" customFormat="1" ht="15.75"/>
    <row r="1411" s="62" customFormat="1" ht="15.75"/>
    <row r="1412" s="62" customFormat="1" ht="15.75"/>
    <row r="1413" s="62" customFormat="1" ht="15.75"/>
    <row r="1414" s="62" customFormat="1" ht="15.75"/>
    <row r="1415" s="62" customFormat="1" ht="15.75"/>
    <row r="1416" s="62" customFormat="1" ht="15.75"/>
    <row r="1417" s="62" customFormat="1" ht="15.75"/>
    <row r="1418" s="62" customFormat="1" ht="15.75"/>
    <row r="1419" s="62" customFormat="1" ht="15.75"/>
    <row r="1420" s="62" customFormat="1" ht="15.75"/>
    <row r="1421" s="62" customFormat="1" ht="15.75"/>
    <row r="1422" s="62" customFormat="1" ht="15.75"/>
    <row r="1423" s="62" customFormat="1" ht="15.75"/>
    <row r="1424" s="62" customFormat="1" ht="15.75"/>
    <row r="1425" s="62" customFormat="1" ht="15.75"/>
    <row r="1426" s="62" customFormat="1" ht="15.75"/>
    <row r="1427" s="62" customFormat="1" ht="15.75"/>
    <row r="1428" s="62" customFormat="1" ht="15.75"/>
    <row r="1429" s="62" customFormat="1" ht="15.75"/>
    <row r="1430" s="62" customFormat="1" ht="15.75"/>
    <row r="1431" s="62" customFormat="1" ht="15.75"/>
    <row r="1432" s="62" customFormat="1" ht="15.75"/>
    <row r="1433" s="62" customFormat="1" ht="15.75"/>
    <row r="1434" s="62" customFormat="1" ht="15.75"/>
    <row r="1435" s="62" customFormat="1" ht="15.75"/>
    <row r="1436" s="62" customFormat="1" ht="15.75"/>
    <row r="1437" s="62" customFormat="1" ht="15.75"/>
    <row r="1438" s="62" customFormat="1" ht="15.75"/>
    <row r="1439" s="62" customFormat="1" ht="15.75"/>
    <row r="1440" s="62" customFormat="1" ht="15.75"/>
    <row r="1441" s="62" customFormat="1" ht="15.75"/>
    <row r="1442" s="62" customFormat="1" ht="15.75"/>
    <row r="1443" s="62" customFormat="1" ht="15.75"/>
    <row r="1444" s="62" customFormat="1" ht="15.75"/>
    <row r="1445" s="62" customFormat="1" ht="15.75"/>
    <row r="1446" s="62" customFormat="1" ht="15.75"/>
    <row r="1447" s="62" customFormat="1" ht="15.75"/>
    <row r="1448" s="62" customFormat="1" ht="15.75"/>
    <row r="1449" s="62" customFormat="1" ht="15.75"/>
    <row r="1450" s="62" customFormat="1" ht="15.75"/>
    <row r="1451" s="62" customFormat="1" ht="15.75"/>
    <row r="1452" s="62" customFormat="1" ht="15.75"/>
    <row r="1453" s="62" customFormat="1" ht="15.75"/>
    <row r="1454" s="62" customFormat="1" ht="15.75"/>
    <row r="1455" s="62" customFormat="1" ht="15.75"/>
    <row r="1456" s="62" customFormat="1" ht="15.75"/>
    <row r="1457" s="62" customFormat="1" ht="15.75"/>
    <row r="1458" s="62" customFormat="1" ht="15.75"/>
    <row r="1459" s="62" customFormat="1" ht="15.75"/>
    <row r="1460" s="62" customFormat="1" ht="15.75"/>
    <row r="1461" s="62" customFormat="1" ht="15.75"/>
    <row r="1462" s="62" customFormat="1" ht="15.75"/>
    <row r="1463" s="62" customFormat="1" ht="15.75"/>
    <row r="1464" s="62" customFormat="1" ht="15.75"/>
    <row r="1465" s="62" customFormat="1" ht="15.75"/>
    <row r="1466" s="62" customFormat="1" ht="15.75"/>
    <row r="1467" s="62" customFormat="1" ht="15.75"/>
    <row r="1468" s="62" customFormat="1" ht="15.75"/>
    <row r="1469" s="62" customFormat="1" ht="15.75"/>
    <row r="1470" s="62" customFormat="1" ht="15.75"/>
    <row r="1471" s="62" customFormat="1" ht="15.75"/>
    <row r="1472" s="62" customFormat="1" ht="15.75"/>
    <row r="1473" s="62" customFormat="1" ht="15.75"/>
    <row r="1474" s="62" customFormat="1" ht="15.75"/>
    <row r="1475" s="62" customFormat="1" ht="15.75"/>
    <row r="1476" s="62" customFormat="1" ht="15.75"/>
    <row r="1477" s="62" customFormat="1" ht="15.75"/>
    <row r="1478" s="62" customFormat="1" ht="15.75"/>
    <row r="1479" s="62" customFormat="1" ht="15.75"/>
    <row r="1480" s="62" customFormat="1" ht="15.75"/>
    <row r="1481" s="62" customFormat="1" ht="15.75"/>
    <row r="1482" s="62" customFormat="1" ht="15.75"/>
    <row r="1483" s="62" customFormat="1" ht="15.75"/>
    <row r="1484" s="62" customFormat="1" ht="15.75"/>
    <row r="1485" s="62" customFormat="1" ht="15.75"/>
    <row r="1486" s="62" customFormat="1" ht="15.75"/>
    <row r="1487" s="62" customFormat="1" ht="15.75"/>
    <row r="1488" s="62" customFormat="1" ht="15.75"/>
    <row r="1489" s="62" customFormat="1" ht="15.75"/>
    <row r="1490" s="62" customFormat="1" ht="15.75"/>
    <row r="1491" s="62" customFormat="1" ht="15.75"/>
    <row r="1492" s="62" customFormat="1" ht="15.75"/>
    <row r="1493" s="62" customFormat="1" ht="15.75"/>
    <row r="1494" s="62" customFormat="1" ht="15.75"/>
    <row r="1495" s="62" customFormat="1" ht="15.75"/>
    <row r="1496" s="62" customFormat="1" ht="15.75"/>
    <row r="1497" s="62" customFormat="1" ht="15.75"/>
    <row r="1498" s="62" customFormat="1" ht="15.75"/>
    <row r="1499" s="62" customFormat="1" ht="15.75"/>
    <row r="1500" s="62" customFormat="1" ht="15.75"/>
    <row r="1501" s="62" customFormat="1" ht="15.75"/>
    <row r="1502" s="62" customFormat="1" ht="15.75"/>
    <row r="1503" s="62" customFormat="1" ht="15.75"/>
    <row r="1504" s="62" customFormat="1" ht="15.75"/>
    <row r="1505" s="62" customFormat="1" ht="15.75"/>
    <row r="1506" s="62" customFormat="1" ht="15.75"/>
    <row r="1507" s="62" customFormat="1" ht="15.75"/>
    <row r="1508" s="62" customFormat="1" ht="15.75"/>
    <row r="1509" s="62" customFormat="1" ht="15.75"/>
    <row r="1510" s="62" customFormat="1" ht="15.75"/>
    <row r="1511" s="62" customFormat="1" ht="15.75"/>
    <row r="1512" s="62" customFormat="1" ht="15.75"/>
    <row r="1513" s="62" customFormat="1" ht="15.75"/>
    <row r="1514" s="62" customFormat="1" ht="15.75"/>
    <row r="1515" s="62" customFormat="1" ht="15.75"/>
    <row r="1516" s="62" customFormat="1" ht="15.75"/>
    <row r="1517" s="62" customFormat="1" ht="15.75"/>
    <row r="1518" s="62" customFormat="1" ht="15.75"/>
    <row r="1519" s="62" customFormat="1" ht="15.75"/>
    <row r="1520" s="62" customFormat="1" ht="15.75"/>
    <row r="1521" s="62" customFormat="1" ht="15.75"/>
    <row r="1522" s="62" customFormat="1" ht="15.75"/>
    <row r="1523" s="62" customFormat="1" ht="15.75"/>
    <row r="1524" s="62" customFormat="1" ht="15.75"/>
    <row r="1525" s="62" customFormat="1" ht="15.75"/>
    <row r="1526" s="62" customFormat="1" ht="15.75"/>
    <row r="1527" s="62" customFormat="1" ht="15.75"/>
    <row r="1528" s="62" customFormat="1" ht="15.75"/>
    <row r="1529" s="62" customFormat="1" ht="15.75"/>
    <row r="1530" s="62" customFormat="1" ht="15.75"/>
    <row r="1531" s="62" customFormat="1" ht="15.75"/>
    <row r="1532" s="62" customFormat="1" ht="15.75"/>
    <row r="1533" s="62" customFormat="1" ht="15.75"/>
    <row r="1534" s="62" customFormat="1" ht="15.75"/>
    <row r="1535" s="62" customFormat="1" ht="15.75"/>
    <row r="1536" s="62" customFormat="1" ht="15.75"/>
    <row r="1537" s="62" customFormat="1" ht="15.75"/>
    <row r="1538" s="62" customFormat="1" ht="15.75"/>
    <row r="1539" s="62" customFormat="1" ht="15.75"/>
    <row r="1540" s="62" customFormat="1" ht="15.75"/>
    <row r="1541" s="62" customFormat="1" ht="15.75"/>
    <row r="1542" s="62" customFormat="1" ht="15.75"/>
    <row r="1543" s="62" customFormat="1" ht="15.75"/>
    <row r="1544" s="62" customFormat="1" ht="15.75"/>
    <row r="1545" s="62" customFormat="1" ht="15.75"/>
    <row r="1546" s="62" customFormat="1" ht="15.75"/>
    <row r="1547" s="62" customFormat="1" ht="15.75"/>
    <row r="1548" s="62" customFormat="1" ht="15.75"/>
    <row r="1549" s="62" customFormat="1" ht="15.75"/>
    <row r="1550" s="62" customFormat="1" ht="15.75"/>
    <row r="1551" s="62" customFormat="1" ht="15.75"/>
    <row r="1552" s="62" customFormat="1" ht="15.75"/>
    <row r="1553" s="62" customFormat="1" ht="15.75"/>
    <row r="1554" s="62" customFormat="1" ht="15.75"/>
    <row r="1555" s="62" customFormat="1" ht="15.75"/>
    <row r="1556" s="62" customFormat="1" ht="15.75"/>
    <row r="1557" s="62" customFormat="1" ht="15.75"/>
    <row r="1558" s="62" customFormat="1" ht="15.75"/>
    <row r="1559" s="62" customFormat="1" ht="15.75"/>
    <row r="1560" s="62" customFormat="1" ht="15.75"/>
    <row r="1561" s="62" customFormat="1" ht="15.75"/>
    <row r="1562" s="62" customFormat="1" ht="15.75"/>
    <row r="1563" s="62" customFormat="1" ht="15.75"/>
    <row r="1564" s="62" customFormat="1" ht="15.75"/>
    <row r="1565" s="62" customFormat="1" ht="15.75"/>
    <row r="1566" s="62" customFormat="1" ht="15.75"/>
    <row r="1567" s="62" customFormat="1" ht="15.75"/>
    <row r="1568" s="62" customFormat="1" ht="15.75"/>
    <row r="1569" s="62" customFormat="1" ht="15.75"/>
    <row r="1570" s="62" customFormat="1" ht="15.75"/>
    <row r="1571" s="62" customFormat="1" ht="15.75"/>
    <row r="1572" s="62" customFormat="1" ht="15.75"/>
    <row r="1573" s="62" customFormat="1" ht="15.75"/>
    <row r="1574" s="62" customFormat="1" ht="15.75"/>
    <row r="1575" s="62" customFormat="1" ht="15.75"/>
    <row r="1576" s="62" customFormat="1" ht="15.75"/>
    <row r="1577" s="62" customFormat="1" ht="15.75"/>
    <row r="1578" s="62" customFormat="1" ht="15.75"/>
    <row r="1579" s="62" customFormat="1" ht="15.75"/>
    <row r="1580" s="62" customFormat="1" ht="15.75"/>
    <row r="1581" s="62" customFormat="1" ht="15.75"/>
    <row r="1582" s="62" customFormat="1" ht="15.75"/>
    <row r="1583" s="62" customFormat="1" ht="15.75"/>
    <row r="1584" s="62" customFormat="1" ht="15.75"/>
    <row r="1585" s="62" customFormat="1" ht="15.75"/>
    <row r="1586" s="62" customFormat="1" ht="15.75"/>
    <row r="1587" s="62" customFormat="1" ht="15.75"/>
    <row r="1588" s="62" customFormat="1" ht="15.75"/>
    <row r="1589" s="62" customFormat="1" ht="15.75"/>
    <row r="1590" s="62" customFormat="1" ht="15.75"/>
    <row r="1591" s="62" customFormat="1" ht="15.75"/>
    <row r="1592" s="62" customFormat="1" ht="15.75"/>
    <row r="1593" s="62" customFormat="1" ht="15.75"/>
    <row r="1594" s="62" customFormat="1" ht="15.75"/>
    <row r="1595" s="62" customFormat="1" ht="15.75"/>
    <row r="1596" s="62" customFormat="1" ht="15.75"/>
    <row r="1597" s="62" customFormat="1" ht="15.75"/>
    <row r="1598" s="62" customFormat="1" ht="15.75"/>
    <row r="1599" s="62" customFormat="1" ht="15.75"/>
    <row r="1600" s="62" customFormat="1" ht="15.75"/>
    <row r="1601" s="62" customFormat="1" ht="15.75"/>
    <row r="1602" s="62" customFormat="1" ht="15.75"/>
    <row r="1603" s="62" customFormat="1" ht="15.75"/>
    <row r="1604" s="62" customFormat="1" ht="15.75"/>
    <row r="1605" s="62" customFormat="1" ht="15.75"/>
    <row r="1606" s="62" customFormat="1" ht="15.75"/>
    <row r="1607" s="62" customFormat="1" ht="15.75"/>
    <row r="1608" s="62" customFormat="1" ht="15.75"/>
    <row r="1609" s="62" customFormat="1" ht="15.75"/>
    <row r="1610" s="62" customFormat="1" ht="15.75"/>
    <row r="1611" s="62" customFormat="1" ht="15.75"/>
    <row r="1612" s="62" customFormat="1" ht="15.75"/>
    <row r="1613" s="62" customFormat="1" ht="15.75"/>
    <row r="1614" s="62" customFormat="1" ht="15.75"/>
    <row r="1615" s="62" customFormat="1" ht="15.75"/>
    <row r="1616" s="62" customFormat="1" ht="15.75"/>
    <row r="1617" s="62" customFormat="1" ht="15.75"/>
    <row r="1618" s="62" customFormat="1" ht="15.75"/>
    <row r="1619" s="62" customFormat="1" ht="15.75"/>
    <row r="1620" s="62" customFormat="1" ht="15.75"/>
    <row r="1621" s="62" customFormat="1" ht="15.75"/>
    <row r="1622" s="62" customFormat="1" ht="15.75"/>
    <row r="1623" s="62" customFormat="1" ht="15.75"/>
    <row r="1624" s="62" customFormat="1" ht="15.75"/>
    <row r="1625" s="62" customFormat="1" ht="15.75"/>
    <row r="1626" s="62" customFormat="1" ht="15.75"/>
    <row r="1627" s="62" customFormat="1" ht="15.75"/>
    <row r="1628" s="62" customFormat="1" ht="15.75"/>
    <row r="1629" s="62" customFormat="1" ht="15.75"/>
    <row r="1630" s="62" customFormat="1" ht="15.75"/>
    <row r="1631" s="62" customFormat="1" ht="15.75"/>
    <row r="1632" s="62" customFormat="1" ht="15.75"/>
    <row r="1633" s="62" customFormat="1" ht="15.75"/>
    <row r="1634" s="62" customFormat="1" ht="15.75"/>
    <row r="1635" s="62" customFormat="1" ht="15.75"/>
    <row r="1636" s="62" customFormat="1" ht="15.75"/>
    <row r="1637" s="62" customFormat="1" ht="15.75"/>
    <row r="1638" s="62" customFormat="1" ht="15.75"/>
    <row r="1639" s="62" customFormat="1" ht="15.75"/>
    <row r="1640" s="62" customFormat="1" ht="15.75"/>
    <row r="1641" s="62" customFormat="1" ht="15.75"/>
    <row r="1642" s="62" customFormat="1" ht="15.75"/>
    <row r="1643" s="62" customFormat="1" ht="15.75"/>
    <row r="1644" s="62" customFormat="1" ht="15.75"/>
    <row r="1645" s="62" customFormat="1" ht="15.75"/>
    <row r="1646" s="62" customFormat="1" ht="15.75"/>
    <row r="1647" s="62" customFormat="1" ht="15.75"/>
    <row r="1648" s="62" customFormat="1" ht="15.75"/>
    <row r="1649" s="62" customFormat="1" ht="15.75"/>
    <row r="1650" s="62" customFormat="1" ht="15.75"/>
    <row r="1651" s="62" customFormat="1" ht="15.75"/>
    <row r="1652" s="62" customFormat="1" ht="15.75"/>
    <row r="1653" s="62" customFormat="1" ht="15.75"/>
    <row r="1654" s="62" customFormat="1" ht="15.75"/>
    <row r="1655" s="62" customFormat="1" ht="15.75"/>
    <row r="1656" s="62" customFormat="1" ht="15.75"/>
    <row r="1657" s="62" customFormat="1" ht="15.75"/>
    <row r="1658" s="62" customFormat="1" ht="15.75"/>
    <row r="1659" s="62" customFormat="1" ht="15.75"/>
    <row r="1660" s="62" customFormat="1" ht="15.75"/>
    <row r="1661" s="62" customFormat="1" ht="15.75"/>
    <row r="1662" s="62" customFormat="1" ht="15.75"/>
    <row r="1663" s="62" customFormat="1" ht="15.75"/>
    <row r="1664" s="62" customFormat="1" ht="15.75"/>
    <row r="1665" s="62" customFormat="1" ht="15.75"/>
    <row r="1666" s="62" customFormat="1" ht="15.75"/>
    <row r="1667" s="62" customFormat="1" ht="15.75"/>
    <row r="1668" s="62" customFormat="1" ht="15.75"/>
    <row r="1669" s="62" customFormat="1" ht="15.75"/>
    <row r="1670" s="62" customFormat="1" ht="15.75"/>
    <row r="1671" s="62" customFormat="1" ht="15.75"/>
    <row r="1672" s="62" customFormat="1" ht="15.75"/>
    <row r="1673" s="62" customFormat="1" ht="15.75"/>
    <row r="1674" s="62" customFormat="1" ht="15.75"/>
    <row r="1675" s="62" customFormat="1" ht="15.75"/>
    <row r="1676" s="62" customFormat="1" ht="15.75"/>
    <row r="1677" s="62" customFormat="1" ht="15.75"/>
    <row r="1678" s="62" customFormat="1" ht="15.75"/>
    <row r="1679" s="62" customFormat="1" ht="15.75"/>
    <row r="1680" s="62" customFormat="1" ht="15.75"/>
    <row r="1681" s="62" customFormat="1" ht="15.75"/>
    <row r="1682" s="62" customFormat="1" ht="15.75"/>
    <row r="1683" s="62" customFormat="1" ht="15.75"/>
    <row r="1684" s="62" customFormat="1" ht="15.75"/>
    <row r="1685" s="62" customFormat="1" ht="15.75"/>
    <row r="1686" s="62" customFormat="1" ht="15.75"/>
    <row r="1687" s="62" customFormat="1" ht="15.75"/>
    <row r="1688" s="62" customFormat="1" ht="15.75"/>
    <row r="1689" s="62" customFormat="1" ht="15.75"/>
    <row r="1690" s="62" customFormat="1" ht="15.75"/>
    <row r="1691" s="62" customFormat="1" ht="15.75"/>
    <row r="1692" s="62" customFormat="1" ht="15.75"/>
    <row r="1693" s="62" customFormat="1" ht="15.75"/>
    <row r="1694" s="62" customFormat="1" ht="15.75"/>
    <row r="1695" s="62" customFormat="1" ht="15.75"/>
    <row r="1696" s="62" customFormat="1" ht="15.75"/>
    <row r="1697" s="62" customFormat="1" ht="15.75"/>
    <row r="1698" s="62" customFormat="1" ht="15.75"/>
    <row r="1699" s="62" customFormat="1" ht="15.75"/>
    <row r="1700" s="62" customFormat="1" ht="15.75"/>
    <row r="1701" s="62" customFormat="1" ht="15.75"/>
    <row r="1702" s="62" customFormat="1" ht="15.75"/>
    <row r="1703" s="62" customFormat="1" ht="15.75"/>
    <row r="1704" s="62" customFormat="1" ht="15.75"/>
    <row r="1705" s="62" customFormat="1" ht="15.75"/>
    <row r="1706" s="62" customFormat="1" ht="15.75"/>
    <row r="1707" s="62" customFormat="1" ht="15.75"/>
    <row r="1708" s="62" customFormat="1" ht="15.75"/>
    <row r="1709" s="62" customFormat="1" ht="15.75"/>
    <row r="1710" s="62" customFormat="1" ht="15.75"/>
    <row r="1711" s="62" customFormat="1" ht="15.75"/>
    <row r="1712" s="62" customFormat="1" ht="15.75"/>
    <row r="1713" s="62" customFormat="1" ht="15.75"/>
    <row r="1714" s="62" customFormat="1" ht="15.75"/>
    <row r="1715" s="62" customFormat="1" ht="15.75"/>
    <row r="1716" s="62" customFormat="1" ht="15.75"/>
    <row r="1717" s="62" customFormat="1" ht="15.75"/>
    <row r="1718" s="62" customFormat="1" ht="15.75"/>
    <row r="1719" s="62" customFormat="1" ht="15.75"/>
    <row r="1720" s="62" customFormat="1" ht="15.75"/>
    <row r="1721" s="62" customFormat="1" ht="15.75"/>
    <row r="1722" s="62" customFormat="1" ht="15.75"/>
    <row r="1723" s="62" customFormat="1" ht="15.75"/>
    <row r="1724" s="62" customFormat="1" ht="15.75"/>
    <row r="1725" s="62" customFormat="1" ht="15.75"/>
    <row r="1726" s="62" customFormat="1" ht="15.75"/>
    <row r="1727" s="62" customFormat="1" ht="15.75"/>
    <row r="1728" s="62" customFormat="1" ht="15.75"/>
    <row r="1729" s="62" customFormat="1" ht="15.75"/>
    <row r="1730" s="62" customFormat="1" ht="15.75"/>
    <row r="1731" s="62" customFormat="1" ht="15.75"/>
    <row r="1732" s="62" customFormat="1" ht="15.75"/>
    <row r="1733" s="62" customFormat="1" ht="15.75"/>
    <row r="1734" s="62" customFormat="1" ht="15.75"/>
    <row r="1735" s="62" customFormat="1" ht="15.75"/>
    <row r="1736" s="62" customFormat="1" ht="15.75"/>
    <row r="1737" s="62" customFormat="1" ht="15.75"/>
    <row r="1738" s="62" customFormat="1" ht="15.75"/>
    <row r="1739" s="62" customFormat="1" ht="15.75"/>
    <row r="1740" s="62" customFormat="1" ht="15.75"/>
    <row r="1741" s="62" customFormat="1" ht="15.75"/>
    <row r="1742" s="62" customFormat="1" ht="15.75"/>
    <row r="1743" s="62" customFormat="1" ht="15.75"/>
    <row r="1744" s="62" customFormat="1" ht="15.75"/>
    <row r="1745" s="62" customFormat="1" ht="15.75"/>
    <row r="1746" s="62" customFormat="1" ht="15.75"/>
    <row r="1747" s="62" customFormat="1" ht="15.75"/>
    <row r="1748" s="62" customFormat="1" ht="15.75"/>
    <row r="1749" s="62" customFormat="1" ht="15.75"/>
    <row r="1750" s="62" customFormat="1" ht="15.75"/>
    <row r="1751" s="62" customFormat="1" ht="15.75"/>
    <row r="1752" s="62" customFormat="1" ht="15.75"/>
    <row r="1753" s="62" customFormat="1" ht="15.75"/>
    <row r="1754" s="62" customFormat="1" ht="15.75"/>
    <row r="1755" s="62" customFormat="1" ht="15.75"/>
    <row r="1756" s="62" customFormat="1" ht="15.75"/>
    <row r="1757" s="62" customFormat="1" ht="15.75"/>
    <row r="1758" s="62" customFormat="1" ht="15.75"/>
    <row r="1759" s="62" customFormat="1" ht="15.75"/>
    <row r="1760" s="62" customFormat="1" ht="15.75"/>
    <row r="1761" s="62" customFormat="1" ht="15.75"/>
    <row r="1762" s="62" customFormat="1" ht="15.75"/>
    <row r="1763" s="62" customFormat="1" ht="15.75"/>
    <row r="1764" s="62" customFormat="1" ht="15.75"/>
    <row r="1765" s="62" customFormat="1" ht="15.75"/>
    <row r="1766" s="62" customFormat="1" ht="15.75"/>
    <row r="1767" s="62" customFormat="1" ht="15.75"/>
    <row r="1768" s="62" customFormat="1" ht="15.75"/>
    <row r="1769" s="62" customFormat="1" ht="15.75"/>
    <row r="1770" s="62" customFormat="1" ht="15.75"/>
    <row r="1771" s="62" customFormat="1" ht="15.75"/>
    <row r="1772" s="62" customFormat="1" ht="15.75"/>
    <row r="1773" s="62" customFormat="1" ht="15.75"/>
    <row r="1774" s="62" customFormat="1" ht="15.75"/>
    <row r="1775" s="62" customFormat="1" ht="15.75"/>
    <row r="1776" s="62" customFormat="1" ht="15.75"/>
    <row r="1777" s="62" customFormat="1" ht="15.75"/>
    <row r="1778" s="62" customFormat="1" ht="15.75"/>
    <row r="1779" s="62" customFormat="1" ht="15.75"/>
    <row r="1780" s="62" customFormat="1" ht="15.75"/>
    <row r="1781" s="62" customFormat="1" ht="15.75"/>
    <row r="1782" s="62" customFormat="1" ht="15.75"/>
    <row r="1783" s="62" customFormat="1" ht="15.75"/>
    <row r="1784" s="62" customFormat="1" ht="15.75"/>
    <row r="1785" s="62" customFormat="1" ht="15.75"/>
    <row r="1786" s="62" customFormat="1" ht="15.75"/>
    <row r="1787" s="62" customFormat="1" ht="15.75"/>
    <row r="1788" s="62" customFormat="1" ht="15.75"/>
    <row r="1789" s="62" customFormat="1" ht="15.75"/>
    <row r="1790" s="62" customFormat="1" ht="15.75"/>
    <row r="1791" s="62" customFormat="1" ht="15.75"/>
    <row r="1792" s="62" customFormat="1" ht="15.75"/>
    <row r="1793" s="62" customFormat="1" ht="15.75"/>
    <row r="1794" s="62" customFormat="1" ht="15.75"/>
    <row r="1795" s="62" customFormat="1" ht="15.75"/>
    <row r="1796" s="62" customFormat="1" ht="15.75"/>
    <row r="1797" s="62" customFormat="1" ht="15.75"/>
    <row r="1798" s="62" customFormat="1" ht="15.75"/>
    <row r="1799" s="62" customFormat="1" ht="15.75"/>
    <row r="1800" s="62" customFormat="1" ht="15.75"/>
    <row r="1801" s="62" customFormat="1" ht="15.75"/>
    <row r="1802" s="62" customFormat="1" ht="15.75"/>
    <row r="1803" s="62" customFormat="1" ht="15.75"/>
    <row r="1804" s="62" customFormat="1" ht="15.75"/>
    <row r="1805" s="62" customFormat="1" ht="15.75"/>
    <row r="1806" s="62" customFormat="1" ht="15.75"/>
    <row r="1807" s="62" customFormat="1" ht="15.75"/>
    <row r="1808" s="62" customFormat="1" ht="15.75"/>
    <row r="1809" s="62" customFormat="1" ht="15.75"/>
    <row r="1810" s="62" customFormat="1" ht="15.75"/>
    <row r="1811" s="62" customFormat="1" ht="15.75"/>
    <row r="1812" s="62" customFormat="1" ht="15.75"/>
    <row r="1813" s="62" customFormat="1" ht="15.75"/>
    <row r="1814" s="62" customFormat="1" ht="15.75"/>
    <row r="1815" s="62" customFormat="1" ht="15.75"/>
    <row r="1816" s="62" customFormat="1" ht="15.75"/>
    <row r="1817" s="62" customFormat="1" ht="15.75"/>
    <row r="1818" s="62" customFormat="1" ht="15.75"/>
    <row r="1819" s="62" customFormat="1" ht="15.75"/>
    <row r="1820" s="62" customFormat="1" ht="15.75"/>
    <row r="1821" s="62" customFormat="1" ht="15.75"/>
    <row r="1822" s="62" customFormat="1" ht="15.75"/>
    <row r="1823" s="62" customFormat="1" ht="15.75"/>
    <row r="1824" s="62" customFormat="1" ht="15.75"/>
    <row r="1825" s="62" customFormat="1" ht="15.75"/>
    <row r="1826" s="62" customFormat="1" ht="15.75"/>
    <row r="1827" s="62" customFormat="1" ht="15.75"/>
    <row r="1828" s="62" customFormat="1" ht="15.75"/>
    <row r="1829" s="62" customFormat="1" ht="15.75"/>
    <row r="1830" s="62" customFormat="1" ht="15.75"/>
    <row r="1831" s="62" customFormat="1" ht="15.75"/>
    <row r="1832" s="62" customFormat="1" ht="15.75"/>
    <row r="1833" s="62" customFormat="1" ht="15.75"/>
    <row r="1834" s="62" customFormat="1" ht="15.75"/>
    <row r="1835" s="62" customFormat="1" ht="15.75"/>
    <row r="1836" s="62" customFormat="1" ht="15.75"/>
    <row r="1837" s="62" customFormat="1" ht="15.75"/>
    <row r="1838" s="62" customFormat="1" ht="15.75"/>
    <row r="1839" s="62" customFormat="1" ht="15.75"/>
    <row r="1840" s="62" customFormat="1" ht="15.75"/>
    <row r="1841" s="62" customFormat="1" ht="15.75"/>
    <row r="1842" s="62" customFormat="1" ht="15.75"/>
    <row r="1843" s="62" customFormat="1" ht="15.75"/>
    <row r="1844" s="62" customFormat="1" ht="15.75"/>
    <row r="1845" s="62" customFormat="1" ht="15.75"/>
    <row r="1846" s="62" customFormat="1" ht="15.75"/>
    <row r="1847" s="62" customFormat="1" ht="15.75"/>
    <row r="1848" s="62" customFormat="1" ht="15.75"/>
    <row r="1849" s="62" customFormat="1" ht="15.75"/>
    <row r="1850" s="62" customFormat="1" ht="15.75"/>
    <row r="1851" s="62" customFormat="1" ht="15.75"/>
    <row r="1852" s="62" customFormat="1" ht="15.75"/>
    <row r="1853" s="62" customFormat="1" ht="15.75"/>
    <row r="1854" s="62" customFormat="1" ht="15.75"/>
    <row r="1855" s="62" customFormat="1" ht="15.75"/>
    <row r="1856" s="62" customFormat="1" ht="15.75"/>
    <row r="1857" s="62" customFormat="1" ht="15.75"/>
    <row r="1858" s="62" customFormat="1" ht="15.75"/>
    <row r="1859" s="62" customFormat="1" ht="15.75"/>
    <row r="1860" s="62" customFormat="1" ht="15.75"/>
    <row r="1861" s="62" customFormat="1" ht="15.75"/>
    <row r="1862" s="62" customFormat="1" ht="15.75"/>
    <row r="1863" s="62" customFormat="1" ht="15.75"/>
    <row r="1864" s="62" customFormat="1" ht="15.75"/>
    <row r="1865" s="62" customFormat="1" ht="15.75"/>
    <row r="1866" s="62" customFormat="1" ht="15.75"/>
    <row r="1867" s="62" customFormat="1" ht="15.75"/>
    <row r="1868" s="62" customFormat="1" ht="15.75"/>
    <row r="1869" s="62" customFormat="1" ht="15.75"/>
    <row r="1870" s="62" customFormat="1" ht="15.75"/>
    <row r="1871" s="62" customFormat="1" ht="15.75"/>
    <row r="1872" s="62" customFormat="1" ht="15.75"/>
    <row r="1873" s="62" customFormat="1" ht="15.75"/>
    <row r="1874" s="62" customFormat="1" ht="15.75"/>
    <row r="1875" s="62" customFormat="1" ht="15.75"/>
    <row r="1876" s="62" customFormat="1" ht="15.75"/>
    <row r="1877" s="62" customFormat="1" ht="15.75"/>
    <row r="1878" s="62" customFormat="1" ht="15.75"/>
    <row r="1879" s="62" customFormat="1" ht="15.75"/>
    <row r="1880" s="62" customFormat="1" ht="15.75"/>
    <row r="1881" s="62" customFormat="1" ht="15.75"/>
    <row r="1882" s="62" customFormat="1" ht="15.75"/>
    <row r="1883" s="62" customFormat="1" ht="15.75"/>
    <row r="1884" s="62" customFormat="1" ht="15.75"/>
    <row r="1885" s="62" customFormat="1" ht="15.75"/>
    <row r="1886" s="62" customFormat="1" ht="15.75"/>
    <row r="1887" s="62" customFormat="1" ht="15.75"/>
    <row r="1888" s="62" customFormat="1" ht="15.75"/>
    <row r="1889" s="62" customFormat="1" ht="15.75"/>
    <row r="1890" s="62" customFormat="1" ht="15.75"/>
    <row r="1891" s="62" customFormat="1" ht="15.75"/>
    <row r="1892" s="62" customFormat="1" ht="15.75"/>
    <row r="1893" s="62" customFormat="1" ht="15.75"/>
    <row r="1894" s="62" customFormat="1" ht="15.75"/>
    <row r="1895" s="62" customFormat="1" ht="15.75"/>
    <row r="1896" s="62" customFormat="1" ht="15.75"/>
    <row r="1897" s="62" customFormat="1" ht="15.75"/>
    <row r="1898" s="62" customFormat="1" ht="15.75"/>
    <row r="1899" s="62" customFormat="1" ht="15.75"/>
    <row r="1900" s="62" customFormat="1" ht="15.75"/>
    <row r="1901" s="62" customFormat="1" ht="15.75"/>
    <row r="1902" s="62" customFormat="1" ht="15.75"/>
    <row r="1903" s="62" customFormat="1" ht="15.75"/>
    <row r="1904" s="62" customFormat="1" ht="15.75"/>
    <row r="1905" s="62" customFormat="1" ht="15.75"/>
    <row r="1906" s="62" customFormat="1" ht="15.75"/>
    <row r="1907" s="62" customFormat="1" ht="15.75"/>
    <row r="1908" s="62" customFormat="1" ht="15.75"/>
    <row r="1909" s="62" customFormat="1" ht="15.75"/>
    <row r="1910" s="62" customFormat="1" ht="15.75"/>
    <row r="1911" s="62" customFormat="1" ht="15.75"/>
    <row r="1912" s="62" customFormat="1" ht="15.75"/>
    <row r="1913" s="62" customFormat="1" ht="15.75"/>
    <row r="1914" s="62" customFormat="1" ht="15.75"/>
    <row r="1915" s="62" customFormat="1" ht="15.75"/>
    <row r="1916" s="62" customFormat="1" ht="15.75"/>
    <row r="1917" s="62" customFormat="1" ht="15.75"/>
    <row r="1918" s="62" customFormat="1" ht="15.75"/>
    <row r="1919" s="62" customFormat="1" ht="15.75"/>
    <row r="1920" s="62" customFormat="1" ht="15.75"/>
    <row r="1921" s="62" customFormat="1" ht="15.75"/>
    <row r="1922" s="62" customFormat="1" ht="15.75"/>
    <row r="1923" s="62" customFormat="1" ht="15.75"/>
    <row r="1924" s="62" customFormat="1" ht="15.75"/>
    <row r="1925" s="62" customFormat="1" ht="15.75"/>
    <row r="1926" s="62" customFormat="1" ht="15.75"/>
    <row r="1927" s="62" customFormat="1" ht="15.75"/>
    <row r="1928" s="62" customFormat="1" ht="15.75"/>
    <row r="1929" s="62" customFormat="1" ht="15.75"/>
    <row r="1930" s="62" customFormat="1" ht="15.75"/>
    <row r="1931" s="62" customFormat="1" ht="15.75"/>
    <row r="1932" s="62" customFormat="1" ht="15.75"/>
    <row r="1933" s="62" customFormat="1" ht="15.75"/>
    <row r="1934" s="62" customFormat="1" ht="15.75"/>
    <row r="1935" s="62" customFormat="1" ht="15.75"/>
    <row r="1936" s="62" customFormat="1" ht="15.75"/>
    <row r="1937" s="62" customFormat="1" ht="15.75"/>
    <row r="1938" s="62" customFormat="1" ht="15.75"/>
    <row r="1939" s="62" customFormat="1" ht="15.75"/>
    <row r="1940" s="62" customFormat="1" ht="15.75"/>
    <row r="1941" s="62" customFormat="1" ht="15.75"/>
    <row r="1942" s="62" customFormat="1" ht="15.75"/>
    <row r="1943" s="62" customFormat="1" ht="15.75"/>
    <row r="1944" s="62" customFormat="1" ht="15.75"/>
    <row r="1945" s="62" customFormat="1" ht="15.75"/>
    <row r="1946" s="62" customFormat="1" ht="15.75"/>
    <row r="1947" s="62" customFormat="1" ht="15.75"/>
    <row r="1948" s="62" customFormat="1" ht="15.75"/>
    <row r="1949" s="62" customFormat="1" ht="15.75"/>
    <row r="1950" s="62" customFormat="1" ht="15.75"/>
    <row r="1951" s="62" customFormat="1" ht="15.75"/>
    <row r="1952" s="62" customFormat="1" ht="15.75"/>
    <row r="1953" s="62" customFormat="1" ht="15.75"/>
    <row r="1954" s="62" customFormat="1" ht="15.75"/>
    <row r="1955" s="62" customFormat="1" ht="15.75"/>
    <row r="1956" s="62" customFormat="1" ht="15.75"/>
    <row r="1957" s="62" customFormat="1" ht="15.75"/>
    <row r="1958" s="62" customFormat="1" ht="15.75"/>
    <row r="1959" s="62" customFormat="1" ht="15.75"/>
    <row r="1960" s="62" customFormat="1" ht="15.75"/>
    <row r="1961" s="62" customFormat="1" ht="15.75"/>
    <row r="1962" s="62" customFormat="1" ht="15.75"/>
    <row r="1963" s="62" customFormat="1" ht="15.75"/>
    <row r="1964" s="62" customFormat="1" ht="15.75"/>
    <row r="1965" s="62" customFormat="1" ht="15.75"/>
    <row r="1966" s="62" customFormat="1" ht="15.75"/>
    <row r="1967" s="62" customFormat="1" ht="15.75"/>
    <row r="1968" s="62" customFormat="1" ht="15.75"/>
    <row r="1969" s="62" customFormat="1" ht="15.75"/>
    <row r="1970" s="62" customFormat="1" ht="15.75"/>
    <row r="1971" s="62" customFormat="1" ht="15.75"/>
    <row r="1972" s="62" customFormat="1" ht="15.75"/>
    <row r="1973" s="62" customFormat="1" ht="15.75"/>
    <row r="1974" s="62" customFormat="1" ht="15.75"/>
    <row r="1975" s="62" customFormat="1" ht="15.75"/>
    <row r="1976" s="62" customFormat="1" ht="15.75"/>
    <row r="1977" s="62" customFormat="1" ht="15.75"/>
    <row r="1978" s="62" customFormat="1" ht="15.75"/>
    <row r="1979" s="62" customFormat="1" ht="15.75"/>
    <row r="1980" s="62" customFormat="1" ht="15.75"/>
    <row r="1981" s="62" customFormat="1" ht="15.75"/>
    <row r="1982" s="62" customFormat="1" ht="15.75"/>
    <row r="1983" s="62" customFormat="1" ht="15.75"/>
    <row r="1984" s="62" customFormat="1" ht="15.75"/>
    <row r="1985" s="62" customFormat="1" ht="15.75"/>
    <row r="1986" s="62" customFormat="1" ht="15.75"/>
    <row r="1987" s="62" customFormat="1" ht="15.75"/>
    <row r="1988" s="62" customFormat="1" ht="15.75"/>
    <row r="1989" s="62" customFormat="1" ht="15.75"/>
    <row r="1990" s="62" customFormat="1" ht="15.75"/>
    <row r="1991" s="62" customFormat="1" ht="15.75"/>
    <row r="1992" s="62" customFormat="1" ht="15.75"/>
    <row r="1993" s="62" customFormat="1" ht="15.75"/>
    <row r="1994" s="62" customFormat="1" ht="15.75"/>
    <row r="1995" s="62" customFormat="1" ht="15.75"/>
    <row r="1996" s="62" customFormat="1" ht="15.75"/>
    <row r="1997" s="62" customFormat="1" ht="15.75"/>
    <row r="1998" s="62" customFormat="1" ht="15.75"/>
    <row r="1999" s="62" customFormat="1" ht="15.75"/>
    <row r="2000" s="62" customFormat="1" ht="15.75"/>
    <row r="2001" s="62" customFormat="1" ht="15.75"/>
    <row r="2002" s="62" customFormat="1" ht="15.75"/>
    <row r="2003" s="62" customFormat="1" ht="15.75"/>
    <row r="2004" s="62" customFormat="1" ht="15.75"/>
    <row r="2005" s="62" customFormat="1" ht="15.75"/>
    <row r="2006" s="62" customFormat="1" ht="15.75"/>
    <row r="2007" s="62" customFormat="1" ht="15.75"/>
    <row r="2008" s="62" customFormat="1" ht="15.75"/>
    <row r="2009" s="62" customFormat="1" ht="15.75"/>
    <row r="2010" s="62" customFormat="1" ht="15.75"/>
    <row r="2011" s="62" customFormat="1" ht="15.75"/>
    <row r="2012" s="62" customFormat="1" ht="15.75"/>
    <row r="2013" s="62" customFormat="1" ht="15.75"/>
    <row r="2014" s="62" customFormat="1" ht="15.75"/>
    <row r="2015" s="62" customFormat="1" ht="15.75"/>
    <row r="2016" s="62" customFormat="1" ht="15.75"/>
    <row r="2017" s="62" customFormat="1" ht="15.75"/>
    <row r="2018" s="62" customFormat="1" ht="15.75"/>
    <row r="2019" s="62" customFormat="1" ht="15.75"/>
    <row r="2020" s="62" customFormat="1" ht="15.75"/>
    <row r="2021" s="62" customFormat="1" ht="15.75"/>
    <row r="2022" s="62" customFormat="1" ht="15.75"/>
    <row r="2023" s="62" customFormat="1" ht="15.75"/>
    <row r="2024" s="62" customFormat="1" ht="15.75"/>
    <row r="2025" s="62" customFormat="1" ht="15.75"/>
    <row r="2026" s="62" customFormat="1" ht="15.75"/>
    <row r="2027" s="62" customFormat="1" ht="15.75"/>
    <row r="2028" s="62" customFormat="1" ht="15.75"/>
    <row r="2029" s="62" customFormat="1" ht="15.75"/>
    <row r="2030" s="62" customFormat="1" ht="15.75"/>
    <row r="2031" s="62" customFormat="1" ht="15.75"/>
    <row r="2032" s="62" customFormat="1" ht="15.75"/>
    <row r="2033" s="62" customFormat="1" ht="15.75"/>
    <row r="2034" s="62" customFormat="1" ht="15.75"/>
    <row r="2035" s="62" customFormat="1" ht="15.75"/>
    <row r="2036" s="62" customFormat="1" ht="15.75"/>
    <row r="2037" s="62" customFormat="1" ht="15.75"/>
    <row r="2038" s="62" customFormat="1" ht="15.75"/>
    <row r="2039" s="62" customFormat="1" ht="15.75"/>
    <row r="2040" s="62" customFormat="1" ht="15.75"/>
    <row r="2041" s="62" customFormat="1" ht="15.75"/>
    <row r="2042" s="62" customFormat="1" ht="15.75"/>
    <row r="2043" s="62" customFormat="1" ht="15.75"/>
    <row r="2044" s="62" customFormat="1" ht="15.75"/>
    <row r="2045" s="62" customFormat="1" ht="15.75"/>
    <row r="2046" s="62" customFormat="1" ht="15.75"/>
    <row r="2047" s="62" customFormat="1" ht="15.75"/>
    <row r="2048" s="62" customFormat="1" ht="15.75"/>
    <row r="2049" s="62" customFormat="1" ht="15.75"/>
    <row r="2050" s="62" customFormat="1" ht="15.75"/>
    <row r="2051" s="62" customFormat="1" ht="15.75"/>
    <row r="2052" s="62" customFormat="1" ht="15.75"/>
    <row r="2053" s="62" customFormat="1" ht="15.75"/>
    <row r="2054" s="62" customFormat="1" ht="15.75"/>
    <row r="2055" s="62" customFormat="1" ht="15.75"/>
    <row r="2056" s="62" customFormat="1" ht="15.75"/>
    <row r="2057" s="62" customFormat="1" ht="15.75"/>
    <row r="2058" s="62" customFormat="1" ht="15.75"/>
    <row r="2059" s="62" customFormat="1" ht="15.75"/>
    <row r="2060" s="62" customFormat="1" ht="15.75"/>
    <row r="2061" s="62" customFormat="1" ht="15.75"/>
    <row r="2062" s="62" customFormat="1" ht="15.75"/>
    <row r="2063" s="62" customFormat="1" ht="15.75"/>
    <row r="2064" s="62" customFormat="1" ht="15.75"/>
    <row r="2065" s="62" customFormat="1" ht="15.75"/>
    <row r="2066" s="62" customFormat="1" ht="15.75"/>
    <row r="2067" s="62" customFormat="1" ht="15.75"/>
    <row r="2068" s="62" customFormat="1" ht="15.75"/>
    <row r="2069" s="62" customFormat="1" ht="15.75"/>
    <row r="2070" s="62" customFormat="1" ht="15.75"/>
    <row r="2071" s="62" customFormat="1" ht="15.75"/>
    <row r="2072" s="62" customFormat="1" ht="15.75"/>
    <row r="2073" s="62" customFormat="1" ht="15.75"/>
    <row r="2074" s="62" customFormat="1" ht="15.75"/>
    <row r="2075" s="62" customFormat="1" ht="15.75"/>
    <row r="2076" s="62" customFormat="1" ht="15.75"/>
    <row r="2077" s="62" customFormat="1" ht="15.75"/>
    <row r="2078" s="62" customFormat="1" ht="15.75"/>
    <row r="2079" s="62" customFormat="1" ht="15.75"/>
    <row r="2080" s="62" customFormat="1" ht="15.75"/>
    <row r="2081" s="62" customFormat="1" ht="15.75"/>
    <row r="2082" s="62" customFormat="1" ht="15.75"/>
    <row r="2083" s="62" customFormat="1" ht="15.75"/>
    <row r="2084" s="62" customFormat="1" ht="15.75"/>
    <row r="2085" s="62" customFormat="1" ht="15.75"/>
    <row r="2086" s="62" customFormat="1" ht="15.75"/>
    <row r="2087" s="62" customFormat="1" ht="15.75"/>
    <row r="2088" s="62" customFormat="1" ht="15.75"/>
    <row r="2089" s="62" customFormat="1" ht="15.75"/>
    <row r="2090" s="62" customFormat="1" ht="15.75"/>
    <row r="2091" s="62" customFormat="1" ht="15.75"/>
    <row r="2092" s="62" customFormat="1" ht="15.75"/>
    <row r="2093" s="62" customFormat="1" ht="15.75"/>
    <row r="2094" s="62" customFormat="1" ht="15.75"/>
    <row r="2095" s="62" customFormat="1" ht="15.75"/>
    <row r="2096" s="62" customFormat="1" ht="15.75"/>
    <row r="2097" s="62" customFormat="1" ht="15.75"/>
    <row r="2098" s="62" customFormat="1" ht="15.75"/>
    <row r="2099" s="62" customFormat="1" ht="15.75"/>
    <row r="2100" s="62" customFormat="1" ht="15.75"/>
    <row r="2101" s="62" customFormat="1" ht="15.75"/>
    <row r="2102" s="62" customFormat="1" ht="15.75"/>
    <row r="2103" s="62" customFormat="1" ht="15.75"/>
    <row r="2104" s="62" customFormat="1" ht="15.75"/>
    <row r="2105" s="62" customFormat="1" ht="15.75"/>
    <row r="2106" s="62" customFormat="1" ht="15.75"/>
    <row r="2107" s="62" customFormat="1" ht="15.75"/>
    <row r="2108" s="62" customFormat="1" ht="15.75"/>
    <row r="2109" s="62" customFormat="1" ht="15.75"/>
    <row r="2110" s="62" customFormat="1" ht="15.75"/>
    <row r="2111" s="62" customFormat="1" ht="15.75"/>
    <row r="2112" s="62" customFormat="1" ht="15.75"/>
    <row r="2113" s="62" customFormat="1" ht="15.75"/>
    <row r="2114" s="62" customFormat="1" ht="15.75"/>
    <row r="2115" s="62" customFormat="1" ht="15.75"/>
    <row r="2116" s="62" customFormat="1" ht="15.75"/>
    <row r="2117" s="62" customFormat="1" ht="15.75"/>
    <row r="2118" s="62" customFormat="1" ht="15.75"/>
    <row r="2119" s="62" customFormat="1" ht="15.75"/>
    <row r="2120" s="62" customFormat="1" ht="15.75"/>
    <row r="2121" s="62" customFormat="1" ht="15.75"/>
    <row r="2122" s="62" customFormat="1" ht="15.75"/>
    <row r="2123" s="62" customFormat="1" ht="15.75"/>
    <row r="2124" s="62" customFormat="1" ht="15.75"/>
    <row r="2125" s="62" customFormat="1" ht="15.75"/>
    <row r="2126" s="62" customFormat="1" ht="15.75"/>
    <row r="2127" s="62" customFormat="1" ht="15.75"/>
    <row r="2128" s="62" customFormat="1" ht="15.75"/>
    <row r="2129" s="62" customFormat="1" ht="15.75"/>
    <row r="2130" s="62" customFormat="1" ht="15.75"/>
    <row r="2131" s="62" customFormat="1" ht="15.75"/>
    <row r="2132" s="62" customFormat="1" ht="15.75"/>
    <row r="2133" s="62" customFormat="1" ht="15.75"/>
    <row r="2134" s="62" customFormat="1" ht="15.75"/>
    <row r="2135" s="62" customFormat="1" ht="15.75"/>
    <row r="2136" s="62" customFormat="1" ht="15.75"/>
    <row r="2137" s="62" customFormat="1" ht="15.75"/>
    <row r="2138" s="62" customFormat="1" ht="15.75"/>
    <row r="2139" s="62" customFormat="1" ht="15.75"/>
    <row r="2140" s="62" customFormat="1" ht="15.75"/>
    <row r="2141" s="62" customFormat="1" ht="15.75"/>
    <row r="2142" s="62" customFormat="1" ht="15.75"/>
    <row r="2143" s="62" customFormat="1" ht="15.75"/>
    <row r="2144" s="62" customFormat="1" ht="15.75"/>
    <row r="2145" s="62" customFormat="1" ht="15.75"/>
    <row r="2146" s="62" customFormat="1" ht="15.75"/>
    <row r="2147" s="62" customFormat="1" ht="15.75"/>
    <row r="2148" s="62" customFormat="1" ht="15.75"/>
    <row r="2149" s="62" customFormat="1" ht="15.75"/>
    <row r="2150" s="62" customFormat="1" ht="15.75"/>
    <row r="2151" s="62" customFormat="1" ht="15.75"/>
    <row r="2152" s="62" customFormat="1" ht="15.75"/>
    <row r="2153" s="62" customFormat="1" ht="15.75"/>
    <row r="2154" s="62" customFormat="1" ht="15.75"/>
    <row r="2155" s="62" customFormat="1" ht="15.75"/>
    <row r="2156" s="62" customFormat="1" ht="15.75"/>
    <row r="2157" s="62" customFormat="1" ht="15.75"/>
    <row r="2158" s="62" customFormat="1" ht="15.75"/>
    <row r="2159" s="62" customFormat="1" ht="15.75"/>
    <row r="2160" s="62" customFormat="1" ht="15.75"/>
    <row r="2161" s="62" customFormat="1" ht="15.75"/>
    <row r="2162" s="62" customFormat="1" ht="15.75"/>
    <row r="2163" s="62" customFormat="1" ht="15.75"/>
    <row r="2164" s="62" customFormat="1" ht="15.75"/>
    <row r="2165" s="62" customFormat="1" ht="15.75"/>
    <row r="2166" s="62" customFormat="1" ht="15.75"/>
    <row r="2167" s="62" customFormat="1" ht="15.75"/>
    <row r="2168" s="62" customFormat="1" ht="15.75"/>
    <row r="2169" s="62" customFormat="1" ht="15.75"/>
    <row r="2170" s="62" customFormat="1" ht="15.75"/>
    <row r="2171" s="62" customFormat="1" ht="15.75"/>
    <row r="2172" s="62" customFormat="1" ht="15.75"/>
    <row r="2173" s="62" customFormat="1" ht="15.75"/>
    <row r="2174" s="62" customFormat="1" ht="15.75"/>
    <row r="2175" s="62" customFormat="1" ht="15.75"/>
    <row r="2176" s="62" customFormat="1" ht="15.75"/>
    <row r="2177" s="62" customFormat="1" ht="15.75"/>
    <row r="2178" s="62" customFormat="1" ht="15.75"/>
    <row r="2179" s="62" customFormat="1" ht="15.75"/>
    <row r="2180" s="62" customFormat="1" ht="15.75"/>
    <row r="2181" s="62" customFormat="1" ht="15.75"/>
    <row r="2182" s="62" customFormat="1" ht="15.75"/>
    <row r="2183" s="62" customFormat="1" ht="15.75"/>
    <row r="2184" s="62" customFormat="1" ht="15.75"/>
    <row r="2185" s="62" customFormat="1" ht="15.75"/>
    <row r="2186" s="62" customFormat="1" ht="15.75"/>
    <row r="2187" s="62" customFormat="1" ht="15.75"/>
    <row r="2188" s="62" customFormat="1" ht="15.75"/>
    <row r="2189" s="62" customFormat="1" ht="15.75"/>
    <row r="2190" s="62" customFormat="1" ht="15.75"/>
    <row r="2191" s="62" customFormat="1" ht="15.75"/>
    <row r="2192" s="62" customFormat="1" ht="15.75"/>
    <row r="2193" s="62" customFormat="1" ht="15.75"/>
    <row r="2194" s="62" customFormat="1" ht="15.75"/>
    <row r="2195" s="62" customFormat="1" ht="15.75"/>
    <row r="2196" s="62" customFormat="1" ht="15.75"/>
    <row r="2197" s="62" customFormat="1" ht="15.75"/>
    <row r="2198" s="62" customFormat="1" ht="15.75"/>
    <row r="2199" s="62" customFormat="1" ht="15.75"/>
    <row r="2200" s="62" customFormat="1" ht="15.75"/>
    <row r="2201" s="62" customFormat="1" ht="15.75"/>
    <row r="2202" s="62" customFormat="1" ht="15.75"/>
    <row r="2203" s="62" customFormat="1" ht="15.75"/>
    <row r="2204" s="62" customFormat="1" ht="15.75"/>
    <row r="2205" s="62" customFormat="1" ht="15.75"/>
    <row r="2206" s="62" customFormat="1" ht="15.75"/>
    <row r="2207" s="62" customFormat="1" ht="15.75"/>
    <row r="2208" s="62" customFormat="1" ht="15.75"/>
    <row r="2209" s="62" customFormat="1" ht="15.75"/>
    <row r="2210" s="62" customFormat="1" ht="15.75"/>
    <row r="2211" s="62" customFormat="1" ht="15.75"/>
    <row r="2212" s="62" customFormat="1" ht="15.75"/>
    <row r="2213" s="62" customFormat="1" ht="15.75"/>
    <row r="2214" s="62" customFormat="1" ht="15.75"/>
    <row r="2215" s="62" customFormat="1" ht="15.75"/>
    <row r="2216" s="62" customFormat="1" ht="15.75"/>
    <row r="2217" s="62" customFormat="1" ht="15.75"/>
    <row r="2218" s="62" customFormat="1" ht="15.75"/>
    <row r="2219" s="62" customFormat="1" ht="15.75"/>
    <row r="2220" s="62" customFormat="1" ht="15.75"/>
    <row r="2221" s="62" customFormat="1" ht="15.75"/>
    <row r="2222" s="62" customFormat="1" ht="15.75"/>
    <row r="2223" s="62" customFormat="1" ht="15.75"/>
    <row r="2224" s="62" customFormat="1" ht="15.75"/>
    <row r="2225" s="62" customFormat="1" ht="15.75"/>
    <row r="2226" s="62" customFormat="1" ht="15.75"/>
    <row r="2227" s="62" customFormat="1" ht="15.75"/>
    <row r="2228" s="62" customFormat="1" ht="15.75"/>
    <row r="2229" s="62" customFormat="1" ht="15.75"/>
    <row r="2230" s="62" customFormat="1" ht="15.75"/>
    <row r="2231" s="62" customFormat="1" ht="15.75"/>
    <row r="2232" s="62" customFormat="1" ht="15.75"/>
    <row r="2233" s="62" customFormat="1" ht="15.75"/>
    <row r="2234" s="62" customFormat="1" ht="15.75"/>
    <row r="2235" s="62" customFormat="1" ht="15.75"/>
    <row r="2236" s="62" customFormat="1" ht="15.75"/>
    <row r="2237" s="62" customFormat="1" ht="15.75"/>
    <row r="2238" s="62" customFormat="1" ht="15.75"/>
    <row r="2239" s="62" customFormat="1" ht="15.75"/>
    <row r="2240" s="62" customFormat="1" ht="15.75"/>
    <row r="2241" s="62" customFormat="1" ht="15.75"/>
    <row r="2242" s="62" customFormat="1" ht="15.75"/>
    <row r="2243" s="62" customFormat="1" ht="15.75"/>
    <row r="2244" s="62" customFormat="1" ht="15.75"/>
    <row r="2245" s="62" customFormat="1" ht="15.75"/>
    <row r="2246" s="62" customFormat="1" ht="15.75"/>
    <row r="2247" s="62" customFormat="1" ht="15.75"/>
    <row r="2248" s="62" customFormat="1" ht="15.75"/>
    <row r="2249" s="62" customFormat="1" ht="15.75"/>
    <row r="2250" s="62" customFormat="1" ht="15.75"/>
    <row r="2251" s="62" customFormat="1" ht="15.75"/>
    <row r="2252" s="62" customFormat="1" ht="15.75"/>
    <row r="2253" s="62" customFormat="1" ht="15.75"/>
    <row r="2254" s="62" customFormat="1" ht="15.75"/>
    <row r="2255" s="62" customFormat="1" ht="15.75"/>
    <row r="2256" s="62" customFormat="1" ht="15.75"/>
    <row r="2257" s="62" customFormat="1" ht="15.75"/>
    <row r="2258" s="62" customFormat="1" ht="15.75"/>
    <row r="2259" s="62" customFormat="1" ht="15.75"/>
    <row r="2260" s="62" customFormat="1" ht="15.75"/>
    <row r="2261" s="62" customFormat="1" ht="15.75"/>
    <row r="2262" s="62" customFormat="1" ht="15.75"/>
    <row r="2263" s="62" customFormat="1" ht="15.75"/>
    <row r="2264" s="62" customFormat="1" ht="15.75"/>
    <row r="2265" s="62" customFormat="1" ht="15.75"/>
    <row r="2266" s="62" customFormat="1" ht="15.75"/>
    <row r="2267" s="62" customFormat="1" ht="15.75"/>
    <row r="2268" s="62" customFormat="1" ht="15.75"/>
    <row r="2269" s="62" customFormat="1" ht="15.75"/>
    <row r="2270" s="62" customFormat="1" ht="15.75"/>
    <row r="2271" s="62" customFormat="1" ht="15.75"/>
    <row r="2272" s="62" customFormat="1" ht="15.75"/>
    <row r="2273" s="62" customFormat="1" ht="15.75"/>
    <row r="2274" s="62" customFormat="1" ht="15.75"/>
    <row r="2275" s="62" customFormat="1" ht="15.75"/>
    <row r="2276" s="62" customFormat="1" ht="15.75"/>
    <row r="2277" s="62" customFormat="1" ht="15.75"/>
    <row r="2278" s="62" customFormat="1" ht="15.75"/>
    <row r="2279" s="62" customFormat="1" ht="15.75"/>
    <row r="2280" s="62" customFormat="1" ht="15.75"/>
    <row r="2281" s="62" customFormat="1" ht="15.75"/>
    <row r="2282" s="62" customFormat="1" ht="15.75"/>
    <row r="2283" s="62" customFormat="1" ht="15.75"/>
    <row r="2284" s="62" customFormat="1" ht="15.75"/>
    <row r="2285" s="62" customFormat="1" ht="15.75"/>
    <row r="2286" s="62" customFormat="1" ht="15.75"/>
    <row r="2287" s="62" customFormat="1" ht="15.75"/>
    <row r="2288" s="62" customFormat="1" ht="15.75"/>
    <row r="2289" s="62" customFormat="1" ht="15.75"/>
    <row r="2290" s="62" customFormat="1" ht="15.75"/>
    <row r="2291" s="62" customFormat="1" ht="15.75"/>
    <row r="2292" s="62" customFormat="1" ht="15.75"/>
    <row r="2293" s="62" customFormat="1" ht="15.75"/>
    <row r="2294" s="62" customFormat="1" ht="15.75"/>
    <row r="2295" s="62" customFormat="1" ht="15.75"/>
    <row r="2296" s="62" customFormat="1" ht="15.75"/>
    <row r="2297" s="62" customFormat="1" ht="15.75"/>
    <row r="2298" s="62" customFormat="1" ht="15.75"/>
    <row r="2299" s="62" customFormat="1" ht="15.75"/>
    <row r="2300" s="62" customFormat="1" ht="15.75"/>
    <row r="2301" s="62" customFormat="1" ht="15.75"/>
    <row r="2302" s="62" customFormat="1" ht="15.75"/>
    <row r="2303" s="62" customFormat="1" ht="15.75"/>
    <row r="2304" s="62" customFormat="1" ht="15.75"/>
    <row r="2305" s="62" customFormat="1" ht="15.75"/>
    <row r="2306" s="62" customFormat="1" ht="15.75"/>
    <row r="2307" s="62" customFormat="1" ht="15.75"/>
    <row r="2308" s="62" customFormat="1" ht="15.75"/>
    <row r="2309" s="62" customFormat="1" ht="15.75"/>
    <row r="2310" s="62" customFormat="1" ht="15.75"/>
    <row r="2311" s="62" customFormat="1" ht="15.75"/>
    <row r="2312" s="62" customFormat="1" ht="15.75"/>
    <row r="2313" s="62" customFormat="1" ht="15.75"/>
    <row r="2314" s="62" customFormat="1" ht="15.75"/>
    <row r="2315" s="62" customFormat="1" ht="15.75"/>
    <row r="2316" s="62" customFormat="1" ht="15.75"/>
    <row r="2317" s="62" customFormat="1" ht="15.75"/>
    <row r="2318" s="62" customFormat="1" ht="15.75"/>
    <row r="2319" s="62" customFormat="1" ht="15.75"/>
    <row r="2320" s="62" customFormat="1" ht="15.75"/>
    <row r="2321" s="62" customFormat="1" ht="15.75"/>
    <row r="2322" s="62" customFormat="1" ht="15.75"/>
    <row r="2323" s="62" customFormat="1" ht="15.75"/>
    <row r="2324" s="62" customFormat="1" ht="15.75"/>
    <row r="2325" s="62" customFormat="1" ht="15.75"/>
    <row r="2326" s="62" customFormat="1" ht="15.75"/>
    <row r="2327" s="62" customFormat="1" ht="15.75"/>
    <row r="2328" s="62" customFormat="1" ht="15.75"/>
    <row r="2329" s="62" customFormat="1" ht="15.75"/>
    <row r="2330" s="62" customFormat="1" ht="15.75"/>
    <row r="2331" s="62" customFormat="1" ht="15.75"/>
    <row r="2332" s="62" customFormat="1" ht="15.75"/>
    <row r="2333" s="62" customFormat="1" ht="15.75"/>
    <row r="2334" s="62" customFormat="1" ht="15.75"/>
    <row r="2335" s="62" customFormat="1" ht="15.75"/>
    <row r="2336" s="62" customFormat="1" ht="15.75"/>
    <row r="2337" s="62" customFormat="1" ht="15.75"/>
    <row r="2338" s="62" customFormat="1" ht="15.75"/>
    <row r="2339" s="62" customFormat="1" ht="15.75"/>
    <row r="2340" s="62" customFormat="1" ht="15.75"/>
    <row r="2341" s="62" customFormat="1" ht="15.75"/>
    <row r="2342" s="62" customFormat="1" ht="15.75"/>
    <row r="2343" s="62" customFormat="1" ht="15.75"/>
    <row r="2344" s="62" customFormat="1" ht="15.75"/>
    <row r="2345" s="62" customFormat="1" ht="15.75"/>
    <row r="2346" s="62" customFormat="1" ht="15.75"/>
    <row r="2347" s="62" customFormat="1" ht="15.75"/>
    <row r="2348" s="62" customFormat="1" ht="15.75"/>
    <row r="2349" s="62" customFormat="1" ht="15.75"/>
    <row r="2350" s="62" customFormat="1" ht="15.75"/>
    <row r="2351" s="62" customFormat="1" ht="15.75"/>
    <row r="2352" s="62" customFormat="1" ht="15.75"/>
    <row r="2353" s="62" customFormat="1" ht="15.75"/>
    <row r="2354" s="62" customFormat="1" ht="15.75"/>
    <row r="2355" s="62" customFormat="1" ht="15.75"/>
    <row r="2356" s="62" customFormat="1" ht="15.75"/>
    <row r="2357" s="62" customFormat="1" ht="15.75"/>
    <row r="2358" s="62" customFormat="1" ht="15.75"/>
    <row r="2359" s="62" customFormat="1" ht="15.75"/>
    <row r="2360" s="62" customFormat="1" ht="15.75"/>
    <row r="2361" s="62" customFormat="1" ht="15.75"/>
    <row r="2362" s="62" customFormat="1" ht="15.75"/>
    <row r="2363" s="62" customFormat="1" ht="15.75"/>
    <row r="2364" s="62" customFormat="1" ht="15.75"/>
    <row r="2365" s="62" customFormat="1" ht="15.75"/>
    <row r="2366" s="62" customFormat="1" ht="15.75"/>
    <row r="2367" s="62" customFormat="1" ht="15.75"/>
    <row r="2368" s="62" customFormat="1" ht="15.75"/>
    <row r="2369" s="62" customFormat="1" ht="15.75"/>
    <row r="2370" s="62" customFormat="1" ht="15.75"/>
    <row r="2371" s="62" customFormat="1" ht="15.75"/>
    <row r="2372" s="62" customFormat="1" ht="15.75"/>
    <row r="2373" s="62" customFormat="1" ht="15.75"/>
    <row r="2374" s="62" customFormat="1" ht="15.75"/>
    <row r="2375" s="62" customFormat="1" ht="15.75"/>
    <row r="2376" s="62" customFormat="1" ht="15.75"/>
    <row r="2377" s="62" customFormat="1" ht="15.75"/>
    <row r="2378" s="62" customFormat="1" ht="15.75"/>
    <row r="2379" s="62" customFormat="1" ht="15.75"/>
    <row r="2380" s="62" customFormat="1" ht="15.75"/>
    <row r="2381" s="62" customFormat="1" ht="15.75"/>
    <row r="2382" s="62" customFormat="1" ht="15.75"/>
    <row r="2383" s="62" customFormat="1" ht="15.75"/>
    <row r="2384" s="62" customFormat="1" ht="15.75"/>
    <row r="2385" s="62" customFormat="1" ht="15.75"/>
    <row r="2386" s="62" customFormat="1" ht="15.75"/>
    <row r="2387" s="62" customFormat="1" ht="15.75"/>
    <row r="2388" s="62" customFormat="1" ht="15.75"/>
    <row r="2389" s="62" customFormat="1" ht="15.75"/>
    <row r="2390" s="62" customFormat="1" ht="15.75"/>
    <row r="2391" s="62" customFormat="1" ht="15.75"/>
    <row r="2392" s="62" customFormat="1" ht="15.75"/>
    <row r="2393" s="62" customFormat="1" ht="15.75"/>
    <row r="2394" s="62" customFormat="1" ht="15.75"/>
    <row r="2395" s="62" customFormat="1" ht="15.75"/>
    <row r="2396" s="62" customFormat="1" ht="15.75"/>
    <row r="2397" s="62" customFormat="1" ht="15.75"/>
    <row r="2398" s="62" customFormat="1" ht="15.75"/>
    <row r="2399" s="62" customFormat="1" ht="15.75"/>
    <row r="2400" s="62" customFormat="1" ht="15.75"/>
    <row r="2401" s="62" customFormat="1" ht="15.75"/>
    <row r="2402" s="62" customFormat="1" ht="15.75"/>
    <row r="2403" s="62" customFormat="1" ht="15.75"/>
    <row r="2404" s="62" customFormat="1" ht="15.75"/>
    <row r="2405" s="62" customFormat="1" ht="15.75"/>
    <row r="2406" s="62" customFormat="1" ht="15.75"/>
    <row r="2407" s="62" customFormat="1" ht="15.75"/>
    <row r="2408" s="62" customFormat="1" ht="15.75"/>
    <row r="2409" s="62" customFormat="1" ht="15.75"/>
    <row r="2410" s="62" customFormat="1" ht="15.75"/>
    <row r="2411" s="62" customFormat="1" ht="15.75"/>
    <row r="2412" s="62" customFormat="1" ht="15.75"/>
    <row r="2413" s="62" customFormat="1" ht="15.75"/>
    <row r="2414" s="62" customFormat="1" ht="15.75"/>
    <row r="2415" s="62" customFormat="1" ht="15.75"/>
    <row r="2416" s="62" customFormat="1" ht="15.75"/>
    <row r="2417" s="62" customFormat="1" ht="15.75"/>
    <row r="2418" s="62" customFormat="1" ht="15.75"/>
    <row r="2419" s="62" customFormat="1" ht="15.75"/>
    <row r="2420" s="62" customFormat="1" ht="15.75"/>
    <row r="2421" s="62" customFormat="1" ht="15.75"/>
    <row r="2422" s="62" customFormat="1" ht="15.75"/>
    <row r="2423" s="62" customFormat="1" ht="15.75"/>
    <row r="2424" s="62" customFormat="1" ht="15.75"/>
    <row r="2425" s="62" customFormat="1" ht="15.75"/>
    <row r="2426" s="62" customFormat="1" ht="15.75"/>
    <row r="2427" s="62" customFormat="1" ht="15.75"/>
    <row r="2428" s="62" customFormat="1" ht="15.75"/>
    <row r="2429" s="62" customFormat="1" ht="15.75"/>
    <row r="2430" s="62" customFormat="1" ht="15.75"/>
    <row r="2431" s="62" customFormat="1" ht="15.75"/>
    <row r="2432" s="62" customFormat="1" ht="15.75"/>
    <row r="2433" s="62" customFormat="1" ht="15.75"/>
    <row r="2434" s="62" customFormat="1" ht="15.75"/>
    <row r="2435" s="62" customFormat="1" ht="15.75"/>
    <row r="2436" s="62" customFormat="1" ht="15.75"/>
    <row r="2437" s="62" customFormat="1" ht="15.75"/>
    <row r="2438" s="62" customFormat="1" ht="15.75"/>
    <row r="2439" s="62" customFormat="1" ht="15.75"/>
    <row r="2440" s="62" customFormat="1" ht="15.75"/>
    <row r="2441" s="62" customFormat="1" ht="15.75"/>
    <row r="2442" s="62" customFormat="1" ht="15.75"/>
    <row r="2443" s="62" customFormat="1" ht="15.75"/>
    <row r="2444" s="62" customFormat="1" ht="15.75"/>
    <row r="2445" s="62" customFormat="1" ht="15.75"/>
    <row r="2446" s="62" customFormat="1" ht="15.75"/>
    <row r="2447" s="62" customFormat="1" ht="15.75"/>
    <row r="2448" s="62" customFormat="1" ht="15.75"/>
    <row r="2449" s="62" customFormat="1" ht="15.75"/>
    <row r="2450" s="62" customFormat="1" ht="15.75"/>
    <row r="2451" s="62" customFormat="1" ht="15.75"/>
    <row r="2452" s="62" customFormat="1" ht="15.75"/>
    <row r="2453" s="62" customFormat="1" ht="15.75"/>
    <row r="2454" s="62" customFormat="1" ht="15.75"/>
    <row r="2455" s="62" customFormat="1" ht="15.75"/>
    <row r="2456" s="62" customFormat="1" ht="15.75"/>
    <row r="2457" s="62" customFormat="1" ht="15.75"/>
    <row r="2458" s="62" customFormat="1" ht="15.75"/>
    <row r="2459" s="62" customFormat="1" ht="15.75"/>
    <row r="2460" s="62" customFormat="1" ht="15.75"/>
    <row r="2461" s="62" customFormat="1" ht="15.75"/>
    <row r="2462" s="62" customFormat="1" ht="15.75"/>
    <row r="2463" s="62" customFormat="1" ht="15.75"/>
    <row r="2464" s="62" customFormat="1" ht="15.75"/>
    <row r="2465" s="62" customFormat="1" ht="15.75"/>
    <row r="2466" s="62" customFormat="1" ht="15.75"/>
    <row r="2467" s="62" customFormat="1" ht="15.75"/>
    <row r="2468" s="62" customFormat="1" ht="15.75"/>
    <row r="2469" s="62" customFormat="1" ht="15.75"/>
    <row r="2470" s="62" customFormat="1" ht="15.75"/>
    <row r="2471" s="62" customFormat="1" ht="15.75"/>
    <row r="2472" s="62" customFormat="1" ht="15.75"/>
    <row r="2473" s="62" customFormat="1" ht="15.75"/>
    <row r="2474" s="62" customFormat="1" ht="15.75"/>
    <row r="2475" s="62" customFormat="1" ht="15.75"/>
    <row r="2476" s="62" customFormat="1" ht="15.75"/>
    <row r="2477" s="62" customFormat="1" ht="15.75"/>
    <row r="2478" s="62" customFormat="1" ht="15.75"/>
    <row r="2479" s="62" customFormat="1" ht="15.75"/>
    <row r="2480" s="62" customFormat="1" ht="15.75"/>
    <row r="2481" s="62" customFormat="1" ht="15.75"/>
    <row r="2482" s="62" customFormat="1" ht="15.75"/>
    <row r="2483" s="62" customFormat="1" ht="15.75"/>
    <row r="2484" s="62" customFormat="1" ht="15.75"/>
    <row r="2485" s="62" customFormat="1" ht="15.75"/>
    <row r="2486" s="62" customFormat="1" ht="15.75"/>
    <row r="2487" s="62" customFormat="1" ht="15.75"/>
    <row r="2488" s="62" customFormat="1" ht="15.75"/>
    <row r="2489" s="62" customFormat="1" ht="15.75"/>
    <row r="2490" s="62" customFormat="1" ht="15.75"/>
    <row r="2491" s="62" customFormat="1" ht="15.75"/>
    <row r="2492" s="62" customFormat="1" ht="15.75"/>
    <row r="2493" s="62" customFormat="1" ht="15.75"/>
    <row r="2494" s="62" customFormat="1" ht="15.75"/>
    <row r="2495" s="62" customFormat="1" ht="15.75"/>
    <row r="2496" s="62" customFormat="1" ht="15.75"/>
    <row r="2497" s="62" customFormat="1" ht="15.75"/>
    <row r="2498" s="62" customFormat="1" ht="15.75"/>
    <row r="2499" s="62" customFormat="1" ht="15.75"/>
    <row r="2500" s="62" customFormat="1" ht="15.75"/>
    <row r="2501" s="62" customFormat="1" ht="15.75"/>
    <row r="2502" s="62" customFormat="1" ht="15.75"/>
    <row r="2503" s="62" customFormat="1" ht="15.75"/>
    <row r="2504" s="62" customFormat="1" ht="15.75"/>
    <row r="2505" s="62" customFormat="1" ht="15.75"/>
    <row r="2506" s="62" customFormat="1" ht="15.75"/>
    <row r="2507" s="62" customFormat="1" ht="15.75"/>
    <row r="2508" s="62" customFormat="1" ht="15.75"/>
    <row r="2509" s="62" customFormat="1" ht="15.75"/>
    <row r="2510" s="62" customFormat="1" ht="15.75"/>
    <row r="2511" s="62" customFormat="1" ht="15.75"/>
    <row r="2512" s="62" customFormat="1" ht="15.75"/>
    <row r="2513" s="62" customFormat="1" ht="15.75"/>
    <row r="2514" s="62" customFormat="1" ht="15.75"/>
    <row r="2515" s="62" customFormat="1" ht="15.75"/>
    <row r="2516" s="62" customFormat="1" ht="15.75"/>
    <row r="2517" s="62" customFormat="1" ht="15.75"/>
    <row r="2518" s="62" customFormat="1" ht="15.75"/>
    <row r="2519" s="62" customFormat="1" ht="15.75"/>
    <row r="2520" s="62" customFormat="1" ht="15.75"/>
    <row r="2521" s="62" customFormat="1" ht="15.75"/>
    <row r="2522" s="62" customFormat="1" ht="15.75"/>
    <row r="2523" s="62" customFormat="1" ht="15.75"/>
    <row r="2524" s="62" customFormat="1" ht="15.75"/>
    <row r="2525" s="62" customFormat="1" ht="15.75"/>
    <row r="2526" s="62" customFormat="1" ht="15.75"/>
    <row r="2527" s="62" customFormat="1" ht="15.75"/>
    <row r="2528" s="62" customFormat="1" ht="15.75"/>
    <row r="2529" s="62" customFormat="1" ht="15.75"/>
    <row r="2530" s="62" customFormat="1" ht="15.75"/>
    <row r="2531" s="62" customFormat="1" ht="15.75"/>
    <row r="2532" s="62" customFormat="1" ht="15.75"/>
    <row r="2533" s="62" customFormat="1" ht="15.75"/>
    <row r="2534" s="62" customFormat="1" ht="15.75"/>
    <row r="2535" s="62" customFormat="1" ht="15.75"/>
    <row r="2536" s="62" customFormat="1" ht="15.75"/>
    <row r="2537" s="62" customFormat="1" ht="15.75"/>
    <row r="2538" s="62" customFormat="1" ht="15.75"/>
    <row r="2539" s="62" customFormat="1" ht="15.75"/>
    <row r="2540" s="62" customFormat="1" ht="15.75"/>
    <row r="2541" s="62" customFormat="1" ht="15.75"/>
    <row r="2542" s="62" customFormat="1" ht="15.75"/>
    <row r="2543" s="62" customFormat="1" ht="15.75"/>
    <row r="2544" s="62" customFormat="1" ht="15.75"/>
    <row r="2545" s="62" customFormat="1" ht="15.75"/>
    <row r="2546" s="62" customFormat="1" ht="15.75"/>
    <row r="2547" s="62" customFormat="1" ht="15.75"/>
    <row r="2548" s="62" customFormat="1" ht="15.75"/>
    <row r="2549" s="62" customFormat="1" ht="15.75"/>
    <row r="2550" s="62" customFormat="1" ht="15.75"/>
    <row r="2551" s="62" customFormat="1" ht="15.75"/>
    <row r="2552" s="62" customFormat="1" ht="15.75"/>
    <row r="2553" s="62" customFormat="1" ht="15.75"/>
    <row r="2554" s="62" customFormat="1" ht="15.75"/>
    <row r="2555" s="62" customFormat="1" ht="15.75"/>
    <row r="2556" s="62" customFormat="1" ht="15.75"/>
    <row r="2557" s="62" customFormat="1" ht="15.75"/>
    <row r="2558" s="62" customFormat="1" ht="15.75"/>
    <row r="2559" s="62" customFormat="1" ht="15.75"/>
    <row r="2560" s="62" customFormat="1" ht="15.75"/>
    <row r="2561" s="62" customFormat="1" ht="15.75"/>
    <row r="2562" s="62" customFormat="1" ht="15.75"/>
    <row r="2563" s="62" customFormat="1" ht="15.75"/>
    <row r="2564" s="62" customFormat="1" ht="15.75"/>
    <row r="2565" s="62" customFormat="1" ht="15.75"/>
    <row r="2566" s="62" customFormat="1" ht="15.75"/>
    <row r="2567" s="62" customFormat="1" ht="15.75"/>
    <row r="2568" s="62" customFormat="1" ht="15.75"/>
    <row r="2569" s="62" customFormat="1" ht="15.75"/>
    <row r="2570" s="62" customFormat="1" ht="15.75"/>
    <row r="2571" s="62" customFormat="1" ht="15.75"/>
    <row r="2572" s="62" customFormat="1" ht="15.75"/>
    <row r="2573" s="62" customFormat="1" ht="15.75"/>
    <row r="2574" s="62" customFormat="1" ht="15.75"/>
    <row r="2575" s="62" customFormat="1" ht="15.75"/>
    <row r="2576" s="62" customFormat="1" ht="15.75"/>
    <row r="2577" s="62" customFormat="1" ht="15.75"/>
    <row r="2578" s="62" customFormat="1" ht="15.75"/>
    <row r="2579" s="62" customFormat="1" ht="15.75"/>
    <row r="2580" s="62" customFormat="1" ht="15.75"/>
    <row r="2581" s="62" customFormat="1" ht="15.75"/>
    <row r="2582" s="62" customFormat="1" ht="15.75"/>
    <row r="2583" s="62" customFormat="1" ht="15.75"/>
    <row r="2584" s="62" customFormat="1" ht="15.75"/>
    <row r="2585" s="62" customFormat="1" ht="15.75"/>
    <row r="2586" s="62" customFormat="1" ht="15.75"/>
    <row r="2587" s="62" customFormat="1" ht="15.75"/>
    <row r="2588" s="62" customFormat="1" ht="15.75"/>
    <row r="2589" s="62" customFormat="1" ht="15.75"/>
    <row r="2590" s="62" customFormat="1" ht="15.75"/>
    <row r="2591" s="62" customFormat="1" ht="15.75"/>
    <row r="2592" s="62" customFormat="1" ht="15.75"/>
    <row r="2593" s="62" customFormat="1" ht="15.75"/>
    <row r="2594" s="62" customFormat="1" ht="15.75"/>
    <row r="2595" s="62" customFormat="1" ht="15.75"/>
    <row r="2596" s="62" customFormat="1" ht="15.75"/>
    <row r="2597" s="62" customFormat="1" ht="15.75"/>
    <row r="2598" s="62" customFormat="1" ht="15.75"/>
    <row r="2599" s="62" customFormat="1" ht="15.75"/>
    <row r="2600" s="62" customFormat="1" ht="15.75"/>
    <row r="2601" s="62" customFormat="1" ht="15.75"/>
    <row r="2602" s="62" customFormat="1" ht="15.75"/>
    <row r="2603" s="62" customFormat="1" ht="15.75"/>
    <row r="2604" s="62" customFormat="1" ht="15.75"/>
    <row r="2605" s="62" customFormat="1" ht="15.75"/>
    <row r="2606" s="62" customFormat="1" ht="15.75"/>
    <row r="2607" s="62" customFormat="1" ht="15.75"/>
    <row r="2608" s="62" customFormat="1" ht="15.75"/>
    <row r="2609" s="62" customFormat="1" ht="15.75"/>
    <row r="2610" s="62" customFormat="1" ht="15.75"/>
    <row r="2611" s="62" customFormat="1" ht="15.75"/>
    <row r="2612" s="62" customFormat="1" ht="15.75"/>
    <row r="2613" s="62" customFormat="1" ht="15.75"/>
    <row r="2614" s="62" customFormat="1" ht="15.75"/>
    <row r="2615" s="62" customFormat="1" ht="15.75"/>
    <row r="2616" s="62" customFormat="1" ht="15.75"/>
    <row r="2617" s="62" customFormat="1" ht="15.75"/>
    <row r="2618" s="62" customFormat="1" ht="15.75"/>
    <row r="2619" s="62" customFormat="1" ht="15.75"/>
    <row r="2620" s="62" customFormat="1" ht="15.75"/>
    <row r="2621" s="62" customFormat="1" ht="15.75"/>
    <row r="2622" s="62" customFormat="1" ht="15.75"/>
    <row r="2623" s="62" customFormat="1" ht="15.75"/>
    <row r="2624" s="62" customFormat="1" ht="15.75"/>
    <row r="2625" s="62" customFormat="1" ht="15.75"/>
    <row r="2626" s="62" customFormat="1" ht="15.75"/>
    <row r="2627" s="62" customFormat="1" ht="15.75"/>
    <row r="2628" s="62" customFormat="1" ht="15.75"/>
    <row r="2629" s="62" customFormat="1" ht="15.75"/>
    <row r="2630" s="62" customFormat="1" ht="15.75"/>
    <row r="2631" s="62" customFormat="1" ht="15.75"/>
    <row r="2632" s="62" customFormat="1" ht="15.75"/>
    <row r="2633" s="62" customFormat="1" ht="15.75"/>
    <row r="2634" s="62" customFormat="1" ht="15.75"/>
    <row r="2635" s="62" customFormat="1" ht="15.75"/>
    <row r="2636" s="62" customFormat="1" ht="15.75"/>
    <row r="2637" s="62" customFormat="1" ht="15.75"/>
    <row r="2638" s="62" customFormat="1" ht="15.75"/>
    <row r="2639" s="62" customFormat="1" ht="15.75"/>
    <row r="2640" s="62" customFormat="1" ht="15.75"/>
    <row r="2641" s="62" customFormat="1" ht="15.75"/>
    <row r="2642" s="62" customFormat="1" ht="15.75"/>
    <row r="2643" s="62" customFormat="1" ht="15.75"/>
    <row r="2644" s="62" customFormat="1" ht="15.75"/>
    <row r="2645" s="62" customFormat="1" ht="15.75"/>
    <row r="2646" s="62" customFormat="1" ht="15.75"/>
    <row r="2647" s="62" customFormat="1" ht="15.75"/>
    <row r="2648" s="62" customFormat="1" ht="15.75"/>
    <row r="2649" s="62" customFormat="1" ht="15.75"/>
    <row r="2650" s="62" customFormat="1" ht="15.75"/>
    <row r="2651" s="62" customFormat="1" ht="15.75"/>
    <row r="2652" s="62" customFormat="1" ht="15.75"/>
    <row r="2653" s="62" customFormat="1" ht="15.75"/>
    <row r="2654" s="62" customFormat="1" ht="15.75"/>
    <row r="2655" s="62" customFormat="1" ht="15.75"/>
    <row r="2656" s="62" customFormat="1" ht="15.75"/>
    <row r="2657" s="62" customFormat="1" ht="15.75"/>
    <row r="2658" s="62" customFormat="1" ht="15.75"/>
    <row r="2659" s="62" customFormat="1" ht="15.75"/>
    <row r="2660" s="62" customFormat="1" ht="15.75"/>
    <row r="2661" s="62" customFormat="1" ht="15.75"/>
    <row r="2662" s="62" customFormat="1" ht="15.75"/>
    <row r="2663" s="62" customFormat="1" ht="15.75"/>
    <row r="2664" s="62" customFormat="1" ht="15.75"/>
    <row r="2665" s="62" customFormat="1" ht="15.75"/>
    <row r="2666" s="62" customFormat="1" ht="15.75"/>
    <row r="2667" s="62" customFormat="1" ht="15.75"/>
    <row r="2668" s="62" customFormat="1" ht="15.75"/>
    <row r="2669" s="62" customFormat="1" ht="15.75"/>
    <row r="2670" s="62" customFormat="1" ht="15.75"/>
    <row r="2671" s="62" customFormat="1" ht="15.75"/>
    <row r="2672" s="62" customFormat="1" ht="15.75"/>
    <row r="2673" s="62" customFormat="1" ht="15.75"/>
    <row r="2674" s="62" customFormat="1" ht="15.75"/>
    <row r="2675" s="62" customFormat="1" ht="15.75"/>
    <row r="2676" s="62" customFormat="1" ht="15.75"/>
    <row r="2677" s="62" customFormat="1" ht="15.75"/>
    <row r="2678" s="62" customFormat="1" ht="15.75"/>
    <row r="2679" s="62" customFormat="1" ht="15.75"/>
    <row r="2680" s="62" customFormat="1" ht="15.75"/>
    <row r="2681" s="62" customFormat="1" ht="15.75"/>
    <row r="2682" s="62" customFormat="1" ht="15.75"/>
    <row r="2683" s="62" customFormat="1" ht="15.75"/>
    <row r="2684" s="62" customFormat="1" ht="15.75"/>
    <row r="2685" s="62" customFormat="1" ht="15.75"/>
    <row r="2686" s="62" customFormat="1" ht="15.75"/>
    <row r="2687" s="62" customFormat="1" ht="15.75"/>
    <row r="2688" s="62" customFormat="1" ht="15.75"/>
    <row r="2689" s="62" customFormat="1" ht="15.75"/>
    <row r="2690" s="62" customFormat="1" ht="15.75"/>
    <row r="2691" s="62" customFormat="1" ht="15.75"/>
    <row r="2692" s="62" customFormat="1" ht="15.75"/>
    <row r="2693" s="62" customFormat="1" ht="15.75"/>
    <row r="2694" s="62" customFormat="1" ht="15.75"/>
    <row r="2695" s="62" customFormat="1" ht="15.75"/>
    <row r="2696" s="62" customFormat="1" ht="15.75"/>
    <row r="2697" s="62" customFormat="1" ht="15.75"/>
    <row r="2698" s="62" customFormat="1" ht="15.75"/>
    <row r="2699" s="62" customFormat="1" ht="15.75"/>
    <row r="2700" s="62" customFormat="1" ht="15.75"/>
    <row r="2701" s="62" customFormat="1" ht="15.75"/>
    <row r="2702" s="62" customFormat="1" ht="15.75"/>
    <row r="2703" s="62" customFormat="1" ht="15.75"/>
    <row r="2704" s="62" customFormat="1" ht="15.75"/>
    <row r="2705" s="62" customFormat="1" ht="15.75"/>
    <row r="2706" s="62" customFormat="1" ht="15.75"/>
    <row r="2707" s="62" customFormat="1" ht="15.75"/>
    <row r="2708" s="62" customFormat="1" ht="15.75"/>
    <row r="2709" s="62" customFormat="1" ht="15.75"/>
    <row r="2710" s="62" customFormat="1" ht="15.75"/>
    <row r="2711" s="62" customFormat="1" ht="15.75"/>
    <row r="2712" s="62" customFormat="1" ht="15.75"/>
    <row r="2713" s="62" customFormat="1" ht="15.75"/>
    <row r="2714" s="62" customFormat="1" ht="15.75"/>
    <row r="2715" s="62" customFormat="1" ht="15.75"/>
    <row r="2716" s="62" customFormat="1" ht="15.75"/>
    <row r="2717" s="62" customFormat="1" ht="15.75"/>
    <row r="2718" s="62" customFormat="1" ht="15.75"/>
    <row r="2719" s="62" customFormat="1" ht="15.75"/>
    <row r="2720" s="62" customFormat="1" ht="15.75"/>
    <row r="2721" s="62" customFormat="1" ht="15.75"/>
    <row r="2722" s="62" customFormat="1" ht="15.75"/>
    <row r="2723" s="62" customFormat="1" ht="15.75"/>
    <row r="2724" s="62" customFormat="1" ht="15.75"/>
    <row r="2725" s="62" customFormat="1" ht="15.75"/>
    <row r="2726" s="62" customFormat="1" ht="15.75"/>
    <row r="2727" s="62" customFormat="1" ht="15.75"/>
    <row r="2728" s="62" customFormat="1" ht="15.75"/>
    <row r="2729" s="62" customFormat="1" ht="15.75"/>
    <row r="2730" s="62" customFormat="1" ht="15.75"/>
    <row r="2731" s="62" customFormat="1" ht="15.75"/>
    <row r="2732" s="62" customFormat="1" ht="15.75"/>
    <row r="2733" s="62" customFormat="1" ht="15.75"/>
    <row r="2734" s="62" customFormat="1" ht="15.75"/>
    <row r="2735" s="62" customFormat="1" ht="15.75"/>
    <row r="2736" s="62" customFormat="1" ht="15.75"/>
    <row r="2737" s="62" customFormat="1" ht="15.75"/>
    <row r="2738" s="62" customFormat="1" ht="15.75"/>
    <row r="2739" s="62" customFormat="1" ht="15.75"/>
    <row r="2740" s="62" customFormat="1" ht="15.75"/>
    <row r="2741" s="62" customFormat="1" ht="15.75"/>
    <row r="2742" s="62" customFormat="1" ht="15.75"/>
    <row r="2743" s="62" customFormat="1" ht="15.75"/>
    <row r="2744" s="62" customFormat="1" ht="15.75"/>
    <row r="2745" s="62" customFormat="1" ht="15.75"/>
    <row r="2746" s="62" customFormat="1" ht="15.75"/>
    <row r="2747" s="62" customFormat="1" ht="15.75"/>
    <row r="2748" s="62" customFormat="1" ht="15.75"/>
    <row r="2749" s="62" customFormat="1" ht="15.75"/>
    <row r="2750" s="62" customFormat="1" ht="15.75"/>
    <row r="2751" s="62" customFormat="1" ht="15.75"/>
    <row r="2752" s="62" customFormat="1" ht="15.75"/>
    <row r="2753" s="62" customFormat="1" ht="15.75"/>
    <row r="2754" s="62" customFormat="1" ht="15.75"/>
    <row r="2755" s="62" customFormat="1" ht="15.75"/>
    <row r="2756" s="62" customFormat="1" ht="15.75"/>
    <row r="2757" s="62" customFormat="1" ht="15.75"/>
    <row r="2758" s="62" customFormat="1" ht="15.75"/>
    <row r="2759" s="62" customFormat="1" ht="15.75"/>
    <row r="2760" s="62" customFormat="1" ht="15.75"/>
    <row r="2761" s="62" customFormat="1" ht="15.75"/>
    <row r="2762" s="62" customFormat="1" ht="15.75"/>
    <row r="2763" s="62" customFormat="1" ht="15.75"/>
    <row r="2764" s="62" customFormat="1" ht="15.75"/>
    <row r="2765" s="62" customFormat="1" ht="15.75"/>
    <row r="2766" s="62" customFormat="1" ht="15.75"/>
    <row r="2767" s="62" customFormat="1" ht="15.75"/>
    <row r="2768" s="62" customFormat="1" ht="15.75"/>
    <row r="2769" s="62" customFormat="1" ht="15.75"/>
    <row r="2770" s="62" customFormat="1" ht="15.75"/>
    <row r="2771" s="62" customFormat="1" ht="15.75"/>
    <row r="2772" s="62" customFormat="1" ht="15.75"/>
    <row r="2773" s="62" customFormat="1" ht="15.75"/>
    <row r="2774" s="62" customFormat="1" ht="15.75"/>
    <row r="2775" s="62" customFormat="1" ht="15.75"/>
    <row r="2776" s="62" customFormat="1" ht="15.75"/>
    <row r="2777" s="62" customFormat="1" ht="15.75"/>
    <row r="2778" s="62" customFormat="1" ht="15.75"/>
    <row r="2779" s="62" customFormat="1" ht="15.75"/>
    <row r="2780" s="62" customFormat="1" ht="15.75"/>
    <row r="2781" s="62" customFormat="1" ht="15.75"/>
    <row r="2782" s="62" customFormat="1" ht="15.75"/>
    <row r="2783" s="62" customFormat="1" ht="15.75"/>
    <row r="2784" s="62" customFormat="1" ht="15.75"/>
    <row r="2785" s="62" customFormat="1" ht="15.75"/>
    <row r="2786" s="62" customFormat="1" ht="15.75"/>
    <row r="2787" s="62" customFormat="1" ht="15.75"/>
    <row r="2788" s="62" customFormat="1" ht="15.75"/>
    <row r="2789" s="62" customFormat="1" ht="15.75"/>
    <row r="2790" s="62" customFormat="1" ht="15.75"/>
    <row r="2791" s="62" customFormat="1" ht="15.75"/>
    <row r="2792" s="62" customFormat="1" ht="15.75"/>
    <row r="2793" s="62" customFormat="1" ht="15.75"/>
    <row r="2794" s="62" customFormat="1" ht="15.75"/>
    <row r="2795" s="62" customFormat="1" ht="15.75"/>
    <row r="2796" s="62" customFormat="1" ht="15.75"/>
    <row r="2797" s="62" customFormat="1" ht="15.75"/>
    <row r="2798" s="62" customFormat="1" ht="15.75"/>
    <row r="2799" s="62" customFormat="1" ht="15.75"/>
    <row r="2800" s="62" customFormat="1" ht="15.75"/>
    <row r="2801" s="62" customFormat="1" ht="15.75"/>
    <row r="2802" s="62" customFormat="1" ht="15.75"/>
    <row r="2803" s="62" customFormat="1" ht="15.75"/>
    <row r="2804" s="62" customFormat="1" ht="15.75"/>
    <row r="2805" s="62" customFormat="1" ht="15.75"/>
    <row r="2806" s="62" customFormat="1" ht="15.75"/>
    <row r="2807" s="62" customFormat="1" ht="15.75"/>
    <row r="2808" s="62" customFormat="1" ht="15.75"/>
    <row r="2809" s="62" customFormat="1" ht="15.75"/>
    <row r="2810" s="62" customFormat="1" ht="15.75"/>
    <row r="2811" s="62" customFormat="1" ht="15.75"/>
    <row r="2812" s="62" customFormat="1" ht="15.75"/>
    <row r="2813" s="62" customFormat="1" ht="15.75"/>
    <row r="2814" s="62" customFormat="1" ht="15.75"/>
    <row r="2815" s="62" customFormat="1" ht="15.75"/>
    <row r="2816" s="62" customFormat="1" ht="15.75"/>
    <row r="2817" s="62" customFormat="1" ht="15.75"/>
    <row r="2818" s="62" customFormat="1" ht="15.75"/>
    <row r="2819" s="62" customFormat="1" ht="15.75"/>
    <row r="2820" s="62" customFormat="1" ht="15.75"/>
    <row r="2821" s="62" customFormat="1" ht="15.75"/>
    <row r="2822" s="62" customFormat="1" ht="15.75"/>
    <row r="2823" s="62" customFormat="1" ht="15.75"/>
    <row r="2824" s="62" customFormat="1" ht="15.75"/>
    <row r="2825" s="62" customFormat="1" ht="15.75"/>
    <row r="2826" s="62" customFormat="1" ht="15.75"/>
    <row r="2827" s="62" customFormat="1" ht="15.75"/>
    <row r="2828" s="62" customFormat="1" ht="15.75"/>
    <row r="2829" s="62" customFormat="1" ht="15.75"/>
    <row r="2830" s="62" customFormat="1" ht="15.75"/>
    <row r="2831" s="62" customFormat="1" ht="15.75"/>
    <row r="2832" s="62" customFormat="1" ht="15.75"/>
    <row r="2833" s="62" customFormat="1" ht="15.75"/>
    <row r="2834" s="62" customFormat="1" ht="15.75"/>
    <row r="2835" s="62" customFormat="1" ht="15.75"/>
    <row r="2836" s="62" customFormat="1" ht="15.75"/>
    <row r="2837" s="62" customFormat="1" ht="15.75"/>
    <row r="2838" s="62" customFormat="1" ht="15.75"/>
    <row r="2839" s="62" customFormat="1" ht="15.75"/>
    <row r="2840" s="62" customFormat="1" ht="15.75"/>
    <row r="2841" s="62" customFormat="1" ht="15.75"/>
    <row r="2842" s="62" customFormat="1" ht="15.75"/>
    <row r="2843" s="62" customFormat="1" ht="15.75"/>
    <row r="2844" s="62" customFormat="1" ht="15.75"/>
    <row r="2845" s="62" customFormat="1" ht="15.75"/>
    <row r="2846" s="62" customFormat="1" ht="15.75"/>
    <row r="2847" s="62" customFormat="1" ht="15.75"/>
    <row r="2848" s="62" customFormat="1" ht="15.75"/>
    <row r="2849" s="62" customFormat="1" ht="15.75"/>
    <row r="2850" s="62" customFormat="1" ht="15.75"/>
    <row r="2851" s="62" customFormat="1" ht="15.75"/>
    <row r="2852" s="62" customFormat="1" ht="15.75"/>
    <row r="2853" s="62" customFormat="1" ht="15.75"/>
    <row r="2854" s="62" customFormat="1" ht="15.75"/>
    <row r="2855" s="62" customFormat="1" ht="15.75"/>
    <row r="2856" s="62" customFormat="1" ht="15.75"/>
    <row r="2857" s="62" customFormat="1" ht="15.75"/>
    <row r="2858" s="62" customFormat="1" ht="15.75"/>
    <row r="2859" s="62" customFormat="1" ht="15.75"/>
    <row r="2860" s="62" customFormat="1" ht="15.75"/>
    <row r="2861" s="62" customFormat="1" ht="15.75"/>
    <row r="2862" s="62" customFormat="1" ht="15.75"/>
    <row r="2863" s="62" customFormat="1" ht="15.75"/>
    <row r="2864" s="62" customFormat="1" ht="15.75"/>
    <row r="2865" s="62" customFormat="1" ht="15.75"/>
    <row r="2866" s="62" customFormat="1" ht="15.75"/>
    <row r="2867" s="62" customFormat="1" ht="15.75"/>
    <row r="2868" s="62" customFormat="1" ht="15.75"/>
    <row r="2869" s="62" customFormat="1" ht="15.75"/>
    <row r="2870" s="62" customFormat="1" ht="15.75"/>
    <row r="2871" s="62" customFormat="1" ht="15.75"/>
    <row r="2872" s="62" customFormat="1" ht="15.75"/>
    <row r="2873" s="62" customFormat="1" ht="15.75"/>
    <row r="2874" s="62" customFormat="1" ht="15.75"/>
    <row r="2875" s="62" customFormat="1" ht="15.75"/>
    <row r="2876" s="62" customFormat="1" ht="15.75"/>
    <row r="2877" s="62" customFormat="1" ht="15.75"/>
    <row r="2878" s="62" customFormat="1" ht="15.75"/>
    <row r="2879" s="62" customFormat="1" ht="15.75"/>
    <row r="2880" s="62" customFormat="1" ht="15.75"/>
    <row r="2881" s="62" customFormat="1" ht="15.75"/>
    <row r="2882" s="62" customFormat="1" ht="15.75"/>
    <row r="2883" s="62" customFormat="1" ht="15.75"/>
    <row r="2884" s="62" customFormat="1" ht="15.75"/>
    <row r="2885" s="62" customFormat="1" ht="15.75"/>
    <row r="2886" s="62" customFormat="1" ht="15.75"/>
    <row r="2887" s="62" customFormat="1" ht="15.75"/>
    <row r="2888" s="62" customFormat="1" ht="15.75"/>
    <row r="2889" s="62" customFormat="1" ht="15.75"/>
    <row r="2890" s="62" customFormat="1" ht="15.75"/>
    <row r="2891" s="62" customFormat="1" ht="15.75"/>
    <row r="2892" s="62" customFormat="1" ht="15.75"/>
    <row r="2893" s="62" customFormat="1" ht="15.75"/>
    <row r="2894" s="62" customFormat="1" ht="15.75"/>
    <row r="2895" s="62" customFormat="1" ht="15.75"/>
    <row r="2896" s="62" customFormat="1" ht="15.75"/>
    <row r="2897" s="62" customFormat="1" ht="15.75"/>
    <row r="2898" s="62" customFormat="1" ht="15.75"/>
    <row r="2899" s="62" customFormat="1" ht="15.75"/>
    <row r="2900" s="62" customFormat="1" ht="15.75"/>
    <row r="2901" s="62" customFormat="1" ht="15.75"/>
    <row r="2902" s="62" customFormat="1" ht="15.75"/>
    <row r="2903" s="62" customFormat="1" ht="15.75"/>
    <row r="2904" s="62" customFormat="1" ht="15.75"/>
    <row r="2905" s="62" customFormat="1" ht="15.75"/>
    <row r="2906" s="62" customFormat="1" ht="15.75"/>
    <row r="2907" s="62" customFormat="1" ht="15.75"/>
    <row r="2908" s="62" customFormat="1" ht="15.75"/>
    <row r="2909" s="62" customFormat="1" ht="15.75"/>
    <row r="2910" s="62" customFormat="1" ht="15.75"/>
    <row r="2911" s="62" customFormat="1" ht="15.75"/>
    <row r="2912" s="62" customFormat="1" ht="15.75"/>
    <row r="2913" s="62" customFormat="1" ht="15.75"/>
    <row r="2914" s="62" customFormat="1" ht="15.75"/>
    <row r="2915" s="62" customFormat="1" ht="15.75"/>
    <row r="2916" s="62" customFormat="1" ht="15.75"/>
    <row r="2917" s="62" customFormat="1" ht="15.75"/>
    <row r="2918" s="62" customFormat="1" ht="15.75"/>
    <row r="2919" s="62" customFormat="1" ht="15.75"/>
    <row r="2920" s="62" customFormat="1" ht="15.75"/>
    <row r="2921" s="62" customFormat="1" ht="15.75"/>
    <row r="2922" s="62" customFormat="1" ht="15.75"/>
    <row r="2923" s="62" customFormat="1" ht="15.75"/>
    <row r="2924" s="62" customFormat="1" ht="15.75"/>
    <row r="2925" s="62" customFormat="1" ht="15.75"/>
    <row r="2926" s="62" customFormat="1" ht="15.75"/>
    <row r="2927" s="62" customFormat="1" ht="15.75"/>
    <row r="2928" s="62" customFormat="1" ht="15.75"/>
    <row r="2929" s="62" customFormat="1" ht="15.75"/>
    <row r="2930" s="62" customFormat="1" ht="15.75"/>
    <row r="2931" s="62" customFormat="1" ht="15.75"/>
    <row r="2932" s="62" customFormat="1" ht="15.75"/>
    <row r="2933" s="62" customFormat="1" ht="15.75"/>
    <row r="2934" s="62" customFormat="1" ht="15.75"/>
    <row r="2935" s="62" customFormat="1" ht="15.75"/>
    <row r="2936" s="62" customFormat="1" ht="15.75"/>
    <row r="2937" s="62" customFormat="1" ht="15.75"/>
    <row r="2938" s="62" customFormat="1" ht="15.75"/>
    <row r="2939" s="62" customFormat="1" ht="15.75"/>
    <row r="2940" s="62" customFormat="1" ht="15.75"/>
    <row r="2941" s="62" customFormat="1" ht="15.75"/>
    <row r="2942" s="62" customFormat="1" ht="15.75"/>
    <row r="2943" s="62" customFormat="1" ht="15.75"/>
    <row r="2944" s="62" customFormat="1" ht="15.75"/>
    <row r="2945" s="62" customFormat="1" ht="15.75"/>
    <row r="2946" s="62" customFormat="1" ht="15.75"/>
    <row r="2947" s="62" customFormat="1" ht="15.75"/>
    <row r="2948" s="62" customFormat="1" ht="15.75"/>
    <row r="2949" s="62" customFormat="1" ht="15.75"/>
    <row r="2950" s="62" customFormat="1" ht="15.75"/>
    <row r="2951" s="62" customFormat="1" ht="15.75"/>
    <row r="2952" s="62" customFormat="1" ht="15.75"/>
    <row r="2953" s="62" customFormat="1" ht="15.75"/>
    <row r="2954" s="62" customFormat="1" ht="15.75"/>
    <row r="2955" s="62" customFormat="1" ht="15.75"/>
    <row r="2956" s="62" customFormat="1" ht="15.75"/>
    <row r="2957" s="62" customFormat="1" ht="15.75"/>
    <row r="2958" s="62" customFormat="1" ht="15.75"/>
    <row r="2959" s="62" customFormat="1" ht="15.75"/>
    <row r="2960" s="62" customFormat="1" ht="15.75"/>
    <row r="2961" s="62" customFormat="1" ht="15.75"/>
    <row r="2962" s="62" customFormat="1" ht="15.75"/>
    <row r="2963" s="62" customFormat="1" ht="15.75"/>
    <row r="2964" s="62" customFormat="1" ht="15.75"/>
    <row r="2965" s="62" customFormat="1" ht="15.75"/>
    <row r="2966" s="62" customFormat="1" ht="15.75"/>
    <row r="2967" s="62" customFormat="1" ht="15.75"/>
    <row r="2968" s="62" customFormat="1" ht="15.75"/>
    <row r="2969" s="62" customFormat="1" ht="15.75"/>
    <row r="2970" s="62" customFormat="1" ht="15.75"/>
    <row r="2971" s="62" customFormat="1" ht="15.75"/>
    <row r="2972" s="62" customFormat="1" ht="15.75"/>
    <row r="2973" s="62" customFormat="1" ht="15.75"/>
    <row r="2974" s="62" customFormat="1" ht="15.75"/>
    <row r="2975" s="62" customFormat="1" ht="15.75"/>
    <row r="2976" s="62" customFormat="1" ht="15.75"/>
    <row r="2977" s="62" customFormat="1" ht="15.75"/>
    <row r="2978" s="62" customFormat="1" ht="15.75"/>
    <row r="2979" s="62" customFormat="1" ht="15.75"/>
    <row r="2980" s="62" customFormat="1" ht="15.75"/>
    <row r="2981" s="62" customFormat="1" ht="15.75"/>
    <row r="2982" s="62" customFormat="1" ht="15.75"/>
    <row r="2983" s="62" customFormat="1" ht="15.75"/>
    <row r="2984" s="62" customFormat="1" ht="15.75"/>
    <row r="2985" s="62" customFormat="1" ht="15.75"/>
    <row r="2986" s="62" customFormat="1" ht="15.75"/>
    <row r="2987" s="62" customFormat="1" ht="15.75"/>
    <row r="2988" s="62" customFormat="1" ht="15.75"/>
    <row r="2989" s="62" customFormat="1" ht="15.75"/>
    <row r="2990" s="62" customFormat="1" ht="15.75"/>
    <row r="2991" s="62" customFormat="1" ht="15.75"/>
    <row r="2992" s="62" customFormat="1" ht="15.75"/>
    <row r="2993" s="62" customFormat="1" ht="15.75"/>
    <row r="2994" s="62" customFormat="1" ht="15.75"/>
    <row r="2995" s="62" customFormat="1" ht="15.75"/>
    <row r="2996" s="62" customFormat="1" ht="15.75"/>
    <row r="2997" s="62" customFormat="1" ht="15.75"/>
    <row r="2998" s="62" customFormat="1" ht="15.75"/>
    <row r="2999" s="62" customFormat="1" ht="15.75"/>
    <row r="3000" s="62" customFormat="1" ht="15.75"/>
    <row r="3001" s="62" customFormat="1" ht="15.75"/>
    <row r="3002" s="62" customFormat="1" ht="15.75"/>
    <row r="3003" s="62" customFormat="1" ht="15.75"/>
    <row r="3004" s="62" customFormat="1" ht="15.75"/>
    <row r="3005" s="62" customFormat="1" ht="15.75"/>
    <row r="3006" s="62" customFormat="1" ht="15.75"/>
    <row r="3007" s="62" customFormat="1" ht="15.75"/>
    <row r="3008" s="62" customFormat="1" ht="15.75"/>
    <row r="3009" s="62" customFormat="1" ht="15.75"/>
    <row r="3010" s="62" customFormat="1" ht="15.75"/>
    <row r="3011" s="62" customFormat="1" ht="15.75"/>
    <row r="3012" s="62" customFormat="1" ht="15.75"/>
    <row r="3013" s="62" customFormat="1" ht="15.75"/>
    <row r="3014" s="62" customFormat="1" ht="15.75"/>
    <row r="3015" s="62" customFormat="1" ht="15.75"/>
  </sheetData>
  <sheetProtection/>
  <mergeCells count="5">
    <mergeCell ref="A32:H32"/>
    <mergeCell ref="A1:H1"/>
    <mergeCell ref="A3:H3"/>
    <mergeCell ref="A4:H4"/>
    <mergeCell ref="A5:H5"/>
  </mergeCells>
  <printOptions horizontalCentered="1"/>
  <pageMargins left="0.75" right="0.75" top="1" bottom="1" header="0.6" footer="0.5"/>
  <pageSetup firstPageNumber="111" useFirstPageNumber="1" horizontalDpi="600" verticalDpi="600" orientation="landscape" r:id="rId1"/>
  <headerFooter alignWithMargins="0">
    <oddHeader>&amp;R&amp;"Arial,Regular"&amp;8SREB-State Data Exchange</oddHeader>
    <oddFooter>&amp;C&amp;"ARIAL,Regular"&amp;10&amp;P</oddFooter>
  </headerFooter>
</worksheet>
</file>

<file path=xl/worksheets/sheet8.xml><?xml version="1.0" encoding="utf-8"?>
<worksheet xmlns="http://schemas.openxmlformats.org/spreadsheetml/2006/main" xmlns:r="http://schemas.openxmlformats.org/officeDocument/2006/relationships">
  <sheetPr>
    <tabColor indexed="16"/>
  </sheetPr>
  <dimension ref="A1:O52"/>
  <sheetViews>
    <sheetView showGridLines="0" showZeros="0" view="pageBreakPreview" zoomScale="75" zoomScaleSheetLayoutView="75" zoomScalePageLayoutView="0" workbookViewId="0" topLeftCell="A1">
      <selection activeCell="S9" sqref="S9"/>
    </sheetView>
  </sheetViews>
  <sheetFormatPr defaultColWidth="8.796875" defaultRowHeight="15"/>
  <cols>
    <col min="1" max="1" width="18.5" style="0" customWidth="1"/>
    <col min="2" max="7" width="8.59765625" style="0" customWidth="1"/>
    <col min="8" max="8" width="8.59765625" style="62" customWidth="1"/>
  </cols>
  <sheetData>
    <row r="1" spans="1:8" ht="18">
      <c r="A1" s="527" t="s">
        <v>920</v>
      </c>
      <c r="B1" s="527"/>
      <c r="C1" s="527"/>
      <c r="D1" s="527"/>
      <c r="E1" s="527"/>
      <c r="F1" s="527"/>
      <c r="G1" s="527"/>
      <c r="H1" s="527"/>
    </row>
    <row r="2" spans="1:8" s="109" customFormat="1" ht="12.75">
      <c r="A2" s="110"/>
      <c r="B2" s="110"/>
      <c r="C2" s="110"/>
      <c r="D2" s="110"/>
      <c r="E2" s="110"/>
      <c r="F2" s="110"/>
      <c r="G2" s="110"/>
      <c r="H2" s="253"/>
    </row>
    <row r="3" spans="1:8" s="109" customFormat="1" ht="15.75">
      <c r="A3" s="528" t="s">
        <v>597</v>
      </c>
      <c r="B3" s="528"/>
      <c r="C3" s="528"/>
      <c r="D3" s="528"/>
      <c r="E3" s="528"/>
      <c r="F3" s="528"/>
      <c r="G3" s="528"/>
      <c r="H3" s="528"/>
    </row>
    <row r="4" spans="1:8" ht="15.75">
      <c r="A4" s="528" t="s">
        <v>302</v>
      </c>
      <c r="B4" s="528"/>
      <c r="C4" s="528"/>
      <c r="D4" s="528"/>
      <c r="E4" s="528"/>
      <c r="F4" s="528"/>
      <c r="G4" s="528"/>
      <c r="H4" s="528"/>
    </row>
    <row r="5" spans="1:8" ht="15.75">
      <c r="A5" s="528" t="s">
        <v>39</v>
      </c>
      <c r="B5" s="528"/>
      <c r="C5" s="528"/>
      <c r="D5" s="528"/>
      <c r="E5" s="528"/>
      <c r="F5" s="528"/>
      <c r="G5" s="528"/>
      <c r="H5" s="528"/>
    </row>
    <row r="6" spans="1:8" s="109" customFormat="1" ht="12.75">
      <c r="A6" s="2"/>
      <c r="B6" s="2"/>
      <c r="C6" s="2"/>
      <c r="D6" s="2"/>
      <c r="H6" s="254"/>
    </row>
    <row r="7" spans="1:8" s="109" customFormat="1" ht="12.75">
      <c r="A7" s="13"/>
      <c r="B7" s="13" t="s">
        <v>599</v>
      </c>
      <c r="C7" s="13"/>
      <c r="D7" s="13"/>
      <c r="E7" s="13"/>
      <c r="F7" s="13"/>
      <c r="G7" s="43"/>
      <c r="H7" s="255"/>
    </row>
    <row r="8" spans="1:8" s="14" customFormat="1" ht="15.75">
      <c r="A8" s="145"/>
      <c r="B8" s="146">
        <v>1</v>
      </c>
      <c r="C8" s="146">
        <v>2</v>
      </c>
      <c r="D8" s="146">
        <v>3</v>
      </c>
      <c r="E8" s="146">
        <v>4</v>
      </c>
      <c r="F8" s="146">
        <v>5</v>
      </c>
      <c r="G8" s="146">
        <v>6</v>
      </c>
      <c r="H8" s="244" t="s">
        <v>519</v>
      </c>
    </row>
    <row r="9" ht="9" customHeight="1">
      <c r="G9" s="70"/>
    </row>
    <row r="10" spans="1:8" ht="12.75" customHeight="1">
      <c r="A10" s="6" t="s">
        <v>981</v>
      </c>
      <c r="B10" s="79">
        <f>+'Summary Medians from SPSS 07-08'!$M$275</f>
        <v>16206</v>
      </c>
      <c r="C10" s="79">
        <f>+'Summary Medians from SPSS 07-08'!$M$276</f>
        <v>16607.5</v>
      </c>
      <c r="D10" s="79">
        <f>+'Summary Medians from SPSS 07-08'!$M$277</f>
        <v>12384</v>
      </c>
      <c r="E10" s="79">
        <f>+'Summary Medians from SPSS 07-08'!$M$278</f>
        <v>12926</v>
      </c>
      <c r="F10" s="79">
        <f>+'Summary Medians from SPSS 07-08'!$M$279</f>
        <v>10575.5</v>
      </c>
      <c r="G10" s="79">
        <f>+'Summary Medians from SPSS 07-08'!$M$280</f>
        <v>12214.5</v>
      </c>
      <c r="H10" s="245">
        <f>+'Summary Medians from SPSS 07-08'!$M$281</f>
        <v>13159</v>
      </c>
    </row>
    <row r="11" spans="1:8" ht="9" customHeight="1">
      <c r="A11" s="6"/>
      <c r="B11" s="45"/>
      <c r="C11" s="45"/>
      <c r="D11" s="45"/>
      <c r="E11" s="45"/>
      <c r="F11" s="45"/>
      <c r="G11" s="47"/>
      <c r="H11" s="252"/>
    </row>
    <row r="12" spans="1:8" ht="12.75" customHeight="1">
      <c r="A12" s="2" t="s">
        <v>600</v>
      </c>
      <c r="B12" s="27">
        <f>+'Summary Medians from SPSS 07-08'!$M$3</f>
        <v>16254</v>
      </c>
      <c r="C12" s="27">
        <f>+'Summary Medians from SPSS 07-08'!$M$4</f>
        <v>13466</v>
      </c>
      <c r="D12" s="27">
        <f>+'Summary Medians from SPSS 07-08'!$M$5</f>
        <v>10025</v>
      </c>
      <c r="E12" s="27">
        <f>+'Summary Medians from SPSS 07-08'!$M$6</f>
        <v>9716</v>
      </c>
      <c r="F12" s="27">
        <f>+'Summary Medians from SPSS 07-08'!$M$7</f>
        <v>9908</v>
      </c>
      <c r="G12" s="27">
        <f>+'Summary Medians from SPSS 07-08'!$M$8</f>
        <v>0</v>
      </c>
      <c r="H12" s="246">
        <f>+'Summary Medians from SPSS 07-08'!$M$9</f>
        <v>10800</v>
      </c>
    </row>
    <row r="13" spans="1:8" ht="12.75" customHeight="1">
      <c r="A13" s="2" t="s">
        <v>601</v>
      </c>
      <c r="B13" s="27">
        <f>+'Summary Medians from SPSS 07-08'!$M$20</f>
        <v>16907</v>
      </c>
      <c r="C13" s="27">
        <f>+'Summary Medians from SPSS 07-08'!$M$21</f>
        <v>0</v>
      </c>
      <c r="D13" s="27">
        <f>+'Summary Medians from SPSS 07-08'!$M$22</f>
        <v>12302</v>
      </c>
      <c r="E13" s="27">
        <f>+'Summary Medians from SPSS 07-08'!$M$23</f>
        <v>9505.5</v>
      </c>
      <c r="F13" s="27">
        <f>+'Summary Medians from SPSS 07-08'!$M$24</f>
        <v>7884</v>
      </c>
      <c r="G13" s="27">
        <f>+'Summary Medians from SPSS 07-08'!$M$25</f>
        <v>8841</v>
      </c>
      <c r="H13" s="246">
        <f>+'Summary Medians from SPSS 07-08'!$M$26</f>
        <v>10139</v>
      </c>
    </row>
    <row r="14" spans="1:8" ht="12.75" customHeight="1">
      <c r="A14" s="2" t="s">
        <v>811</v>
      </c>
      <c r="B14" s="27">
        <f>+'Summary Medians from SPSS 07-08'!$M$37</f>
        <v>19244</v>
      </c>
      <c r="C14" s="27">
        <f>+'Summary Medians from SPSS 07-08'!$M$38</f>
        <v>0</v>
      </c>
      <c r="D14" s="27">
        <f>+'Summary Medians from SPSS 07-08'!$M$39</f>
        <v>0</v>
      </c>
      <c r="E14" s="27">
        <f>+'Summary Medians from SPSS 07-08'!$M$40</f>
        <v>14066</v>
      </c>
      <c r="F14" s="27">
        <f>+'Summary Medians from SPSS 07-08'!$M$41</f>
        <v>0</v>
      </c>
      <c r="G14" s="27">
        <f>+'Summary Medians from SPSS 07-08'!$M$42</f>
        <v>0</v>
      </c>
      <c r="H14" s="246">
        <f>+'Summary Medians from SPSS 07-08'!$M$43</f>
        <v>16655</v>
      </c>
    </row>
    <row r="15" spans="1:8" ht="12.75" customHeight="1">
      <c r="A15" s="6" t="s">
        <v>602</v>
      </c>
      <c r="B15" s="27">
        <f>+'Summary Medians from SPSS 07-08'!$M$54</f>
        <v>22367.2</v>
      </c>
      <c r="C15" s="27">
        <f>+'Summary Medians from SPSS 07-08'!$M$55</f>
        <v>20369.24</v>
      </c>
      <c r="D15" s="27">
        <f>+'Summary Medians from SPSS 07-08'!$M$56</f>
        <v>20582.64</v>
      </c>
      <c r="E15" s="27">
        <f>+'Summary Medians from SPSS 07-08'!$M$57</f>
        <v>0</v>
      </c>
      <c r="F15" s="27">
        <f>+'Summary Medians from SPSS 07-08'!$M$58</f>
        <v>21487.2</v>
      </c>
      <c r="G15" s="27">
        <f>+'Summary Medians from SPSS 07-08'!$M$59</f>
        <v>0</v>
      </c>
      <c r="H15" s="246">
        <f>+'Summary Medians from SPSS 07-08'!$M$60</f>
        <v>21686.64</v>
      </c>
    </row>
    <row r="16" spans="1:8" ht="9" customHeight="1">
      <c r="A16" s="6"/>
      <c r="B16" s="27"/>
      <c r="C16" s="27"/>
      <c r="D16" s="27"/>
      <c r="E16" s="27"/>
      <c r="F16" s="27"/>
      <c r="G16" s="27"/>
      <c r="H16" s="246"/>
    </row>
    <row r="17" spans="1:8" ht="12.75" customHeight="1">
      <c r="A17" s="6" t="s">
        <v>603</v>
      </c>
      <c r="B17" s="27">
        <f>+'Summary Medians from SPSS 07-08'!$M$71</f>
        <v>21797</v>
      </c>
      <c r="C17" s="27">
        <f>+'Summary Medians from SPSS 07-08'!$M$72</f>
        <v>23334</v>
      </c>
      <c r="D17" s="27">
        <f>+'Summary Medians from SPSS 07-08'!$M$73</f>
        <v>15140</v>
      </c>
      <c r="E17" s="27">
        <f>+'Summary Medians from SPSS 07-08'!$M$74</f>
        <v>14280</v>
      </c>
      <c r="F17" s="27">
        <f>+'Summary Medians from SPSS 07-08'!$M$75</f>
        <v>13582</v>
      </c>
      <c r="G17" s="27">
        <f>+'Summary Medians from SPSS 07-08'!$M$76</f>
        <v>14754</v>
      </c>
      <c r="H17" s="246">
        <f>+'Summary Medians from SPSS 07-08'!$M$77</f>
        <v>14386</v>
      </c>
    </row>
    <row r="18" spans="1:8" ht="12.75" customHeight="1">
      <c r="A18" s="2" t="s">
        <v>604</v>
      </c>
      <c r="B18" s="27">
        <f>+'Summary Medians from SPSS 07-08'!$M$88</f>
        <v>16158</v>
      </c>
      <c r="C18" s="27">
        <f>+'Summary Medians from SPSS 07-08'!$M$89</f>
        <v>18020</v>
      </c>
      <c r="D18" s="27">
        <f>+'Summary Medians from SPSS 07-08'!$M$90</f>
        <v>16838</v>
      </c>
      <c r="E18" s="27">
        <f>+'Summary Medians from SPSS 07-08'!$M$91</f>
        <v>14679</v>
      </c>
      <c r="F18" s="27">
        <f>+'Summary Medians from SPSS 07-08'!$M$92</f>
        <v>12600</v>
      </c>
      <c r="G18" s="27">
        <f>+'Summary Medians from SPSS 07-08'!$M$93</f>
        <v>0</v>
      </c>
      <c r="H18" s="246">
        <f>+'Summary Medians from SPSS 07-08'!$M$94</f>
        <v>15483</v>
      </c>
    </row>
    <row r="19" spans="1:8" ht="12.75" customHeight="1">
      <c r="A19" s="2" t="s">
        <v>605</v>
      </c>
      <c r="B19" s="27">
        <f>+'Summary Medians from SPSS 07-08'!$M$105</f>
        <v>12922</v>
      </c>
      <c r="C19" s="27">
        <f>+'Summary Medians from SPSS 07-08'!$M$106</f>
        <v>9628</v>
      </c>
      <c r="D19" s="27">
        <f>+'Summary Medians from SPSS 07-08'!$M$107</f>
        <v>8850</v>
      </c>
      <c r="E19" s="27">
        <f>+'Summary Medians from SPSS 07-08'!$M$108</f>
        <v>9437</v>
      </c>
      <c r="F19" s="27">
        <f>+'Summary Medians from SPSS 07-08'!$M$109</f>
        <v>6707</v>
      </c>
      <c r="G19" s="27">
        <f>+'Summary Medians from SPSS 07-08'!$M$110</f>
        <v>0</v>
      </c>
      <c r="H19" s="246">
        <f>+'Summary Medians from SPSS 07-08'!$M$111</f>
        <v>9437</v>
      </c>
    </row>
    <row r="20" spans="1:8" ht="12.75" customHeight="1">
      <c r="A20" s="6" t="s">
        <v>606</v>
      </c>
      <c r="B20" s="27">
        <f>+'Summary Medians from SPSS 07-08'!$M$122</f>
        <v>23184</v>
      </c>
      <c r="C20" s="27">
        <f>+'Summary Medians from SPSS 07-08'!$M$123</f>
        <v>18648</v>
      </c>
      <c r="D20" s="27">
        <f>+'Summary Medians from SPSS 07-08'!$M$124</f>
        <v>16344</v>
      </c>
      <c r="E20" s="27">
        <f>+'Summary Medians from SPSS 07-08'!$M$125</f>
        <v>14232</v>
      </c>
      <c r="F20" s="27">
        <f>+'Summary Medians from SPSS 07-08'!$M$126</f>
        <v>0</v>
      </c>
      <c r="G20" s="27">
        <f>+'Summary Medians from SPSS 07-08'!$M$127</f>
        <v>0</v>
      </c>
      <c r="H20" s="246">
        <f>+'Summary Medians from SPSS 07-08'!$M$128</f>
        <v>15257</v>
      </c>
    </row>
    <row r="21" spans="1:8" ht="9" customHeight="1">
      <c r="A21" s="6"/>
      <c r="B21" s="27"/>
      <c r="C21" s="27"/>
      <c r="D21" s="27"/>
      <c r="E21" s="27"/>
      <c r="F21" s="27"/>
      <c r="G21" s="27"/>
      <c r="H21" s="246"/>
    </row>
    <row r="22" spans="1:8" ht="12.75" customHeight="1">
      <c r="A22" s="2" t="s">
        <v>607</v>
      </c>
      <c r="B22" s="27">
        <f>+'Summary Medians from SPSS 07-08'!$M$139</f>
        <v>11581</v>
      </c>
      <c r="C22" s="27">
        <f>+'Summary Medians from SPSS 07-08'!$M$140</f>
        <v>10755</v>
      </c>
      <c r="D22" s="27">
        <f>+'Summary Medians from SPSS 07-08'!$M$141</f>
        <v>0</v>
      </c>
      <c r="E22" s="27">
        <f>+'Summary Medians from SPSS 07-08'!$M$142</f>
        <v>10034.5</v>
      </c>
      <c r="F22" s="27">
        <f>+'Summary Medians from SPSS 07-08'!$M$143</f>
        <v>10575.5</v>
      </c>
      <c r="G22" s="27">
        <f>+'Summary Medians from SPSS 07-08'!$M$144</f>
        <v>0</v>
      </c>
      <c r="H22" s="246">
        <f>+'Summary Medians from SPSS 07-08'!$M$145</f>
        <v>10575.5</v>
      </c>
    </row>
    <row r="23" spans="1:8" ht="12.75" customHeight="1">
      <c r="A23" s="2" t="s">
        <v>608</v>
      </c>
      <c r="B23" s="27">
        <f>+'Summary Medians from SPSS 07-08'!$M$156</f>
        <v>18959</v>
      </c>
      <c r="C23" s="27">
        <f>+'Summary Medians from SPSS 07-08'!$M$157</f>
        <v>15108.5</v>
      </c>
      <c r="D23" s="27">
        <f>+'Summary Medians from SPSS 07-08'!$M$158</f>
        <v>14079</v>
      </c>
      <c r="E23" s="27">
        <f>+'Summary Medians from SPSS 07-08'!$M$159</f>
        <v>12926</v>
      </c>
      <c r="F23" s="27">
        <f>+'Summary Medians from SPSS 07-08'!$M$160</f>
        <v>12374.5</v>
      </c>
      <c r="G23" s="27">
        <f>+'Summary Medians from SPSS 07-08'!$M$161</f>
        <v>13656.5</v>
      </c>
      <c r="H23" s="246">
        <f>+'Summary Medians from SPSS 07-08'!$M$162</f>
        <v>14226</v>
      </c>
    </row>
    <row r="24" spans="1:8" ht="12.75" customHeight="1">
      <c r="A24" s="2" t="s">
        <v>609</v>
      </c>
      <c r="B24" s="27">
        <f>+'Summary Medians from SPSS 07-08'!$M$173</f>
        <v>14556.24</v>
      </c>
      <c r="C24" s="27">
        <f>+'Summary Medians from SPSS 07-08'!$M$174</f>
        <v>0</v>
      </c>
      <c r="D24" s="27">
        <f>+'Summary Medians from SPSS 07-08'!$M$175</f>
        <v>10322.1</v>
      </c>
      <c r="E24" s="27">
        <f>+'Summary Medians from SPSS 07-08'!$M$176</f>
        <v>0</v>
      </c>
      <c r="F24" s="27">
        <f>+'Summary Medians from SPSS 07-08'!$M$177</f>
        <v>8850</v>
      </c>
      <c r="G24" s="27">
        <f>+'Summary Medians from SPSS 07-08'!$M$178</f>
        <v>0</v>
      </c>
      <c r="H24" s="246">
        <f>+'Summary Medians from SPSS 07-08'!$M$179</f>
        <v>9231.12</v>
      </c>
    </row>
    <row r="25" spans="1:8" ht="12.75" customHeight="1">
      <c r="A25" s="2" t="s">
        <v>610</v>
      </c>
      <c r="B25" s="27">
        <f>+'Summary Medians from SPSS 07-08'!$M$190</f>
        <v>16577</v>
      </c>
      <c r="C25" s="27">
        <f>+'Summary Medians from SPSS 07-08'!$M$191</f>
        <v>0</v>
      </c>
      <c r="D25" s="27">
        <f>+'Summary Medians from SPSS 07-08'!$M$192</f>
        <v>18506</v>
      </c>
      <c r="E25" s="27">
        <f>+'Summary Medians from SPSS 07-08'!$M$193</f>
        <v>12159</v>
      </c>
      <c r="F25" s="27">
        <f>+'Summary Medians from SPSS 07-08'!$M$194</f>
        <v>14301.5</v>
      </c>
      <c r="G25" s="27">
        <f>+'Summary Medians from SPSS 07-08'!$M$195</f>
        <v>19580</v>
      </c>
      <c r="H25" s="246">
        <f>+'Summary Medians from SPSS 07-08'!$M$196</f>
        <v>16128</v>
      </c>
    </row>
    <row r="26" spans="1:8" ht="9" customHeight="1">
      <c r="A26" s="2"/>
      <c r="H26" s="247"/>
    </row>
    <row r="27" spans="1:8" ht="12.75" customHeight="1">
      <c r="A27" s="2" t="s">
        <v>611</v>
      </c>
      <c r="B27" s="27">
        <f>+'Summary Medians from SPSS 07-08'!$M$207</f>
        <v>18962</v>
      </c>
      <c r="C27" s="27">
        <f>+'Summary Medians from SPSS 07-08'!$M$208</f>
        <v>17818</v>
      </c>
      <c r="D27" s="27">
        <f>+'Summary Medians from SPSS 07-08'!$M$209</f>
        <v>16535.5</v>
      </c>
      <c r="E27" s="27">
        <f>+'Summary Medians from SPSS 07-08'!$M$210</f>
        <v>16773</v>
      </c>
      <c r="F27" s="27">
        <f>+'Summary Medians from SPSS 07-08'!$M$211</f>
        <v>15843</v>
      </c>
      <c r="G27" s="27">
        <f>+'Summary Medians from SPSS 07-08'!$M$212</f>
        <v>0</v>
      </c>
      <c r="H27" s="246">
        <f>+'Summary Medians from SPSS 07-08'!$M$213</f>
        <v>16644</v>
      </c>
    </row>
    <row r="28" spans="1:8" ht="12.75" customHeight="1">
      <c r="A28" s="6" t="s">
        <v>612</v>
      </c>
      <c r="B28" s="27">
        <f>+'Summary Medians from SPSS 07-08'!$M$224</f>
        <v>13239</v>
      </c>
      <c r="C28" s="27">
        <f>+'Summary Medians from SPSS 07-08'!$M$225</f>
        <v>11754</v>
      </c>
      <c r="D28" s="27">
        <f>+'Summary Medians from SPSS 07-08'!$M$226</f>
        <v>9866</v>
      </c>
      <c r="E28" s="27">
        <f>+'Summary Medians from SPSS 07-08'!$M$227</f>
        <v>8930.5</v>
      </c>
      <c r="F28" s="27">
        <f>+'Summary Medians from SPSS 07-08'!$M$228</f>
        <v>8984</v>
      </c>
      <c r="G28" s="27">
        <f>+'Summary Medians from SPSS 07-08'!$M$229</f>
        <v>12423</v>
      </c>
      <c r="H28" s="246">
        <f>+'Summary Medians from SPSS 07-08'!$M$230</f>
        <v>9872</v>
      </c>
    </row>
    <row r="29" spans="1:8" ht="12.75" customHeight="1">
      <c r="A29" s="2" t="s">
        <v>613</v>
      </c>
      <c r="B29" s="27">
        <f>+'Summary Medians from SPSS 07-08'!$M$241</f>
        <v>18295.5</v>
      </c>
      <c r="C29" s="27">
        <f>+'Summary Medians from SPSS 07-08'!$M$242</f>
        <v>19379</v>
      </c>
      <c r="D29" s="27">
        <f>+'Summary Medians from SPSS 07-08'!$M$243</f>
        <v>15785</v>
      </c>
      <c r="E29" s="27">
        <f>+'Summary Medians from SPSS 07-08'!$M$244</f>
        <v>18002.5</v>
      </c>
      <c r="F29" s="27">
        <f>+'Summary Medians from SPSS 07-08'!$M$245</f>
        <v>13290.5</v>
      </c>
      <c r="G29" s="27">
        <f>+'Summary Medians from SPSS 07-08'!$M$246</f>
        <v>0</v>
      </c>
      <c r="H29" s="246">
        <f>+'Summary Medians from SPSS 07-08'!$M$247</f>
        <v>18115</v>
      </c>
    </row>
    <row r="30" spans="1:8" ht="12.75" customHeight="1">
      <c r="A30" s="9" t="s">
        <v>614</v>
      </c>
      <c r="B30" s="32">
        <f>+'Summary Medians from SPSS 07-08'!$M$258</f>
        <v>15064</v>
      </c>
      <c r="C30" s="32">
        <f>+'Summary Medians from SPSS 07-08'!$M$259</f>
        <v>0</v>
      </c>
      <c r="D30" s="32">
        <f>+'Summary Medians from SPSS 07-08'!$M$260</f>
        <v>12548</v>
      </c>
      <c r="E30" s="32">
        <f>+'Summary Medians from SPSS 07-08'!$M$261</f>
        <v>0</v>
      </c>
      <c r="F30" s="32">
        <f>+'Summary Medians from SPSS 07-08'!$M$262</f>
        <v>0</v>
      </c>
      <c r="G30" s="32">
        <f>+'Summary Medians from SPSS 07-08'!$M$263</f>
        <v>10710</v>
      </c>
      <c r="H30" s="248">
        <f>+'Summary Medians from SPSS 07-08'!$M$264</f>
        <v>10982</v>
      </c>
    </row>
    <row r="31" ht="9" customHeight="1"/>
    <row r="32" spans="1:8" ht="33" customHeight="1">
      <c r="A32" s="526" t="s">
        <v>261</v>
      </c>
      <c r="B32" s="526"/>
      <c r="C32" s="526"/>
      <c r="D32" s="526"/>
      <c r="E32" s="526"/>
      <c r="F32" s="526"/>
      <c r="G32" s="526"/>
      <c r="H32" s="530"/>
    </row>
    <row r="33" ht="15.75">
      <c r="H33" s="475" t="s">
        <v>37</v>
      </c>
    </row>
    <row r="35" ht="15.75">
      <c r="I35" t="s">
        <v>951</v>
      </c>
    </row>
    <row r="36" spans="9:15" ht="15.75">
      <c r="I36">
        <v>3</v>
      </c>
      <c r="J36">
        <f aca="true" t="shared" si="0" ref="J36:O51">I36+1</f>
        <v>4</v>
      </c>
      <c r="K36">
        <f t="shared" si="0"/>
        <v>5</v>
      </c>
      <c r="L36">
        <f t="shared" si="0"/>
        <v>6</v>
      </c>
      <c r="M36">
        <f t="shared" si="0"/>
        <v>7</v>
      </c>
      <c r="N36">
        <f t="shared" si="0"/>
        <v>8</v>
      </c>
      <c r="O36">
        <f t="shared" si="0"/>
        <v>9</v>
      </c>
    </row>
    <row r="37" spans="9:15" ht="15.75">
      <c r="I37">
        <f>I36+17</f>
        <v>20</v>
      </c>
      <c r="J37">
        <f t="shared" si="0"/>
        <v>21</v>
      </c>
      <c r="K37">
        <f t="shared" si="0"/>
        <v>22</v>
      </c>
      <c r="L37">
        <f t="shared" si="0"/>
        <v>23</v>
      </c>
      <c r="M37">
        <f t="shared" si="0"/>
        <v>24</v>
      </c>
      <c r="N37">
        <f t="shared" si="0"/>
        <v>25</v>
      </c>
      <c r="O37">
        <f t="shared" si="0"/>
        <v>26</v>
      </c>
    </row>
    <row r="38" spans="9:15" ht="15.75">
      <c r="I38">
        <f aca="true" t="shared" si="1" ref="I38:I52">I37+17</f>
        <v>37</v>
      </c>
      <c r="J38">
        <f t="shared" si="0"/>
        <v>38</v>
      </c>
      <c r="K38">
        <f t="shared" si="0"/>
        <v>39</v>
      </c>
      <c r="L38">
        <f t="shared" si="0"/>
        <v>40</v>
      </c>
      <c r="M38">
        <f t="shared" si="0"/>
        <v>41</v>
      </c>
      <c r="N38">
        <f t="shared" si="0"/>
        <v>42</v>
      </c>
      <c r="O38">
        <f t="shared" si="0"/>
        <v>43</v>
      </c>
    </row>
    <row r="39" spans="9:15" ht="15.75">
      <c r="I39">
        <f t="shared" si="1"/>
        <v>54</v>
      </c>
      <c r="J39">
        <f t="shared" si="0"/>
        <v>55</v>
      </c>
      <c r="K39">
        <f t="shared" si="0"/>
        <v>56</v>
      </c>
      <c r="L39">
        <f t="shared" si="0"/>
        <v>57</v>
      </c>
      <c r="M39">
        <f t="shared" si="0"/>
        <v>58</v>
      </c>
      <c r="N39">
        <f t="shared" si="0"/>
        <v>59</v>
      </c>
      <c r="O39">
        <f t="shared" si="0"/>
        <v>60</v>
      </c>
    </row>
    <row r="40" spans="9:15" ht="15.75">
      <c r="I40">
        <f t="shared" si="1"/>
        <v>71</v>
      </c>
      <c r="J40">
        <f t="shared" si="0"/>
        <v>72</v>
      </c>
      <c r="K40">
        <f t="shared" si="0"/>
        <v>73</v>
      </c>
      <c r="L40">
        <f t="shared" si="0"/>
        <v>74</v>
      </c>
      <c r="M40">
        <f t="shared" si="0"/>
        <v>75</v>
      </c>
      <c r="N40">
        <f t="shared" si="0"/>
        <v>76</v>
      </c>
      <c r="O40">
        <f t="shared" si="0"/>
        <v>77</v>
      </c>
    </row>
    <row r="41" spans="9:15" ht="15.75">
      <c r="I41">
        <f t="shared" si="1"/>
        <v>88</v>
      </c>
      <c r="J41">
        <f t="shared" si="0"/>
        <v>89</v>
      </c>
      <c r="K41">
        <f t="shared" si="0"/>
        <v>90</v>
      </c>
      <c r="L41">
        <f t="shared" si="0"/>
        <v>91</v>
      </c>
      <c r="M41">
        <f t="shared" si="0"/>
        <v>92</v>
      </c>
      <c r="N41">
        <f t="shared" si="0"/>
        <v>93</v>
      </c>
      <c r="O41">
        <f t="shared" si="0"/>
        <v>94</v>
      </c>
    </row>
    <row r="42" spans="9:15" ht="15.75">
      <c r="I42">
        <f t="shared" si="1"/>
        <v>105</v>
      </c>
      <c r="J42">
        <f t="shared" si="0"/>
        <v>106</v>
      </c>
      <c r="K42">
        <f t="shared" si="0"/>
        <v>107</v>
      </c>
      <c r="L42">
        <f t="shared" si="0"/>
        <v>108</v>
      </c>
      <c r="M42">
        <f t="shared" si="0"/>
        <v>109</v>
      </c>
      <c r="N42">
        <f t="shared" si="0"/>
        <v>110</v>
      </c>
      <c r="O42">
        <f t="shared" si="0"/>
        <v>111</v>
      </c>
    </row>
    <row r="43" spans="9:15" ht="15.75">
      <c r="I43">
        <f t="shared" si="1"/>
        <v>122</v>
      </c>
      <c r="J43">
        <f t="shared" si="0"/>
        <v>123</v>
      </c>
      <c r="K43">
        <f t="shared" si="0"/>
        <v>124</v>
      </c>
      <c r="L43">
        <f t="shared" si="0"/>
        <v>125</v>
      </c>
      <c r="M43">
        <f t="shared" si="0"/>
        <v>126</v>
      </c>
      <c r="N43">
        <f t="shared" si="0"/>
        <v>127</v>
      </c>
      <c r="O43">
        <f t="shared" si="0"/>
        <v>128</v>
      </c>
    </row>
    <row r="44" spans="9:15" ht="15.75">
      <c r="I44">
        <f t="shared" si="1"/>
        <v>139</v>
      </c>
      <c r="J44">
        <f t="shared" si="0"/>
        <v>140</v>
      </c>
      <c r="K44">
        <f t="shared" si="0"/>
        <v>141</v>
      </c>
      <c r="L44">
        <f t="shared" si="0"/>
        <v>142</v>
      </c>
      <c r="M44">
        <f t="shared" si="0"/>
        <v>143</v>
      </c>
      <c r="N44">
        <f t="shared" si="0"/>
        <v>144</v>
      </c>
      <c r="O44">
        <f t="shared" si="0"/>
        <v>145</v>
      </c>
    </row>
    <row r="45" spans="9:15" ht="15.75">
      <c r="I45">
        <f t="shared" si="1"/>
        <v>156</v>
      </c>
      <c r="J45">
        <f t="shared" si="0"/>
        <v>157</v>
      </c>
      <c r="K45">
        <f t="shared" si="0"/>
        <v>158</v>
      </c>
      <c r="L45">
        <f t="shared" si="0"/>
        <v>159</v>
      </c>
      <c r="M45">
        <f t="shared" si="0"/>
        <v>160</v>
      </c>
      <c r="N45">
        <f t="shared" si="0"/>
        <v>161</v>
      </c>
      <c r="O45">
        <f t="shared" si="0"/>
        <v>162</v>
      </c>
    </row>
    <row r="46" spans="9:15" ht="15.75">
      <c r="I46">
        <f t="shared" si="1"/>
        <v>173</v>
      </c>
      <c r="J46">
        <f t="shared" si="0"/>
        <v>174</v>
      </c>
      <c r="K46">
        <f t="shared" si="0"/>
        <v>175</v>
      </c>
      <c r="L46">
        <f t="shared" si="0"/>
        <v>176</v>
      </c>
      <c r="M46">
        <f t="shared" si="0"/>
        <v>177</v>
      </c>
      <c r="N46">
        <f t="shared" si="0"/>
        <v>178</v>
      </c>
      <c r="O46">
        <f t="shared" si="0"/>
        <v>179</v>
      </c>
    </row>
    <row r="47" spans="9:15" ht="15.75">
      <c r="I47">
        <f t="shared" si="1"/>
        <v>190</v>
      </c>
      <c r="J47">
        <f t="shared" si="0"/>
        <v>191</v>
      </c>
      <c r="K47">
        <f t="shared" si="0"/>
        <v>192</v>
      </c>
      <c r="L47">
        <f t="shared" si="0"/>
        <v>193</v>
      </c>
      <c r="M47">
        <f t="shared" si="0"/>
        <v>194</v>
      </c>
      <c r="N47">
        <f t="shared" si="0"/>
        <v>195</v>
      </c>
      <c r="O47">
        <f t="shared" si="0"/>
        <v>196</v>
      </c>
    </row>
    <row r="48" spans="9:15" ht="15.75">
      <c r="I48">
        <f t="shared" si="1"/>
        <v>207</v>
      </c>
      <c r="J48">
        <f t="shared" si="0"/>
        <v>208</v>
      </c>
      <c r="K48">
        <f t="shared" si="0"/>
        <v>209</v>
      </c>
      <c r="L48">
        <f t="shared" si="0"/>
        <v>210</v>
      </c>
      <c r="M48">
        <f t="shared" si="0"/>
        <v>211</v>
      </c>
      <c r="N48">
        <f t="shared" si="0"/>
        <v>212</v>
      </c>
      <c r="O48">
        <f t="shared" si="0"/>
        <v>213</v>
      </c>
    </row>
    <row r="49" spans="9:15" ht="15.75">
      <c r="I49">
        <f t="shared" si="1"/>
        <v>224</v>
      </c>
      <c r="J49">
        <f t="shared" si="0"/>
        <v>225</v>
      </c>
      <c r="K49">
        <f t="shared" si="0"/>
        <v>226</v>
      </c>
      <c r="L49">
        <f t="shared" si="0"/>
        <v>227</v>
      </c>
      <c r="M49">
        <f t="shared" si="0"/>
        <v>228</v>
      </c>
      <c r="N49">
        <f t="shared" si="0"/>
        <v>229</v>
      </c>
      <c r="O49">
        <f t="shared" si="0"/>
        <v>230</v>
      </c>
    </row>
    <row r="50" spans="9:15" ht="15.75">
      <c r="I50">
        <f t="shared" si="1"/>
        <v>241</v>
      </c>
      <c r="J50">
        <f t="shared" si="0"/>
        <v>242</v>
      </c>
      <c r="K50">
        <f t="shared" si="0"/>
        <v>243</v>
      </c>
      <c r="L50">
        <f t="shared" si="0"/>
        <v>244</v>
      </c>
      <c r="M50">
        <f t="shared" si="0"/>
        <v>245</v>
      </c>
      <c r="N50">
        <f t="shared" si="0"/>
        <v>246</v>
      </c>
      <c r="O50">
        <f t="shared" si="0"/>
        <v>247</v>
      </c>
    </row>
    <row r="51" spans="9:15" ht="15.75">
      <c r="I51">
        <f t="shared" si="1"/>
        <v>258</v>
      </c>
      <c r="J51">
        <f t="shared" si="0"/>
        <v>259</v>
      </c>
      <c r="K51">
        <f t="shared" si="0"/>
        <v>260</v>
      </c>
      <c r="L51">
        <f t="shared" si="0"/>
        <v>261</v>
      </c>
      <c r="M51">
        <f t="shared" si="0"/>
        <v>262</v>
      </c>
      <c r="N51">
        <f t="shared" si="0"/>
        <v>263</v>
      </c>
      <c r="O51">
        <f t="shared" si="0"/>
        <v>264</v>
      </c>
    </row>
    <row r="52" spans="9:15" ht="15.75">
      <c r="I52">
        <f t="shared" si="1"/>
        <v>275</v>
      </c>
      <c r="J52">
        <f aca="true" t="shared" si="2" ref="J52:O52">I52+1</f>
        <v>276</v>
      </c>
      <c r="K52">
        <f t="shared" si="2"/>
        <v>277</v>
      </c>
      <c r="L52">
        <f t="shared" si="2"/>
        <v>278</v>
      </c>
      <c r="M52">
        <f t="shared" si="2"/>
        <v>279</v>
      </c>
      <c r="N52">
        <f t="shared" si="2"/>
        <v>280</v>
      </c>
      <c r="O52">
        <f t="shared" si="2"/>
        <v>281</v>
      </c>
    </row>
  </sheetData>
  <sheetProtection/>
  <mergeCells count="5">
    <mergeCell ref="A32:H32"/>
    <mergeCell ref="A1:H1"/>
    <mergeCell ref="A3:H3"/>
    <mergeCell ref="A4:H4"/>
    <mergeCell ref="A5:H5"/>
  </mergeCells>
  <printOptions horizontalCentered="1"/>
  <pageMargins left="0.75" right="0.75" top="1" bottom="1" header="0.6" footer="0.5"/>
  <pageSetup firstPageNumber="112" useFirstPageNumber="1" horizontalDpi="600" verticalDpi="600" orientation="landscape" r:id="rId1"/>
  <headerFooter alignWithMargins="0">
    <oddHeader>&amp;R&amp;"Arial,Regular"&amp;8SREB-State Data Exchange</oddHeader>
    <oddFooter>&amp;C&amp;"ARIAL,Regular"&amp;10&amp;P</oddFooter>
  </headerFooter>
</worksheet>
</file>

<file path=xl/worksheets/sheet9.xml><?xml version="1.0" encoding="utf-8"?>
<worksheet xmlns="http://schemas.openxmlformats.org/spreadsheetml/2006/main" xmlns:r="http://schemas.openxmlformats.org/officeDocument/2006/relationships">
  <sheetPr>
    <tabColor indexed="16"/>
  </sheetPr>
  <dimension ref="A1:I52"/>
  <sheetViews>
    <sheetView showGridLines="0" showZeros="0" view="pageBreakPreview" zoomScale="75" zoomScaleSheetLayoutView="75" zoomScalePageLayoutView="0" workbookViewId="0" topLeftCell="A1">
      <selection activeCell="L26" sqref="L26"/>
    </sheetView>
  </sheetViews>
  <sheetFormatPr defaultColWidth="8.796875" defaultRowHeight="15"/>
  <cols>
    <col min="1" max="1" width="17.8984375" style="0" customWidth="1"/>
    <col min="2" max="6" width="8.59765625" style="0" customWidth="1"/>
    <col min="7" max="7" width="9.19921875" style="0" customWidth="1"/>
    <col min="8" max="8" width="8.59765625" style="62" customWidth="1"/>
    <col min="9" max="9" width="10.59765625" style="0" customWidth="1"/>
  </cols>
  <sheetData>
    <row r="1" spans="1:9" ht="18">
      <c r="A1" s="34" t="s">
        <v>791</v>
      </c>
      <c r="B1" s="34"/>
      <c r="C1" s="34"/>
      <c r="D1" s="34"/>
      <c r="E1" s="34"/>
      <c r="F1" s="34"/>
      <c r="G1" s="34"/>
      <c r="H1" s="233"/>
      <c r="I1" s="20"/>
    </row>
    <row r="2" spans="1:9" s="109" customFormat="1" ht="12.75">
      <c r="A2" s="108"/>
      <c r="B2" s="108"/>
      <c r="C2" s="108"/>
      <c r="D2" s="108"/>
      <c r="E2" s="108"/>
      <c r="F2" s="108"/>
      <c r="G2" s="108"/>
      <c r="H2" s="234"/>
      <c r="I2" s="110"/>
    </row>
    <row r="3" spans="1:9" ht="15.75">
      <c r="A3" s="35" t="s">
        <v>597</v>
      </c>
      <c r="B3" s="35"/>
      <c r="C3" s="35"/>
      <c r="D3" s="35"/>
      <c r="E3" s="35"/>
      <c r="F3" s="35"/>
      <c r="G3" s="35"/>
      <c r="H3" s="235"/>
      <c r="I3" s="21"/>
    </row>
    <row r="4" spans="1:9" ht="15.75">
      <c r="A4" s="35" t="s">
        <v>303</v>
      </c>
      <c r="B4" s="35"/>
      <c r="C4" s="35"/>
      <c r="D4" s="35"/>
      <c r="E4" s="35"/>
      <c r="F4" s="35"/>
      <c r="G4" s="35"/>
      <c r="H4" s="235"/>
      <c r="I4" s="21"/>
    </row>
    <row r="5" spans="1:9" ht="15.75">
      <c r="A5" s="35" t="s">
        <v>39</v>
      </c>
      <c r="B5" s="35"/>
      <c r="C5" s="35"/>
      <c r="D5" s="35"/>
      <c r="E5" s="35"/>
      <c r="F5" s="35"/>
      <c r="G5" s="35"/>
      <c r="H5" s="235"/>
      <c r="I5" s="21"/>
    </row>
    <row r="6" spans="1:9" s="109" customFormat="1" ht="12.75">
      <c r="A6" s="114"/>
      <c r="B6" s="114"/>
      <c r="C6" s="114"/>
      <c r="D6" s="114"/>
      <c r="E6" s="114"/>
      <c r="F6" s="114"/>
      <c r="G6" s="114"/>
      <c r="H6" s="256"/>
      <c r="I6" s="114"/>
    </row>
    <row r="7" spans="1:9" s="14" customFormat="1" ht="15.75">
      <c r="A7" s="143"/>
      <c r="B7" s="63"/>
      <c r="C7" s="63"/>
      <c r="D7" s="63"/>
      <c r="E7" s="63"/>
      <c r="F7" s="63"/>
      <c r="G7" s="63" t="s">
        <v>802</v>
      </c>
      <c r="H7" s="257" t="s">
        <v>803</v>
      </c>
      <c r="I7" s="33"/>
    </row>
    <row r="8" spans="1:8" s="14" customFormat="1" ht="15.75">
      <c r="A8" s="144"/>
      <c r="B8" s="33" t="s">
        <v>804</v>
      </c>
      <c r="C8" s="33" t="s">
        <v>805</v>
      </c>
      <c r="D8" s="33" t="s">
        <v>806</v>
      </c>
      <c r="E8" s="33" t="s">
        <v>807</v>
      </c>
      <c r="F8" s="33" t="s">
        <v>808</v>
      </c>
      <c r="G8" s="33" t="s">
        <v>805</v>
      </c>
      <c r="H8" s="258" t="s">
        <v>805</v>
      </c>
    </row>
    <row r="9" spans="1:9" ht="9" customHeight="1">
      <c r="A9" s="15"/>
      <c r="B9" s="75"/>
      <c r="C9" s="75"/>
      <c r="D9" s="75"/>
      <c r="E9" s="75"/>
      <c r="F9" s="75"/>
      <c r="G9" s="75"/>
      <c r="H9" s="259"/>
      <c r="I9" s="16"/>
    </row>
    <row r="10" spans="1:9" ht="12.75" customHeight="1">
      <c r="A10" s="6" t="s">
        <v>981</v>
      </c>
      <c r="B10" s="79">
        <f>+'Summary Medians from SPSS 07-08'!$P$291</f>
        <v>12058</v>
      </c>
      <c r="C10" s="79">
        <f>+'Summary Medians from SPSS 07-08'!$V$291</f>
        <v>16110</v>
      </c>
      <c r="D10" s="79">
        <f>+'Summary Medians from SPSS 07-08'!$AB$291</f>
        <v>15649</v>
      </c>
      <c r="E10" s="79">
        <f>+'Summary Medians from SPSS 07-08'!$AH$291</f>
        <v>12450</v>
      </c>
      <c r="F10" s="79">
        <f>+'Summary Medians from SPSS 07-08'!$AN$291</f>
        <v>15227</v>
      </c>
      <c r="G10" s="79">
        <f>+'Summary Medians from SPSS 07-08'!$AT$291</f>
        <v>17700</v>
      </c>
      <c r="H10" s="23">
        <f>+'Summary Medians from SPSS 07-08'!$AZ$291</f>
        <v>13048.44</v>
      </c>
      <c r="I10" s="19"/>
    </row>
    <row r="11" spans="1:9" ht="9" customHeight="1">
      <c r="A11" s="17"/>
      <c r="B11" s="45"/>
      <c r="C11" s="45"/>
      <c r="D11" s="45"/>
      <c r="E11" s="45"/>
      <c r="F11" s="45"/>
      <c r="G11" s="45"/>
      <c r="H11" s="238"/>
      <c r="I11" s="11"/>
    </row>
    <row r="12" spans="1:9" ht="12.75" customHeight="1">
      <c r="A12" s="2" t="s">
        <v>600</v>
      </c>
      <c r="B12" s="27">
        <f>+'Summary Medians from SPSS 07-08'!$P$19</f>
        <v>11190</v>
      </c>
      <c r="C12" s="27">
        <f>+'Summary Medians from SPSS 07-08'!$V$19</f>
        <v>15352</v>
      </c>
      <c r="D12" s="27">
        <f>+'Summary Medians from SPSS 07-08'!$AB$19</f>
        <v>13503</v>
      </c>
      <c r="E12" s="27">
        <f>+'Summary Medians from SPSS 07-08'!$AH$19</f>
        <v>13910</v>
      </c>
      <c r="F12" s="27">
        <f>+'Summary Medians from SPSS 07-08'!$AN$19</f>
        <v>15227</v>
      </c>
      <c r="G12" s="27">
        <f>+'Summary Medians from SPSS 07-08'!$AT$19</f>
        <v>0</v>
      </c>
      <c r="H12" s="25">
        <f>+'Summary Medians from SPSS 07-08'!$AZ$19</f>
        <v>10374</v>
      </c>
      <c r="I12" s="7"/>
    </row>
    <row r="13" spans="1:9" ht="12.75" customHeight="1">
      <c r="A13" s="2" t="s">
        <v>601</v>
      </c>
      <c r="B13" s="27">
        <f>+'Summary Medians from SPSS 07-08'!$P$36</f>
        <v>8228</v>
      </c>
      <c r="C13" s="27">
        <f>+'Summary Medians from SPSS 07-08'!$V$36</f>
        <v>16275</v>
      </c>
      <c r="D13" s="27">
        <f>+'Summary Medians from SPSS 07-08'!$AB$36</f>
        <v>0</v>
      </c>
      <c r="E13" s="27">
        <f>+'Summary Medians from SPSS 07-08'!$AH$36</f>
        <v>9298</v>
      </c>
      <c r="F13" s="27">
        <f>+'Summary Medians from SPSS 07-08'!$AN$36</f>
        <v>0</v>
      </c>
      <c r="G13" s="27">
        <f>+'Summary Medians from SPSS 07-08'!$AT$36</f>
        <v>0</v>
      </c>
      <c r="H13" s="25">
        <f>+'Summary Medians from SPSS 07-08'!$AZ$36</f>
        <v>0</v>
      </c>
      <c r="I13" s="7"/>
    </row>
    <row r="14" spans="1:9" ht="12.75" customHeight="1">
      <c r="A14" s="2" t="s">
        <v>811</v>
      </c>
      <c r="B14" s="27">
        <f>+'Summary Medians from SPSS 07-08'!$P$53</f>
        <v>0</v>
      </c>
      <c r="C14" s="27">
        <f>+'Summary Medians from SPSS 07-08'!$V$53</f>
        <v>0</v>
      </c>
      <c r="D14" s="27">
        <f>+'Summary Medians from SPSS 07-08'!$AB$53</f>
        <v>0</v>
      </c>
      <c r="E14" s="27">
        <f>+'Summary Medians from SPSS 07-08'!$AH$53</f>
        <v>0</v>
      </c>
      <c r="F14" s="27">
        <f>+'Summary Medians from SPSS 07-08'!$AN$53</f>
        <v>0</v>
      </c>
      <c r="G14" s="27">
        <f>+'Summary Medians from SPSS 07-08'!$AT$53</f>
        <v>0</v>
      </c>
      <c r="H14" s="25">
        <f>+'Summary Medians from SPSS 07-08'!$AZ$53</f>
        <v>0</v>
      </c>
      <c r="I14" s="7"/>
    </row>
    <row r="15" spans="1:9" ht="12.75" customHeight="1">
      <c r="A15" s="2" t="s">
        <v>602</v>
      </c>
      <c r="B15" s="27">
        <f>+'Summary Medians from SPSS 07-08'!$P$70</f>
        <v>7973.96</v>
      </c>
      <c r="C15" s="27">
        <f>+'Summary Medians from SPSS 07-08'!$V$70</f>
        <v>21192.2</v>
      </c>
      <c r="D15" s="27">
        <f>+'Summary Medians from SPSS 07-08'!$AB$70</f>
        <v>21150.15</v>
      </c>
      <c r="E15" s="25">
        <f>+'Summary Medians from SPSS 07-08'!$AH$70</f>
        <v>8720.72</v>
      </c>
      <c r="F15" s="27">
        <f>+'Summary Medians from SPSS 07-08'!$AN$70</f>
        <v>0</v>
      </c>
      <c r="G15" s="27">
        <f>+'Summary Medians from SPSS 07-08'!$AT$70</f>
        <v>0</v>
      </c>
      <c r="H15" s="25">
        <f>+'Summary Medians from SPSS 07-08'!$AZ$70</f>
        <v>18401.5</v>
      </c>
      <c r="I15" s="7"/>
    </row>
    <row r="16" spans="1:9" ht="9" customHeight="1">
      <c r="A16" s="2"/>
      <c r="B16" s="27"/>
      <c r="C16" s="27"/>
      <c r="D16" s="27"/>
      <c r="E16" s="27"/>
      <c r="F16" s="27"/>
      <c r="G16" s="27"/>
      <c r="H16" s="25"/>
      <c r="I16" s="7"/>
    </row>
    <row r="17" spans="1:9" ht="12.75" customHeight="1">
      <c r="A17" s="2" t="s">
        <v>603</v>
      </c>
      <c r="B17" s="27">
        <f>+'Summary Medians from SPSS 07-08'!$P$87</f>
        <v>10737</v>
      </c>
      <c r="C17" s="27">
        <f>+'Summary Medians from SPSS 07-08'!$V$87</f>
        <v>14238</v>
      </c>
      <c r="D17" s="27">
        <f>+'Summary Medians from SPSS 07-08'!$AB$87</f>
        <v>11646</v>
      </c>
      <c r="E17" s="27">
        <f>+'Summary Medians from SPSS 07-08'!$AH$87</f>
        <v>10330</v>
      </c>
      <c r="F17" s="27">
        <f>+'Summary Medians from SPSS 07-08'!$AN$87</f>
        <v>0</v>
      </c>
      <c r="G17" s="27">
        <f>+'Summary Medians from SPSS 07-08'!$AT$87</f>
        <v>0</v>
      </c>
      <c r="H17" s="25">
        <f>+'Summary Medians from SPSS 07-08'!$AZ$87</f>
        <v>13222</v>
      </c>
      <c r="I17" s="7"/>
    </row>
    <row r="18" spans="1:9" ht="12.75" customHeight="1">
      <c r="A18" s="2" t="s">
        <v>604</v>
      </c>
      <c r="B18" s="27">
        <f>+'Summary Medians from SPSS 07-08'!$P$104</f>
        <v>12540</v>
      </c>
      <c r="C18" s="27">
        <f>+'Summary Medians from SPSS 07-08'!$V$104</f>
        <v>23078</v>
      </c>
      <c r="D18" s="27">
        <f>+'Summary Medians from SPSS 07-08'!$AB$104</f>
        <v>20027</v>
      </c>
      <c r="E18" s="27">
        <f>+'Summary Medians from SPSS 07-08'!$AH$104</f>
        <v>17776</v>
      </c>
      <c r="F18" s="27">
        <f>+'Summary Medians from SPSS 07-08'!$AN$104</f>
        <v>0</v>
      </c>
      <c r="G18" s="27">
        <f>+'Summary Medians from SPSS 07-08'!$AT$104</f>
        <v>0</v>
      </c>
      <c r="H18" s="25">
        <f>+'Summary Medians from SPSS 07-08'!$AZ$104</f>
        <v>0</v>
      </c>
      <c r="I18" s="7"/>
    </row>
    <row r="19" spans="1:9" ht="12.75" customHeight="1">
      <c r="A19" s="2" t="s">
        <v>605</v>
      </c>
      <c r="B19" s="27">
        <f>+'Summary Medians from SPSS 07-08'!$P$121</f>
        <v>9380.5</v>
      </c>
      <c r="C19" s="27">
        <f>+'Summary Medians from SPSS 07-08'!$V$121</f>
        <v>11591</v>
      </c>
      <c r="D19" s="27">
        <f>+'Summary Medians from SPSS 07-08'!$AB$121</f>
        <v>10886</v>
      </c>
      <c r="E19" s="27">
        <f>+'Summary Medians from SPSS 07-08'!$AH$121</f>
        <v>11899</v>
      </c>
      <c r="F19" s="27">
        <f>+'Summary Medians from SPSS 07-08'!$AN$121</f>
        <v>0</v>
      </c>
      <c r="G19" s="27">
        <f>+'Summary Medians from SPSS 07-08'!$AT$121</f>
        <v>0</v>
      </c>
      <c r="H19" s="25">
        <f>+'Summary Medians from SPSS 07-08'!$AZ$121</f>
        <v>11867</v>
      </c>
      <c r="I19" s="7"/>
    </row>
    <row r="20" spans="1:9" ht="12.75" customHeight="1">
      <c r="A20" s="2" t="s">
        <v>606</v>
      </c>
      <c r="B20" s="27">
        <f>+'Summary Medians from SPSS 07-08'!$P$138</f>
        <v>20566</v>
      </c>
      <c r="C20" s="27">
        <f>+'Summary Medians from SPSS 07-08'!$V$138</f>
        <v>21722</v>
      </c>
      <c r="D20" s="27">
        <f>+'Summary Medians from SPSS 07-08'!$AB$138</f>
        <v>19331</v>
      </c>
      <c r="E20" s="27">
        <f>+'Summary Medians from SPSS 07-08'!$AH$138</f>
        <v>14443</v>
      </c>
      <c r="F20" s="27">
        <f>+'Summary Medians from SPSS 07-08'!$AN$138</f>
        <v>0</v>
      </c>
      <c r="G20" s="27">
        <f>+'Summary Medians from SPSS 07-08'!$AT$138</f>
        <v>0</v>
      </c>
      <c r="H20" s="25">
        <f>+'Summary Medians from SPSS 07-08'!$AZ$138</f>
        <v>0</v>
      </c>
      <c r="I20" s="7"/>
    </row>
    <row r="21" spans="1:9" ht="9" customHeight="1">
      <c r="A21" s="2"/>
      <c r="B21" s="27"/>
      <c r="C21" s="27"/>
      <c r="D21" s="27"/>
      <c r="E21" s="27"/>
      <c r="F21" s="27"/>
      <c r="G21" s="27"/>
      <c r="H21" s="25"/>
      <c r="I21" s="7"/>
    </row>
    <row r="22" spans="1:9" ht="12.75" customHeight="1">
      <c r="A22" s="2" t="s">
        <v>607</v>
      </c>
      <c r="B22" s="27">
        <f>+'Summary Medians from SPSS 07-08'!$P$155</f>
        <v>8930</v>
      </c>
      <c r="C22" s="27">
        <f>+'Summary Medians from SPSS 07-08'!$V$155</f>
        <v>9649</v>
      </c>
      <c r="D22" s="27">
        <f>+'Summary Medians from SPSS 07-08'!$AB$155</f>
        <v>9030</v>
      </c>
      <c r="E22" s="27">
        <f>+'Summary Medians from SPSS 07-08'!$AH$155</f>
        <v>8548</v>
      </c>
      <c r="F22" s="27">
        <f>+'Summary Medians from SPSS 07-08'!$AN$155</f>
        <v>0</v>
      </c>
      <c r="G22" s="27">
        <f>+'Summary Medians from SPSS 07-08'!$AT$155</f>
        <v>0</v>
      </c>
      <c r="H22" s="25">
        <f>+'Summary Medians from SPSS 07-08'!$AZ$155</f>
        <v>12968</v>
      </c>
      <c r="I22" s="7"/>
    </row>
    <row r="23" spans="1:9" ht="12.75" customHeight="1">
      <c r="A23" s="2" t="s">
        <v>608</v>
      </c>
      <c r="B23" s="27">
        <f>+'Summary Medians from SPSS 07-08'!$P$172</f>
        <v>9068.5</v>
      </c>
      <c r="C23" s="27">
        <f>+'Summary Medians from SPSS 07-08'!$V$172</f>
        <v>10492.5</v>
      </c>
      <c r="D23" s="27">
        <f>+'Summary Medians from SPSS 07-08'!$AB$172</f>
        <v>14517</v>
      </c>
      <c r="E23" s="27">
        <f>+'Summary Medians from SPSS 07-08'!$AH$172</f>
        <v>13006</v>
      </c>
      <c r="F23" s="27">
        <f>+'Summary Medians from SPSS 07-08'!$AN$172</f>
        <v>0</v>
      </c>
      <c r="G23" s="27">
        <f>+'Summary Medians from SPSS 07-08'!$AT$172</f>
        <v>0</v>
      </c>
      <c r="H23" s="25">
        <f>+'Summary Medians from SPSS 07-08'!$AZ$172</f>
        <v>10580</v>
      </c>
      <c r="I23" s="7"/>
    </row>
    <row r="24" spans="1:9" ht="12.75" customHeight="1">
      <c r="A24" s="2" t="s">
        <v>609</v>
      </c>
      <c r="B24" s="27">
        <f>+'Summary Medians from SPSS 07-08'!$P$189</f>
        <v>14125</v>
      </c>
      <c r="C24" s="27">
        <f>+'Summary Medians from SPSS 07-08'!$V$189</f>
        <v>18906</v>
      </c>
      <c r="D24" s="27">
        <f>+'Summary Medians from SPSS 07-08'!$AB$189</f>
        <v>16738</v>
      </c>
      <c r="E24" s="27">
        <f>+'Summary Medians from SPSS 07-08'!$AH$189</f>
        <v>10625</v>
      </c>
      <c r="F24" s="27">
        <f>+'Summary Medians from SPSS 07-08'!$AN$189</f>
        <v>12342.82</v>
      </c>
      <c r="G24" s="27">
        <f>+'Summary Medians from SPSS 07-08'!$AT$189</f>
        <v>17700</v>
      </c>
      <c r="H24" s="25">
        <f>+'Summary Medians from SPSS 07-08'!$AZ$189</f>
        <v>13128.88</v>
      </c>
      <c r="I24" s="7"/>
    </row>
    <row r="25" spans="1:9" ht="12.75" customHeight="1">
      <c r="A25" s="2" t="s">
        <v>610</v>
      </c>
      <c r="B25" s="27">
        <f>+'Summary Medians from SPSS 07-08'!$P$206</f>
        <v>16764</v>
      </c>
      <c r="C25" s="27">
        <f>+'Summary Medians from SPSS 07-08'!$V$206</f>
        <v>22907</v>
      </c>
      <c r="D25" s="27">
        <f>+'Summary Medians from SPSS 07-08'!$AB$206</f>
        <v>19204</v>
      </c>
      <c r="E25" s="27">
        <f>+'Summary Medians from SPSS 07-08'!$AH$206</f>
        <v>16340</v>
      </c>
      <c r="F25" s="27">
        <f>+'Summary Medians from SPSS 07-08'!$AN$206</f>
        <v>0</v>
      </c>
      <c r="G25" s="27">
        <f>+'Summary Medians from SPSS 07-08'!$AT$206</f>
        <v>0</v>
      </c>
      <c r="H25" s="25">
        <f>+'Summary Medians from SPSS 07-08'!$AZ$206</f>
        <v>0</v>
      </c>
      <c r="I25" s="7"/>
    </row>
    <row r="26" spans="1:9" ht="9" customHeight="1">
      <c r="A26" s="2"/>
      <c r="I26" s="7"/>
    </row>
    <row r="27" spans="1:9" ht="12.75" customHeight="1">
      <c r="A27" s="2" t="s">
        <v>611</v>
      </c>
      <c r="B27" s="27">
        <f>+'Summary Medians from SPSS 07-08'!$P$223</f>
        <v>11217</v>
      </c>
      <c r="C27" s="27">
        <f>+'Summary Medians from SPSS 07-08'!$V$223</f>
        <v>19935.5</v>
      </c>
      <c r="D27" s="27">
        <f>+'Summary Medians from SPSS 07-08'!$AB$223</f>
        <v>16722</v>
      </c>
      <c r="E27" s="27">
        <f>+'Summary Medians from SPSS 07-08'!$AH$223</f>
        <v>13036</v>
      </c>
      <c r="F27" s="27">
        <f>+'Summary Medians from SPSS 07-08'!$AN$223</f>
        <v>0</v>
      </c>
      <c r="G27" s="27">
        <f>+'Summary Medians from SPSS 07-08'!$AT$223</f>
        <v>0</v>
      </c>
      <c r="H27" s="25">
        <f>+'Summary Medians from SPSS 07-08'!$AZ$223</f>
        <v>14590</v>
      </c>
      <c r="I27" s="7"/>
    </row>
    <row r="28" spans="1:9" ht="12.75" customHeight="1">
      <c r="A28" s="6" t="s">
        <v>612</v>
      </c>
      <c r="B28" s="27">
        <f>+'Summary Medians from SPSS 07-08'!$P$240</f>
        <v>13640.2</v>
      </c>
      <c r="C28" s="27">
        <f>+'Summary Medians from SPSS 07-08'!$V$240</f>
        <v>11942.5</v>
      </c>
      <c r="D28" s="27">
        <f>+'Summary Medians from SPSS 07-08'!$AB$240</f>
        <v>12110</v>
      </c>
      <c r="E28" s="27">
        <f>+'Summary Medians from SPSS 07-08'!$AH$240</f>
        <v>11917.01</v>
      </c>
      <c r="F28" s="27">
        <f>+'Summary Medians from SPSS 07-08'!$AN$240</f>
        <v>18732</v>
      </c>
      <c r="G28" s="27">
        <f>+'Summary Medians from SPSS 07-08'!$AT$240</f>
        <v>13950</v>
      </c>
      <c r="H28" s="25">
        <f>+'Summary Medians from SPSS 07-08'!$AZ$240</f>
        <v>12482</v>
      </c>
      <c r="I28" s="7"/>
    </row>
    <row r="29" spans="1:9" ht="12.75" customHeight="1">
      <c r="A29" s="2" t="s">
        <v>613</v>
      </c>
      <c r="B29" s="27">
        <f>+'Summary Medians from SPSS 07-08'!$P$257</f>
        <v>18336</v>
      </c>
      <c r="C29" s="27">
        <f>+'Summary Medians from SPSS 07-08'!$V$257</f>
        <v>29305</v>
      </c>
      <c r="D29" s="27">
        <f>+'Summary Medians from SPSS 07-08'!$AB$257</f>
        <v>23388</v>
      </c>
      <c r="E29" s="27">
        <f>+'Summary Medians from SPSS 07-08'!$AH$257</f>
        <v>20147</v>
      </c>
      <c r="F29" s="27">
        <f>+'Summary Medians from SPSS 07-08'!$AN$257</f>
        <v>0</v>
      </c>
      <c r="G29" s="27">
        <f>+'Summary Medians from SPSS 07-08'!$AT$257</f>
        <v>0</v>
      </c>
      <c r="H29" s="25">
        <f>+'Summary Medians from SPSS 07-08'!$AZ$257</f>
        <v>15951</v>
      </c>
      <c r="I29" s="7"/>
    </row>
    <row r="30" spans="1:9" ht="12.75" customHeight="1">
      <c r="A30" s="9" t="s">
        <v>614</v>
      </c>
      <c r="B30" s="32">
        <f>+'Summary Medians from SPSS 07-08'!$P$274</f>
        <v>9856</v>
      </c>
      <c r="C30" s="32">
        <f>+'Summary Medians from SPSS 07-08'!$V$274</f>
        <v>16193</v>
      </c>
      <c r="D30" s="32">
        <f>+'Summary Medians from SPSS 07-08'!$AB$274</f>
        <v>11920</v>
      </c>
      <c r="E30" s="32">
        <f>+'Summary Medians from SPSS 07-08'!$AH$274</f>
        <v>12450</v>
      </c>
      <c r="F30" s="32">
        <f>+'Summary Medians from SPSS 07-08'!$AN$274</f>
        <v>0</v>
      </c>
      <c r="G30" s="32">
        <f>+'Summary Medians from SPSS 07-08'!$AT$274</f>
        <v>19830</v>
      </c>
      <c r="H30" s="29">
        <f>+'Summary Medians from SPSS 07-08'!$AZ$274</f>
        <v>0</v>
      </c>
      <c r="I30" s="10"/>
    </row>
    <row r="31" spans="1:9" ht="9" customHeight="1">
      <c r="A31" s="12"/>
      <c r="B31" s="16"/>
      <c r="C31" s="16"/>
      <c r="D31" s="16"/>
      <c r="E31" s="16"/>
      <c r="F31" s="16"/>
      <c r="G31" s="16"/>
      <c r="H31" s="260"/>
      <c r="I31" s="16"/>
    </row>
    <row r="32" spans="1:9" ht="29.25" customHeight="1">
      <c r="A32" s="526" t="s">
        <v>921</v>
      </c>
      <c r="B32" s="526"/>
      <c r="C32" s="526"/>
      <c r="D32" s="526"/>
      <c r="E32" s="526"/>
      <c r="F32" s="526"/>
      <c r="G32" s="526"/>
      <c r="H32" s="526"/>
      <c r="I32" s="22"/>
    </row>
    <row r="33" ht="15.75">
      <c r="H33" s="475" t="s">
        <v>1117</v>
      </c>
    </row>
    <row r="35" ht="15.75">
      <c r="I35" t="s">
        <v>951</v>
      </c>
    </row>
    <row r="36" ht="15.75">
      <c r="I36">
        <v>19</v>
      </c>
    </row>
    <row r="37" ht="15.75">
      <c r="I37">
        <f>I36+17</f>
        <v>36</v>
      </c>
    </row>
    <row r="38" ht="15.75">
      <c r="I38">
        <f aca="true" t="shared" si="0" ref="I38:I52">I37+17</f>
        <v>53</v>
      </c>
    </row>
    <row r="39" ht="15.75">
      <c r="I39">
        <f t="shared" si="0"/>
        <v>70</v>
      </c>
    </row>
    <row r="40" ht="15.75">
      <c r="I40">
        <f t="shared" si="0"/>
        <v>87</v>
      </c>
    </row>
    <row r="41" ht="15.75">
      <c r="I41">
        <f t="shared" si="0"/>
        <v>104</v>
      </c>
    </row>
    <row r="42" ht="15.75">
      <c r="I42">
        <f t="shared" si="0"/>
        <v>121</v>
      </c>
    </row>
    <row r="43" ht="15.75">
      <c r="I43">
        <f t="shared" si="0"/>
        <v>138</v>
      </c>
    </row>
    <row r="44" ht="15.75">
      <c r="I44">
        <f t="shared" si="0"/>
        <v>155</v>
      </c>
    </row>
    <row r="45" ht="15.75">
      <c r="I45">
        <f t="shared" si="0"/>
        <v>172</v>
      </c>
    </row>
    <row r="46" ht="15.75">
      <c r="I46">
        <f t="shared" si="0"/>
        <v>189</v>
      </c>
    </row>
    <row r="47" ht="15.75">
      <c r="I47">
        <f t="shared" si="0"/>
        <v>206</v>
      </c>
    </row>
    <row r="48" ht="15.75">
      <c r="I48">
        <f t="shared" si="0"/>
        <v>223</v>
      </c>
    </row>
    <row r="49" ht="15.75">
      <c r="I49">
        <f t="shared" si="0"/>
        <v>240</v>
      </c>
    </row>
    <row r="50" ht="15.75">
      <c r="I50">
        <f t="shared" si="0"/>
        <v>257</v>
      </c>
    </row>
    <row r="51" ht="15.75">
      <c r="I51">
        <f t="shared" si="0"/>
        <v>274</v>
      </c>
    </row>
    <row r="52" ht="15.75">
      <c r="I52">
        <f t="shared" si="0"/>
        <v>291</v>
      </c>
    </row>
  </sheetData>
  <sheetProtection/>
  <mergeCells count="1">
    <mergeCell ref="A32:H32"/>
  </mergeCells>
  <printOptions horizontalCentered="1"/>
  <pageMargins left="0.75" right="0.75" top="1" bottom="1" header="0.6" footer="0.5"/>
  <pageSetup firstPageNumber="113" useFirstPageNumber="1" horizontalDpi="600" verticalDpi="600" orientation="landscape" r:id="rId1"/>
  <headerFooter alignWithMargins="0">
    <oddHeader>&amp;R&amp;"Arial,Regular"&amp;8SREB-State Data Exchange</oddHeader>
    <oddFooter>&amp;C&amp;"ARIAL,Regular"&amp;10&amp;P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jmarks</dc:creator>
  <cp:keywords/>
  <dc:description/>
  <cp:lastModifiedBy>jmarks</cp:lastModifiedBy>
  <cp:lastPrinted>2009-12-15T21:14:23Z</cp:lastPrinted>
  <dcterms:created xsi:type="dcterms:W3CDTF">1999-02-24T13:58:47Z</dcterms:created>
  <dcterms:modified xsi:type="dcterms:W3CDTF">2009-12-15T21:14:46Z</dcterms:modified>
  <cp:category/>
  <cp:version/>
  <cp:contentType/>
  <cp:contentStatus/>
</cp:coreProperties>
</file>